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4-1-0380-望京SOHO\"/>
    </mc:Choice>
  </mc:AlternateContent>
  <xr:revisionPtr revIDLastSave="0" documentId="13_ncr:1_{416ECC14-A239-49DE-8D5E-3D0A47D018FC}"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 i="74" l="1"/>
  <c r="J5" i="74" s="1"/>
  <c r="I4" i="74"/>
  <c r="J4" i="74" s="1"/>
  <c r="H5" i="74"/>
  <c r="H4" i="74"/>
  <c r="B14" i="74"/>
  <c r="G14" i="73"/>
  <c r="F14" i="73"/>
  <c r="E14" i="73"/>
  <c r="G14" i="74" l="1"/>
  <c r="D14" i="74"/>
  <c r="E14" i="7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5" i="79"/>
  <c r="AG35" i="79" s="1"/>
  <c r="S33" i="79"/>
  <c r="AG33" i="79" s="1"/>
  <c r="AA31" i="79"/>
  <c r="AD31" i="79" s="1"/>
  <c r="T40" i="79"/>
  <c r="U46" i="79"/>
  <c r="AI46" i="79" s="1"/>
  <c r="AD47" i="79"/>
  <c r="S48" i="79"/>
  <c r="AG48" i="79" s="1"/>
  <c r="U50" i="79"/>
  <c r="AI50" i="79" s="1"/>
  <c r="AD51" i="79"/>
  <c r="T33" i="79"/>
  <c r="T35" i="79"/>
  <c r="T34"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49" i="79"/>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BB559" i="3"/>
  <c r="BC559" i="3"/>
  <c r="BD559" i="3"/>
  <c r="BE559" i="3"/>
  <c r="BA559" i="3" s="1"/>
  <c r="AZ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H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J25" i="35" s="1"/>
  <c r="W25" i="35" s="1"/>
  <c r="B75" i="35"/>
  <c r="J24" i="35" s="1"/>
  <c r="AC24" i="35" s="1"/>
  <c r="B73" i="35"/>
  <c r="J23" i="35" s="1"/>
  <c r="AC23" i="35" s="1"/>
  <c r="H23" i="35"/>
  <c r="U23" i="35" s="1"/>
  <c r="B57" i="35"/>
  <c r="B61" i="35"/>
  <c r="B59" i="35"/>
  <c r="B131" i="34"/>
  <c r="H47" i="34" s="1"/>
  <c r="U47" i="34" s="1"/>
  <c r="B129" i="34"/>
  <c r="B127" i="34"/>
  <c r="B99" i="34"/>
  <c r="J32" i="34" s="1"/>
  <c r="W32" i="34" s="1"/>
  <c r="B97" i="34"/>
  <c r="H31" i="34" s="1"/>
  <c r="B95" i="34"/>
  <c r="B93" i="34"/>
  <c r="B75" i="34"/>
  <c r="B73" i="34"/>
  <c r="F13" i="34" s="1"/>
  <c r="AA13" i="34" s="1"/>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J45" i="39"/>
  <c r="W45" i="39" s="1"/>
  <c r="F36" i="39"/>
  <c r="S36" i="39" s="1"/>
  <c r="H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F36" i="34"/>
  <c r="J35" i="34"/>
  <c r="H39" i="33"/>
  <c r="AB39" i="33"/>
  <c r="U35" i="33"/>
  <c r="W33" i="33"/>
  <c r="W39" i="33"/>
  <c r="S27" i="35"/>
  <c r="F11" i="40"/>
  <c r="AA11" i="40" s="1"/>
  <c r="H11" i="40"/>
  <c r="AB11" i="40"/>
  <c r="W8" i="40"/>
  <c r="U9" i="40"/>
  <c r="S34" i="40"/>
  <c r="U38"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c r="H23" i="40"/>
  <c r="AB23" i="40" s="1"/>
  <c r="H17" i="40"/>
  <c r="U17" i="40" s="1"/>
  <c r="J15" i="40"/>
  <c r="W15" i="40" s="1"/>
  <c r="J11" i="40"/>
  <c r="W11" i="40" s="1"/>
  <c r="AC12" i="34"/>
  <c r="AB12" i="35"/>
  <c r="W32" i="40"/>
  <c r="F37" i="39"/>
  <c r="AA37" i="39" s="1"/>
  <c r="J34" i="36"/>
  <c r="W34" i="36" s="1"/>
  <c r="U30" i="36"/>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12" i="36"/>
  <c r="AA12" i="36" s="1"/>
  <c r="F34" i="36"/>
  <c r="S34" i="36" s="1"/>
  <c r="F14" i="35"/>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F41" i="33"/>
  <c r="AA41" i="33" s="1"/>
  <c r="S38" i="33"/>
  <c r="E113"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c r="H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c r="J31" i="21"/>
  <c r="AC31" i="21" s="1"/>
  <c r="F31" i="21"/>
  <c r="S31" i="21"/>
  <c r="F45" i="21"/>
  <c r="AA45" i="21" s="1"/>
  <c r="F27" i="33"/>
  <c r="AA27" i="33" s="1"/>
  <c r="J13" i="33"/>
  <c r="H13" i="33"/>
  <c r="U13" i="33" s="1"/>
  <c r="F13" i="33"/>
  <c r="J29" i="33"/>
  <c r="H29" i="33"/>
  <c r="U29" i="33"/>
  <c r="J31" i="33"/>
  <c r="W31" i="33" s="1"/>
  <c r="H31" i="33"/>
  <c r="F31" i="33"/>
  <c r="H45" i="33"/>
  <c r="J45" i="33"/>
  <c r="W45" i="33" s="1"/>
  <c r="AA45" i="33"/>
  <c r="J14" i="34"/>
  <c r="W14" i="34" s="1"/>
  <c r="F14" i="34"/>
  <c r="H14" i="34"/>
  <c r="H30" i="34"/>
  <c r="F30" i="34"/>
  <c r="S30" i="34" s="1"/>
  <c r="J30" i="34"/>
  <c r="H32" i="34"/>
  <c r="F32" i="34"/>
  <c r="H46" i="34"/>
  <c r="U46" i="34" s="1"/>
  <c r="F46" i="34"/>
  <c r="J46" i="34"/>
  <c r="H11" i="35"/>
  <c r="AB11" i="35" s="1"/>
  <c r="J11" i="35"/>
  <c r="W11" i="35" s="1"/>
  <c r="F11" i="35"/>
  <c r="S11" i="35" s="1"/>
  <c r="J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H30" i="33"/>
  <c r="AB30" i="33" s="1"/>
  <c r="F30" i="33"/>
  <c r="J30" i="33"/>
  <c r="H44" i="33"/>
  <c r="J44" i="33"/>
  <c r="AC44" i="33" s="1"/>
  <c r="J46" i="33"/>
  <c r="AC46" i="33" s="1"/>
  <c r="F46" i="33"/>
  <c r="AA46" i="33" s="1"/>
  <c r="H46" i="33"/>
  <c r="AB46" i="33"/>
  <c r="H13" i="34"/>
  <c r="U13" i="34" s="1"/>
  <c r="J13" i="34"/>
  <c r="W13" i="34" s="1"/>
  <c r="J29" i="34"/>
  <c r="F29" i="34"/>
  <c r="S29" i="34" s="1"/>
  <c r="H29" i="34"/>
  <c r="AB29" i="34" s="1"/>
  <c r="F31" i="34"/>
  <c r="S31" i="34" s="1"/>
  <c r="H45" i="34"/>
  <c r="U45" i="34" s="1"/>
  <c r="J45" i="34"/>
  <c r="W45" i="34"/>
  <c r="F45" i="34"/>
  <c r="S45" i="34" s="1"/>
  <c r="F47" i="34"/>
  <c r="S47" i="34" s="1"/>
  <c r="J47" i="34"/>
  <c r="AC47" i="34" s="1"/>
  <c r="F13" i="35"/>
  <c r="J13" i="35"/>
  <c r="AC13" i="35"/>
  <c r="H13" i="35"/>
  <c r="U13" i="35" s="1"/>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s="1"/>
  <c r="H12" i="40"/>
  <c r="H30" i="40"/>
  <c r="AB30" i="40" s="1"/>
  <c r="H33" i="40"/>
  <c r="U33" i="40" s="1"/>
  <c r="J35" i="40"/>
  <c r="AC35" i="40" s="1"/>
  <c r="J37" i="40"/>
  <c r="AC37" i="40"/>
  <c r="H13" i="40"/>
  <c r="U13" i="40" s="1"/>
  <c r="J13" i="40"/>
  <c r="W13" i="40" s="1"/>
  <c r="F13" i="40"/>
  <c r="AA13" i="40" s="1"/>
  <c r="F14" i="37"/>
  <c r="F27" i="37"/>
  <c r="AA27" i="37" s="1"/>
  <c r="F13" i="39"/>
  <c r="J13" i="39"/>
  <c r="H13" i="39"/>
  <c r="AB14" i="40"/>
  <c r="J14" i="40"/>
  <c r="W14" i="40" s="1"/>
  <c r="F14" i="40"/>
  <c r="AA14" i="40" s="1"/>
  <c r="J14" i="37"/>
  <c r="J27" i="37"/>
  <c r="AC27" i="37"/>
  <c r="U46" i="33"/>
  <c r="J36" i="37"/>
  <c r="AC36" i="37" s="1"/>
  <c r="J10" i="36"/>
  <c r="AC10" i="36" s="1"/>
  <c r="S11" i="36"/>
  <c r="AB46" i="34"/>
  <c r="S45" i="33"/>
  <c r="AC28" i="21"/>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80" i="3"/>
  <c r="BL576" i="3"/>
  <c r="BL572" i="3"/>
  <c r="BL568" i="3"/>
  <c r="BL564" i="3"/>
  <c r="BL554" i="3"/>
  <c r="BL546" i="3"/>
  <c r="BL542" i="3"/>
  <c r="BL534" i="3"/>
  <c r="BL530" i="3"/>
  <c r="BL526" i="3"/>
  <c r="BL522" i="3"/>
  <c r="BL516" i="3"/>
  <c r="BL512" i="3"/>
  <c r="BL506" i="3"/>
  <c r="BL502" i="3"/>
  <c r="BL498" i="3"/>
  <c r="BL494" i="3"/>
  <c r="BL582" i="3"/>
  <c r="BL578" i="3"/>
  <c r="BL574" i="3"/>
  <c r="BL570" i="3"/>
  <c r="BL566" i="3"/>
  <c r="BL556" i="3"/>
  <c r="BL552" i="3"/>
  <c r="BL544"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AZ558" i="3"/>
  <c r="BA556" i="3"/>
  <c r="AZ556" i="3" s="1"/>
  <c r="AZ554" i="3"/>
  <c r="BA552" i="3"/>
  <c r="AZ552" i="3" s="1"/>
  <c r="BA546" i="3"/>
  <c r="BA544" i="3"/>
  <c r="AZ544" i="3" s="1"/>
  <c r="AZ542" i="3"/>
  <c r="BA540" i="3"/>
  <c r="BA538" i="3"/>
  <c r="AZ538" i="3" s="1"/>
  <c r="BA536" i="3"/>
  <c r="AZ536" i="3" s="1"/>
  <c r="BA534" i="3"/>
  <c r="AZ534" i="3" s="1"/>
  <c r="BA532" i="3"/>
  <c r="AZ532" i="3"/>
  <c r="BA530" i="3"/>
  <c r="BA526" i="3"/>
  <c r="AZ526" i="3" s="1"/>
  <c r="BA524" i="3"/>
  <c r="AZ524" i="3" s="1"/>
  <c r="BA522" i="3"/>
  <c r="BA520" i="3"/>
  <c r="BA518" i="3"/>
  <c r="AZ518" i="3" s="1"/>
  <c r="BA516" i="3"/>
  <c r="BA514" i="3"/>
  <c r="AZ514" i="3" s="1"/>
  <c r="BA512" i="3"/>
  <c r="AZ512" i="3"/>
  <c r="BA510" i="3"/>
  <c r="BA508" i="3"/>
  <c r="BA506" i="3"/>
  <c r="AZ506" i="3" s="1"/>
  <c r="BA504" i="3"/>
  <c r="AZ504" i="3" s="1"/>
  <c r="BA502" i="3"/>
  <c r="BA500" i="3"/>
  <c r="BA498" i="3"/>
  <c r="BA496" i="3"/>
  <c r="BA494" i="3"/>
  <c r="BA587" i="3"/>
  <c r="BA583" i="3"/>
  <c r="BA581" i="3"/>
  <c r="BA579" i="3"/>
  <c r="BA577" i="3"/>
  <c r="BA575" i="3"/>
  <c r="BA573" i="3"/>
  <c r="BA571" i="3"/>
  <c r="BA569" i="3"/>
  <c r="BA567" i="3"/>
  <c r="BA565" i="3"/>
  <c r="AZ565" i="3" s="1"/>
  <c r="BA563" i="3"/>
  <c r="BA561" i="3"/>
  <c r="BA555" i="3"/>
  <c r="BA553" i="3"/>
  <c r="BA549" i="3"/>
  <c r="BA545" i="3"/>
  <c r="BA543" i="3"/>
  <c r="BA541" i="3"/>
  <c r="BA537" i="3"/>
  <c r="BA535" i="3"/>
  <c r="BA533"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BQ563" i="3"/>
  <c r="BQ561" i="3"/>
  <c r="BL561" i="3" s="1"/>
  <c r="AZ561" i="3" s="1"/>
  <c r="BQ559" i="3"/>
  <c r="BL559" i="3" s="1"/>
  <c r="G559" i="3"/>
  <c r="G555" i="3"/>
  <c r="G553" i="3"/>
  <c r="G547" i="3"/>
  <c r="G545" i="3"/>
  <c r="G543" i="3"/>
  <c r="G539" i="3"/>
  <c r="G537" i="3"/>
  <c r="BQ555" i="3"/>
  <c r="BQ553" i="3"/>
  <c r="BL553" i="3" s="1"/>
  <c r="AZ553" i="3" s="1"/>
  <c r="BQ551" i="3"/>
  <c r="BQ549" i="3"/>
  <c r="BQ547" i="3"/>
  <c r="BL547" i="3" s="1"/>
  <c r="AZ547" i="3" s="1"/>
  <c r="BQ545" i="3"/>
  <c r="BQ543" i="3"/>
  <c r="BL543" i="3" s="1"/>
  <c r="AZ543" i="3"/>
  <c r="BQ541" i="3"/>
  <c r="BQ539" i="3"/>
  <c r="BL539" i="3" s="1"/>
  <c r="AZ539" i="3" s="1"/>
  <c r="BQ537" i="3"/>
  <c r="BL537" i="3" s="1"/>
  <c r="BQ535" i="3"/>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C36" i="34"/>
  <c r="AC31" i="33"/>
  <c r="AC45" i="33"/>
  <c r="W44" i="33"/>
  <c r="U19" i="21"/>
  <c r="W44"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B33" i="40"/>
  <c r="W23" i="39"/>
  <c r="AC43" i="39"/>
  <c r="W43" i="39"/>
  <c r="U45" i="39"/>
  <c r="AB45" i="39"/>
  <c r="G100" i="39"/>
  <c r="H37" i="39"/>
  <c r="U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55" i="3"/>
  <c r="AZ168"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BL311" i="3"/>
  <c r="AZ311" i="3" s="1"/>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1" i="3"/>
  <c r="AZ257" i="3"/>
  <c r="BA379" i="3"/>
  <c r="AZ379" i="3" s="1"/>
  <c r="BL380" i="3"/>
  <c r="G381" i="3"/>
  <c r="BA383" i="3"/>
  <c r="AZ383" i="3" s="1"/>
  <c r="BL384" i="3"/>
  <c r="G385" i="3"/>
  <c r="BA387" i="3"/>
  <c r="AZ387" i="3" s="1"/>
  <c r="BL388" i="3"/>
  <c r="G389" i="3"/>
  <c r="BA391" i="3"/>
  <c r="BL392" i="3"/>
  <c r="AZ392" i="3" s="1"/>
  <c r="G393" i="3"/>
  <c r="AZ283" i="3"/>
  <c r="BO5" i="3"/>
  <c r="BJ5" i="3"/>
  <c r="BH5" i="3"/>
  <c r="BF5" i="3"/>
  <c r="AZ325" i="3"/>
  <c r="AZ341" i="3"/>
  <c r="AC5" i="3"/>
  <c r="AZ496" i="3"/>
  <c r="G548" i="3"/>
  <c r="G538" i="3"/>
  <c r="G520" i="3"/>
  <c r="G502" i="3"/>
  <c r="BS5" i="3"/>
  <c r="BP5" i="3"/>
  <c r="BN5" i="3"/>
  <c r="G29" i="6" s="1"/>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U43" i="21"/>
  <c r="U35" i="21"/>
  <c r="AC35" i="21"/>
  <c r="AZ563" i="3"/>
  <c r="AZ501" i="3"/>
  <c r="W37" i="37"/>
  <c r="W44" i="34"/>
  <c r="AC44" i="34"/>
  <c r="S15" i="37"/>
  <c r="U13" i="37"/>
  <c r="AA12" i="40"/>
  <c r="J37" i="33"/>
  <c r="W37" i="33"/>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80" i="3"/>
  <c r="AZ69" i="3"/>
  <c r="AZ86" i="3"/>
  <c r="AZ110"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W12" i="33"/>
  <c r="AC12" i="33"/>
  <c r="BL14" i="3"/>
  <c r="U30" i="33"/>
  <c r="AC13" i="34"/>
  <c r="AA47" i="34"/>
  <c r="W28" i="37"/>
  <c r="S19" i="39"/>
  <c r="F12" i="33"/>
  <c r="H12" i="39"/>
  <c r="AB12" i="39" s="1"/>
  <c r="F39" i="40"/>
  <c r="BA14" i="3"/>
  <c r="AZ36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U25" i="33"/>
  <c r="AB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B23" i="21"/>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15"/>
  <c r="M26" i="67"/>
  <c r="B7" i="76"/>
  <c r="J15" i="15"/>
  <c r="M26" i="15"/>
  <c r="B13" i="76"/>
  <c r="F7" i="15"/>
  <c r="F13" i="15"/>
  <c r="F9" i="15"/>
  <c r="E2" i="68"/>
  <c r="D20" i="9"/>
  <c r="M23" i="15"/>
  <c r="D19" i="9"/>
  <c r="F16" i="15"/>
  <c r="L47" i="15"/>
  <c r="F36" i="15"/>
  <c r="B9" i="76"/>
  <c r="C19" i="9"/>
  <c r="F3" i="73"/>
  <c r="B11" i="76"/>
  <c r="E13" i="76"/>
  <c r="C76" i="15"/>
  <c r="B12" i="76"/>
  <c r="E2" i="69"/>
  <c r="E12" i="76"/>
  <c r="F37" i="15"/>
  <c r="F43" i="15"/>
  <c r="F6" i="15"/>
  <c r="AO13" i="1"/>
  <c r="F38" i="15"/>
  <c r="D35" i="9"/>
  <c r="C20" i="9"/>
  <c r="M22" i="15"/>
  <c r="B10" i="76"/>
  <c r="L48" i="15"/>
  <c r="F6" i="67"/>
  <c r="F6" i="73"/>
  <c r="M29" i="15"/>
  <c r="F26" i="15"/>
  <c r="E7" i="76"/>
  <c r="M8" i="15"/>
  <c r="M28" i="15"/>
  <c r="F40" i="15"/>
  <c r="F20" i="31"/>
  <c r="B8" i="76"/>
  <c r="F4" i="73"/>
  <c r="M9" i="15"/>
  <c r="E11" i="76"/>
  <c r="E9" i="76"/>
  <c r="D6" i="73"/>
  <c r="M24" i="15"/>
  <c r="F8" i="15"/>
  <c r="F42" i="15"/>
  <c r="D34" i="9"/>
  <c r="E8" i="76"/>
  <c r="F7" i="73"/>
  <c r="F38" i="67"/>
  <c r="F5" i="73"/>
  <c r="L47" i="67"/>
  <c r="E10" i="76"/>
  <c r="AZ14" i="3" l="1"/>
  <c r="AB36" i="33"/>
  <c r="W32" i="39"/>
  <c r="AC15" i="21"/>
  <c r="AA14" i="37"/>
  <c r="S14" i="37"/>
  <c r="U45" i="33"/>
  <c r="AB45" i="33"/>
  <c r="U30" i="21"/>
  <c r="AB30" i="21"/>
  <c r="W28" i="34"/>
  <c r="AC28" i="34"/>
  <c r="AA28" i="34"/>
  <c r="S28" i="34"/>
  <c r="AB32" i="33"/>
  <c r="U32" i="33"/>
  <c r="AZ557" i="3"/>
  <c r="AZ540" i="3"/>
  <c r="AZ528" i="3"/>
  <c r="AA23" i="21"/>
  <c r="AA17" i="33"/>
  <c r="S37" i="21"/>
  <c r="AA25" i="33"/>
  <c r="AA19" i="40"/>
  <c r="AZ322" i="3"/>
  <c r="AZ389" i="3"/>
  <c r="AZ342" i="3"/>
  <c r="AZ337" i="3"/>
  <c r="AB37" i="39"/>
  <c r="AZ527" i="3"/>
  <c r="AZ537" i="3"/>
  <c r="AZ571" i="3"/>
  <c r="AZ579" i="3"/>
  <c r="AZ510" i="3"/>
  <c r="AZ516" i="3"/>
  <c r="AZ546" i="3"/>
  <c r="W13" i="39"/>
  <c r="AC13" i="39"/>
  <c r="F29" i="6"/>
  <c r="AA44" i="39"/>
  <c r="S44" i="39"/>
  <c r="U19" i="33"/>
  <c r="D6" i="52"/>
  <c r="S17" i="37"/>
  <c r="U15" i="21"/>
  <c r="W34" i="33"/>
  <c r="AC34" i="33"/>
  <c r="W11" i="39"/>
  <c r="AC11" i="39"/>
  <c r="AA15" i="39"/>
  <c r="S15" i="39"/>
  <c r="AC12" i="37"/>
  <c r="AZ529" i="3"/>
  <c r="AB12" i="40"/>
  <c r="U12" i="40"/>
  <c r="AA14" i="35"/>
  <c r="S14" i="35"/>
  <c r="AA27" i="40"/>
  <c r="AZ338" i="3"/>
  <c r="AZ310" i="3"/>
  <c r="AZ376" i="3"/>
  <c r="AZ498" i="3"/>
  <c r="W26" i="36"/>
  <c r="AC26" i="36"/>
  <c r="S13" i="33"/>
  <c r="AA13" i="33"/>
  <c r="AB39" i="37"/>
  <c r="U39" i="37"/>
  <c r="U34" i="35"/>
  <c r="AB36" i="39"/>
  <c r="U36" i="39"/>
  <c r="H9" i="33"/>
  <c r="F9" i="33"/>
  <c r="AA9" i="33" s="1"/>
  <c r="J26" i="33"/>
  <c r="F26" i="33"/>
  <c r="H26" i="33"/>
  <c r="AC9" i="34"/>
  <c r="W9" i="34"/>
  <c r="F12" i="35"/>
  <c r="J12" i="35"/>
  <c r="J12" i="36"/>
  <c r="H12" i="36"/>
  <c r="F32" i="36"/>
  <c r="H32" i="36"/>
  <c r="AC31" i="40"/>
  <c r="W31" i="40"/>
  <c r="AA40" i="33"/>
  <c r="S40" i="33"/>
  <c r="G566" i="3"/>
  <c r="G558" i="3"/>
  <c r="AC17" i="34"/>
  <c r="BD5" i="3"/>
  <c r="E15" i="6" s="1"/>
  <c r="E64" i="39" s="1"/>
  <c r="AZ391" i="3"/>
  <c r="AZ318" i="3"/>
  <c r="AZ364" i="3"/>
  <c r="AZ329" i="3"/>
  <c r="AZ304" i="3"/>
  <c r="AZ306" i="3"/>
  <c r="W35" i="40"/>
  <c r="AC13" i="40"/>
  <c r="W16" i="35"/>
  <c r="U11" i="33"/>
  <c r="S21" i="40"/>
  <c r="BL535" i="3"/>
  <c r="AZ535" i="3" s="1"/>
  <c r="AZ577" i="3"/>
  <c r="AZ513" i="3"/>
  <c r="AZ575" i="3"/>
  <c r="AZ566" i="3"/>
  <c r="AZ574" i="3"/>
  <c r="AZ582" i="3"/>
  <c r="AZ502" i="3"/>
  <c r="F33" i="40"/>
  <c r="J31" i="34"/>
  <c r="F14" i="33"/>
  <c r="AC11" i="35"/>
  <c r="F30" i="21"/>
  <c r="U33" i="33"/>
  <c r="U34" i="34"/>
  <c r="W22" i="35"/>
  <c r="F45" i="39"/>
  <c r="G585" i="3"/>
  <c r="BL587" i="3"/>
  <c r="AZ587" i="3" s="1"/>
  <c r="BL586" i="3"/>
  <c r="AZ586" i="3" s="1"/>
  <c r="W27" i="35"/>
  <c r="J39" i="40"/>
  <c r="H39" i="40"/>
  <c r="W31" i="35"/>
  <c r="AC31" i="35"/>
  <c r="AZ519" i="3"/>
  <c r="AZ531" i="3"/>
  <c r="AZ573" i="3"/>
  <c r="AZ568" i="3"/>
  <c r="S14" i="34"/>
  <c r="AA14" i="34"/>
  <c r="U34" i="40"/>
  <c r="B97" i="43"/>
  <c r="B75" i="43"/>
  <c r="J24" i="36"/>
  <c r="H24" i="36"/>
  <c r="F24" i="36"/>
  <c r="AB30" i="37"/>
  <c r="U30" i="37"/>
  <c r="BA551" i="3"/>
  <c r="AZ551" i="3" s="1"/>
  <c r="BA550" i="3"/>
  <c r="AZ550" i="3" s="1"/>
  <c r="BL548" i="3"/>
  <c r="AZ548" i="3" s="1"/>
  <c r="BL585" i="3"/>
  <c r="AZ585" i="3" s="1"/>
  <c r="S44" i="33"/>
  <c r="AA44" i="33"/>
  <c r="J39" i="37"/>
  <c r="F39" i="37"/>
  <c r="S39" i="37" s="1"/>
  <c r="H44" i="39"/>
  <c r="J44" i="39"/>
  <c r="F27" i="21"/>
  <c r="AB8" i="39"/>
  <c r="C15" i="39"/>
  <c r="AA9" i="40"/>
  <c r="S31" i="35"/>
  <c r="U31" i="36"/>
  <c r="G587" i="3"/>
  <c r="F25" i="37"/>
  <c r="G551" i="3"/>
  <c r="BL550" i="3"/>
  <c r="G542" i="3"/>
  <c r="AZ458" i="3"/>
  <c r="AZ462" i="3"/>
  <c r="AZ228" i="3"/>
  <c r="AZ444" i="3"/>
  <c r="G574" i="3"/>
  <c r="BL16" i="3"/>
  <c r="AZ16" i="3" s="1"/>
  <c r="BA401" i="3"/>
  <c r="AZ401" i="3" s="1"/>
  <c r="BA403" i="3"/>
  <c r="AZ403" i="3" s="1"/>
  <c r="BA404" i="3"/>
  <c r="BA405" i="3"/>
  <c r="BL410" i="3"/>
  <c r="G412" i="3"/>
  <c r="G418" i="3"/>
  <c r="BA422" i="3"/>
  <c r="AZ422" i="3" s="1"/>
  <c r="G429" i="3"/>
  <c r="BL431" i="3"/>
  <c r="G433" i="3"/>
  <c r="BL434" i="3"/>
  <c r="G436" i="3"/>
  <c r="BL438" i="3"/>
  <c r="BL439" i="3"/>
  <c r="BA441" i="3"/>
  <c r="BL445" i="3"/>
  <c r="BL446" i="3"/>
  <c r="BL449" i="3"/>
  <c r="BL450" i="3"/>
  <c r="BL452" i="3"/>
  <c r="G454" i="3"/>
  <c r="BL456" i="3"/>
  <c r="BA464" i="3"/>
  <c r="BL467" i="3"/>
  <c r="BL468" i="3"/>
  <c r="BL470" i="3"/>
  <c r="BL473" i="3"/>
  <c r="AZ473" i="3" s="1"/>
  <c r="BL474" i="3"/>
  <c r="BA482" i="3"/>
  <c r="BA484" i="3"/>
  <c r="AZ484" i="3" s="1"/>
  <c r="BA303" i="3"/>
  <c r="AZ303" i="3" s="1"/>
  <c r="BA307" i="3"/>
  <c r="AZ307" i="3" s="1"/>
  <c r="BL314" i="3"/>
  <c r="AZ314" i="3" s="1"/>
  <c r="BA332" i="3"/>
  <c r="BL332" i="3"/>
  <c r="BL292" i="3"/>
  <c r="G398" i="3"/>
  <c r="BL400" i="3"/>
  <c r="BL408" i="3"/>
  <c r="AZ408" i="3" s="1"/>
  <c r="BL411" i="3"/>
  <c r="BL413" i="3"/>
  <c r="G415" i="3"/>
  <c r="BL417" i="3"/>
  <c r="AZ417" i="3" s="1"/>
  <c r="BL418" i="3"/>
  <c r="BL420" i="3"/>
  <c r="G422" i="3"/>
  <c r="BL424" i="3"/>
  <c r="G426" i="3"/>
  <c r="BL428" i="3"/>
  <c r="AZ428" i="3" s="1"/>
  <c r="BL429" i="3"/>
  <c r="BL432" i="3"/>
  <c r="AZ432" i="3" s="1"/>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51" i="3"/>
  <c r="BL251" i="3"/>
  <c r="BL275" i="3"/>
  <c r="AZ275" i="3" s="1"/>
  <c r="BA125" i="3"/>
  <c r="AZ400" i="3"/>
  <c r="AZ402" i="3"/>
  <c r="AZ406" i="3"/>
  <c r="AZ411" i="3"/>
  <c r="AZ413" i="3"/>
  <c r="AZ429" i="3"/>
  <c r="AZ443" i="3"/>
  <c r="AZ453" i="3"/>
  <c r="AZ471" i="3"/>
  <c r="AZ48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BL230" i="3"/>
  <c r="BA237" i="3"/>
  <c r="AZ237" i="3" s="1"/>
  <c r="BL240" i="3"/>
  <c r="AZ240" i="3" s="1"/>
  <c r="BA242" i="3"/>
  <c r="AZ242" i="3" s="1"/>
  <c r="BL245" i="3"/>
  <c r="AZ245" i="3" s="1"/>
  <c r="G247" i="3"/>
  <c r="BA249" i="3"/>
  <c r="AZ249" i="3" s="1"/>
  <c r="BL249" i="3"/>
  <c r="G253" i="3"/>
  <c r="BA260" i="3"/>
  <c r="BA262" i="3"/>
  <c r="AZ262" i="3" s="1"/>
  <c r="G265" i="3"/>
  <c r="BL265" i="3"/>
  <c r="AZ265" i="3" s="1"/>
  <c r="G267" i="3"/>
  <c r="BA294" i="3"/>
  <c r="AZ294" i="3" s="1"/>
  <c r="G123"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31" i="3"/>
  <c r="G233" i="3"/>
  <c r="BL233" i="3"/>
  <c r="AZ233" i="3" s="1"/>
  <c r="G235" i="3"/>
  <c r="BL235" i="3"/>
  <c r="AZ235" i="3" s="1"/>
  <c r="BL236" i="3"/>
  <c r="G237" i="3"/>
  <c r="BL238" i="3"/>
  <c r="G239" i="3"/>
  <c r="BL243" i="3"/>
  <c r="G244" i="3"/>
  <c r="BL252" i="3"/>
  <c r="BL259" i="3"/>
  <c r="BA270" i="3"/>
  <c r="AZ270" i="3" s="1"/>
  <c r="G287" i="3"/>
  <c r="G292" i="3"/>
  <c r="BA293" i="3"/>
  <c r="G128" i="3"/>
  <c r="BL299" i="3"/>
  <c r="BL113" i="3"/>
  <c r="BL115" i="3"/>
  <c r="AZ115" i="3" s="1"/>
  <c r="BA118" i="3"/>
  <c r="BL118" i="3"/>
  <c r="BA122" i="3"/>
  <c r="AZ122" i="3" s="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G205" i="3"/>
  <c r="BA18" i="3"/>
  <c r="BL21" i="3"/>
  <c r="G23" i="3"/>
  <c r="BL29" i="3"/>
  <c r="G33" i="3"/>
  <c r="G34" i="3"/>
  <c r="BA37" i="3"/>
  <c r="BL39" i="3"/>
  <c r="BA48" i="3"/>
  <c r="BA49" i="3"/>
  <c r="AZ64" i="3"/>
  <c r="BA104" i="3"/>
  <c r="D44" i="71"/>
  <c r="T44" i="71"/>
  <c r="D34" i="71"/>
  <c r="C35" i="71"/>
  <c r="C55" i="71"/>
  <c r="D54" i="71"/>
  <c r="D67" i="71"/>
  <c r="C66" i="71"/>
  <c r="O67" i="71"/>
  <c r="BL244" i="3"/>
  <c r="AZ244" i="3" s="1"/>
  <c r="BA246" i="3"/>
  <c r="BA252" i="3"/>
  <c r="BA254" i="3"/>
  <c r="AZ254" i="3" s="1"/>
  <c r="BA256" i="3"/>
  <c r="BL256" i="3"/>
  <c r="BA258" i="3"/>
  <c r="BL264" i="3"/>
  <c r="BL266" i="3"/>
  <c r="BA268" i="3"/>
  <c r="BL273" i="3"/>
  <c r="AZ273" i="3" s="1"/>
  <c r="BA277" i="3"/>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BL201" i="3"/>
  <c r="BL203" i="3"/>
  <c r="AZ203" i="3" s="1"/>
  <c r="BA204" i="3"/>
  <c r="AZ204" i="3" s="1"/>
  <c r="BL45" i="3"/>
  <c r="G103" i="3"/>
  <c r="BA103" i="3"/>
  <c r="AZ103" i="3" s="1"/>
  <c r="C64" i="71"/>
  <c r="D63" i="7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5" i="3"/>
  <c r="BL207" i="3"/>
  <c r="BL18" i="3"/>
  <c r="G19" i="3"/>
  <c r="BL19" i="3"/>
  <c r="AZ19" i="3" s="1"/>
  <c r="BA20" i="3"/>
  <c r="BL25" i="3"/>
  <c r="BL27" i="3"/>
  <c r="AZ27" i="3" s="1"/>
  <c r="BA28" i="3"/>
  <c r="BA31" i="3"/>
  <c r="AZ31" i="3" s="1"/>
  <c r="BA32" i="3"/>
  <c r="BA38" i="3"/>
  <c r="BL40" i="3"/>
  <c r="BL41" i="3"/>
  <c r="AZ41" i="3" s="1"/>
  <c r="BA50" i="3"/>
  <c r="BA51" i="3"/>
  <c r="G55" i="3"/>
  <c r="BL56" i="3"/>
  <c r="BA58" i="3"/>
  <c r="BL59" i="3"/>
  <c r="AZ59" i="3" s="1"/>
  <c r="BL60" i="3"/>
  <c r="BA61" i="3"/>
  <c r="AZ61" i="3" s="1"/>
  <c r="G66" i="3"/>
  <c r="BA68" i="3"/>
  <c r="G73" i="3"/>
  <c r="BL73" i="3"/>
  <c r="BA74" i="3"/>
  <c r="AZ74" i="3" s="1"/>
  <c r="BL79" i="3"/>
  <c r="BA80" i="3"/>
  <c r="BL84" i="3"/>
  <c r="BA91" i="3"/>
  <c r="AZ91" i="3" s="1"/>
  <c r="G95" i="3"/>
  <c r="G96" i="3"/>
  <c r="G106" i="3"/>
  <c r="BL106" i="3"/>
  <c r="BA108" i="3"/>
  <c r="AZ108" i="3" s="1"/>
  <c r="W21" i="21"/>
  <c r="AB21" i="37"/>
  <c r="U21" i="37"/>
  <c r="D31" i="71"/>
  <c r="C32" i="71"/>
  <c r="D50" i="71"/>
  <c r="C51" i="71"/>
  <c r="AZ177" i="3"/>
  <c r="AZ201" i="3"/>
  <c r="F40" i="69"/>
  <c r="C40" i="69"/>
  <c r="U21" i="33"/>
  <c r="AB21" i="33"/>
  <c r="T28" i="71"/>
  <c r="D28" i="71"/>
  <c r="U28" i="71" s="1"/>
  <c r="C27" i="71"/>
  <c r="F66" i="71"/>
  <c r="Q67" i="71"/>
  <c r="V24" i="71"/>
  <c r="E23" i="71"/>
  <c r="E22" i="71" s="1"/>
  <c r="E21" i="71" s="1"/>
  <c r="E20" i="71"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G43" i="3"/>
  <c r="G44" i="3"/>
  <c r="BA45" i="3"/>
  <c r="AZ45" i="3" s="1"/>
  <c r="BA46" i="3"/>
  <c r="BL49" i="3"/>
  <c r="BL50" i="3"/>
  <c r="BL51" i="3"/>
  <c r="BL53" i="3"/>
  <c r="BA56" i="3"/>
  <c r="BA57" i="3"/>
  <c r="BL58" i="3"/>
  <c r="G60" i="3"/>
  <c r="BA60" i="3"/>
  <c r="BA63" i="3"/>
  <c r="BA66" i="3"/>
  <c r="AZ66" i="3" s="1"/>
  <c r="BA71" i="3"/>
  <c r="BL77" i="3"/>
  <c r="AZ77" i="3" s="1"/>
  <c r="BA79" i="3"/>
  <c r="AZ79" i="3" s="1"/>
  <c r="BA84" i="3"/>
  <c r="AZ84" i="3" s="1"/>
  <c r="BL88" i="3"/>
  <c r="AZ88" i="3" s="1"/>
  <c r="BL90" i="3"/>
  <c r="BL92" i="3"/>
  <c r="G101" i="3"/>
  <c r="BA101" i="3"/>
  <c r="AZ101" i="3" s="1"/>
  <c r="G109" i="3"/>
  <c r="BL112" i="3"/>
  <c r="W18" i="35"/>
  <c r="U25" i="40"/>
  <c r="S21" i="34"/>
  <c r="B68" i="43"/>
  <c r="B88" i="43"/>
  <c r="D76" i="71"/>
  <c r="T68" i="71"/>
  <c r="X34" i="71"/>
  <c r="X31" i="71"/>
  <c r="F35" i="71"/>
  <c r="F36" i="71" s="1"/>
  <c r="V36" i="71" s="1"/>
  <c r="AA34" i="71"/>
  <c r="AB35" i="7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C21" i="37"/>
  <c r="U21" i="34"/>
  <c r="B57" i="43"/>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E13" i="6"/>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D103" i="9"/>
  <c r="C27" i="15"/>
  <c r="F65" i="15"/>
  <c r="G20" i="9"/>
  <c r="C103" i="9"/>
  <c r="N59" i="67"/>
  <c r="L59" i="67"/>
  <c r="M59" i="67"/>
  <c r="B13" i="70"/>
  <c r="F68" i="15"/>
  <c r="C36" i="68"/>
  <c r="D9" i="69"/>
  <c r="C36" i="69"/>
  <c r="D9" i="68"/>
  <c r="F42" i="67"/>
  <c r="D5" i="73"/>
  <c r="L48" i="67"/>
  <c r="M23" i="67"/>
  <c r="F9" i="67"/>
  <c r="M6" i="67"/>
  <c r="D3" i="73"/>
  <c r="F43" i="67"/>
  <c r="C16" i="15"/>
  <c r="M28" i="67"/>
  <c r="F13" i="67"/>
  <c r="M24" i="67"/>
  <c r="F36" i="67"/>
  <c r="D4" i="73"/>
  <c r="F40" i="67"/>
  <c r="M29" i="67"/>
  <c r="M22" i="67"/>
  <c r="F26" i="67"/>
  <c r="J15" i="67"/>
  <c r="C76" i="67"/>
  <c r="M9" i="67"/>
  <c r="F16" i="67"/>
  <c r="F7" i="67"/>
  <c r="F8" i="67"/>
  <c r="F37" i="67"/>
  <c r="M8" i="67"/>
  <c r="D7" i="73"/>
  <c r="E11" i="6" l="1"/>
  <c r="E60" i="39" s="1"/>
  <c r="E14" i="6"/>
  <c r="Q16" i="1"/>
  <c r="F27" i="69" s="1"/>
  <c r="C47" i="69" s="1"/>
  <c r="D45" i="69" s="1"/>
  <c r="N94" i="46"/>
  <c r="F26" i="43"/>
  <c r="G26" i="43"/>
  <c r="J26" i="43"/>
  <c r="K16" i="1"/>
  <c r="H16" i="1"/>
  <c r="E26" i="43"/>
  <c r="D17" i="53"/>
  <c r="B36" i="72" s="1"/>
  <c r="J7" i="36"/>
  <c r="Q71" i="67"/>
  <c r="F64" i="67"/>
  <c r="F65" i="67"/>
  <c r="C27" i="67"/>
  <c r="C6" i="67"/>
  <c r="F51" i="67"/>
  <c r="I54" i="67"/>
  <c r="L56" i="67"/>
  <c r="L58" i="67"/>
  <c r="J53" i="67"/>
  <c r="Q52" i="67" s="1"/>
  <c r="J57" i="67"/>
  <c r="J55" i="67" s="1"/>
  <c r="J58" i="67" s="1"/>
  <c r="Q50" i="67" s="1"/>
  <c r="M7" i="67"/>
  <c r="J6" i="67" s="1"/>
  <c r="J18" i="67" s="1"/>
  <c r="F31" i="67"/>
  <c r="F50" i="67"/>
  <c r="F68" i="67"/>
  <c r="F71" i="67"/>
  <c r="G5" i="3"/>
  <c r="B3" i="3" s="1"/>
  <c r="E258" i="3" s="1"/>
  <c r="AZ63" i="3"/>
  <c r="AZ57" i="3"/>
  <c r="D79" i="71"/>
  <c r="C78" i="71"/>
  <c r="D78" i="71" s="1"/>
  <c r="AZ51" i="3"/>
  <c r="AZ5" i="3" s="1"/>
  <c r="AZ271" i="3"/>
  <c r="AZ297" i="3"/>
  <c r="AZ256" i="3"/>
  <c r="AZ368" i="3"/>
  <c r="AZ353" i="3"/>
  <c r="AZ251" i="3"/>
  <c r="AZ397" i="3"/>
  <c r="AZ491" i="3"/>
  <c r="AZ464" i="3"/>
  <c r="AZ441" i="3"/>
  <c r="AZ405" i="3"/>
  <c r="U44" i="39"/>
  <c r="AB44" i="39"/>
  <c r="AB24" i="36"/>
  <c r="U24" i="36"/>
  <c r="AB32" i="36"/>
  <c r="U32" i="36"/>
  <c r="W12" i="35"/>
  <c r="AC12" i="35"/>
  <c r="U26" i="33"/>
  <c r="AB26" i="33"/>
  <c r="AB9" i="33"/>
  <c r="U9" i="33"/>
  <c r="G16" i="1"/>
  <c r="F10" i="39" s="1"/>
  <c r="AA10" i="39" s="1"/>
  <c r="D83" i="71"/>
  <c r="C82" i="71"/>
  <c r="D82" i="71" s="1"/>
  <c r="C52" i="71"/>
  <c r="D51" i="71"/>
  <c r="AZ58" i="3"/>
  <c r="AZ50" i="3"/>
  <c r="AZ277" i="3"/>
  <c r="C56" i="71"/>
  <c r="D55" i="71"/>
  <c r="AZ49" i="3"/>
  <c r="AZ118" i="3"/>
  <c r="AZ459" i="3"/>
  <c r="AZ125" i="3"/>
  <c r="AZ332" i="3"/>
  <c r="AZ404" i="3"/>
  <c r="AC24" i="36"/>
  <c r="W24" i="36"/>
  <c r="U39" i="40"/>
  <c r="AB39" i="40"/>
  <c r="AA14" i="33"/>
  <c r="S14" i="33"/>
  <c r="S32" i="36"/>
  <c r="AA32" i="36"/>
  <c r="S26" i="33"/>
  <c r="AA26" i="33"/>
  <c r="AZ71" i="3"/>
  <c r="C70" i="71"/>
  <c r="D70" i="71" s="1"/>
  <c r="D71" i="71"/>
  <c r="AZ20" i="3"/>
  <c r="AZ130" i="3"/>
  <c r="AZ252" i="3"/>
  <c r="O65" i="71"/>
  <c r="D66" i="71"/>
  <c r="O66" i="71"/>
  <c r="C36" i="71"/>
  <c r="D35" i="71"/>
  <c r="AZ483" i="3"/>
  <c r="AA27" i="21"/>
  <c r="S27" i="21"/>
  <c r="AC39" i="37"/>
  <c r="W39" i="37"/>
  <c r="AC39" i="40"/>
  <c r="W39" i="40"/>
  <c r="W31" i="34"/>
  <c r="AC31" i="34"/>
  <c r="U12" i="36"/>
  <c r="AB12" i="36"/>
  <c r="AC26" i="33"/>
  <c r="W26" i="33"/>
  <c r="C40" i="71"/>
  <c r="D39" i="71"/>
  <c r="D75" i="71"/>
  <c r="C74" i="71"/>
  <c r="D74" i="71" s="1"/>
  <c r="C26" i="71"/>
  <c r="D26" i="71" s="1"/>
  <c r="D27" i="71"/>
  <c r="T32" i="71"/>
  <c r="D32" i="71"/>
  <c r="AZ28" i="3"/>
  <c r="AA25" i="37"/>
  <c r="S25" i="37"/>
  <c r="AC44" i="39"/>
  <c r="W44" i="39"/>
  <c r="AA24" i="36"/>
  <c r="S24" i="36"/>
  <c r="S45" i="39"/>
  <c r="AA45" i="39"/>
  <c r="S30" i="21"/>
  <c r="AA30" i="21"/>
  <c r="AA33" i="40"/>
  <c r="S33" i="40"/>
  <c r="W12" i="36"/>
  <c r="AC12" i="36"/>
  <c r="J7" i="37"/>
  <c r="AC7" i="37" s="1"/>
  <c r="K1" i="73"/>
  <c r="E510" i="3"/>
  <c r="E63" i="3"/>
  <c r="E251" i="3"/>
  <c r="E115" i="3"/>
  <c r="E16" i="3"/>
  <c r="E376" i="3"/>
  <c r="J6" i="3"/>
  <c r="E333" i="3"/>
  <c r="E372" i="3"/>
  <c r="E194" i="3"/>
  <c r="E339" i="3"/>
  <c r="E50" i="3"/>
  <c r="E20" i="3"/>
  <c r="E90" i="3"/>
  <c r="E155" i="3"/>
  <c r="E421" i="3"/>
  <c r="E520" i="3"/>
  <c r="E464" i="3"/>
  <c r="E582" i="3"/>
  <c r="E462" i="3"/>
  <c r="E66" i="3"/>
  <c r="E504" i="3"/>
  <c r="E307" i="3"/>
  <c r="E529" i="3"/>
  <c r="E438" i="3"/>
  <c r="E397" i="3"/>
  <c r="E196" i="3"/>
  <c r="E71" i="3"/>
  <c r="E272" i="3"/>
  <c r="E574" i="3"/>
  <c r="E359" i="3"/>
  <c r="E565" i="3"/>
  <c r="E213" i="3"/>
  <c r="E156" i="3"/>
  <c r="E128" i="3"/>
  <c r="E496" i="3"/>
  <c r="E55" i="3"/>
  <c r="AG6" i="3"/>
  <c r="P6" i="3"/>
  <c r="E30" i="3"/>
  <c r="E125" i="3"/>
  <c r="E559" i="3"/>
  <c r="V6" i="3"/>
  <c r="E550" i="3"/>
  <c r="E117" i="3"/>
  <c r="E583" i="3"/>
  <c r="E453" i="3"/>
  <c r="E458" i="3"/>
  <c r="E527" i="3"/>
  <c r="E351" i="3"/>
  <c r="E318" i="3"/>
  <c r="E478" i="3"/>
  <c r="E477" i="3"/>
  <c r="E331" i="3"/>
  <c r="E384" i="3"/>
  <c r="E410" i="3"/>
  <c r="E337" i="3"/>
  <c r="E561" i="3"/>
  <c r="E231" i="3"/>
  <c r="E185" i="3"/>
  <c r="E503" i="3"/>
  <c r="E134" i="3"/>
  <c r="E301" i="3"/>
  <c r="E495" i="3"/>
  <c r="E124" i="3"/>
  <c r="E399" i="3"/>
  <c r="E568" i="3"/>
  <c r="E181" i="3"/>
  <c r="AK6"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F7" i="33"/>
  <c r="E58" i="21"/>
  <c r="AC7" i="36"/>
  <c r="W7" i="36"/>
  <c r="F7" i="37"/>
  <c r="M17" i="15"/>
  <c r="F59" i="15"/>
  <c r="P28" i="43"/>
  <c r="B66" i="40" s="1"/>
  <c r="P25" i="43"/>
  <c r="P29" i="43"/>
  <c r="P27" i="43"/>
  <c r="B70" i="39" s="1"/>
  <c r="C49" i="15"/>
  <c r="J18" i="15"/>
  <c r="C32" i="67"/>
  <c r="C32" i="9"/>
  <c r="Q60" i="67"/>
  <c r="Q73" i="67"/>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C16" i="67"/>
  <c r="F41" i="67"/>
  <c r="G1" i="73"/>
  <c r="C49" i="67" l="1"/>
  <c r="M17" i="67"/>
  <c r="F45" i="69"/>
  <c r="C29" i="69"/>
  <c r="D27" i="69" s="1"/>
  <c r="J5" i="67"/>
  <c r="J24" i="67" s="1"/>
  <c r="E326" i="3"/>
  <c r="E420" i="3"/>
  <c r="E34" i="3"/>
  <c r="E67" i="3"/>
  <c r="E305" i="3"/>
  <c r="E27" i="3"/>
  <c r="E271" i="3"/>
  <c r="E72" i="3"/>
  <c r="E45" i="3"/>
  <c r="E578" i="3"/>
  <c r="E114" i="3"/>
  <c r="E569" i="3"/>
  <c r="E88" i="3"/>
  <c r="I6" i="3"/>
  <c r="E437" i="3"/>
  <c r="E402" i="3"/>
  <c r="E338" i="3"/>
  <c r="E501" i="3"/>
  <c r="E432" i="3"/>
  <c r="E208" i="3"/>
  <c r="E306" i="3"/>
  <c r="E195" i="3"/>
  <c r="E373" i="3"/>
  <c r="E354" i="3"/>
  <c r="E250" i="3"/>
  <c r="E165" i="3"/>
  <c r="E123" i="3"/>
  <c r="E455" i="3"/>
  <c r="E178" i="3"/>
  <c r="E427" i="3"/>
  <c r="E324" i="3"/>
  <c r="E469" i="3"/>
  <c r="AL6" i="3"/>
  <c r="E409" i="3"/>
  <c r="E228" i="3"/>
  <c r="E77" i="3"/>
  <c r="E350" i="3"/>
  <c r="E361" i="3"/>
  <c r="AR6" i="3"/>
  <c r="E530" i="3"/>
  <c r="E447" i="3"/>
  <c r="E269" i="3"/>
  <c r="E450" i="3"/>
  <c r="E99" i="3"/>
  <c r="E382" i="3"/>
  <c r="E230" i="3"/>
  <c r="E516" i="3"/>
  <c r="E404" i="3"/>
  <c r="E394" i="3"/>
  <c r="Q6" i="3"/>
  <c r="E159" i="3"/>
  <c r="E506" i="3"/>
  <c r="E53" i="3"/>
  <c r="E548" i="3"/>
  <c r="E475" i="3"/>
  <c r="E352" i="3"/>
  <c r="E488" i="3"/>
  <c r="E266" i="3"/>
  <c r="E209" i="3"/>
  <c r="E386" i="3"/>
  <c r="E524" i="3"/>
  <c r="E36" i="3"/>
  <c r="E15" i="3"/>
  <c r="E40" i="3"/>
  <c r="E543" i="3"/>
  <c r="E220" i="3"/>
  <c r="E173" i="3"/>
  <c r="E332" i="3"/>
  <c r="E536" i="3"/>
  <c r="E267" i="3"/>
  <c r="E264" i="3"/>
  <c r="E18" i="3"/>
  <c r="E22" i="3"/>
  <c r="E408" i="3"/>
  <c r="E243" i="3"/>
  <c r="E232" i="3"/>
  <c r="E223" i="3"/>
  <c r="E486" i="3"/>
  <c r="E419" i="3"/>
  <c r="E202" i="3"/>
  <c r="E60" i="3"/>
  <c r="E170" i="3"/>
  <c r="E325" i="3"/>
  <c r="E147" i="3"/>
  <c r="E218" i="3"/>
  <c r="E552" i="3"/>
  <c r="E348" i="3"/>
  <c r="E222" i="3"/>
  <c r="E57" i="3"/>
  <c r="E284" i="3"/>
  <c r="E375" i="3"/>
  <c r="E542" i="3"/>
  <c r="Y6" i="3"/>
  <c r="E167" i="3"/>
  <c r="E82" i="3"/>
  <c r="E157" i="3"/>
  <c r="W6" i="3"/>
  <c r="E257" i="3"/>
  <c r="E145" i="3"/>
  <c r="E403" i="3"/>
  <c r="E291" i="3"/>
  <c r="E153" i="3"/>
  <c r="E390" i="3"/>
  <c r="E298" i="3"/>
  <c r="E17" i="3"/>
  <c r="E353" i="3"/>
  <c r="E262" i="3"/>
  <c r="E424" i="3"/>
  <c r="E256" i="3"/>
  <c r="E236" i="3"/>
  <c r="E443" i="3"/>
  <c r="E295" i="3"/>
  <c r="E553" i="3"/>
  <c r="E396" i="3"/>
  <c r="E320" i="3"/>
  <c r="E415" i="3"/>
  <c r="E290" i="3"/>
  <c r="E293" i="3"/>
  <c r="E85" i="3"/>
  <c r="E193" i="3"/>
  <c r="E562" i="3"/>
  <c r="E111" i="3"/>
  <c r="E31" i="3"/>
  <c r="E585" i="3"/>
  <c r="E505" i="3"/>
  <c r="E162" i="3"/>
  <c r="E441" i="3"/>
  <c r="E508" i="3"/>
  <c r="E143" i="3"/>
  <c r="E439" i="3"/>
  <c r="E261" i="3"/>
  <c r="E180" i="3"/>
  <c r="E56" i="3"/>
  <c r="E310" i="3"/>
  <c r="E309" i="3"/>
  <c r="E235" i="3"/>
  <c r="E140" i="3"/>
  <c r="E497" i="3"/>
  <c r="E78" i="3"/>
  <c r="E370" i="3"/>
  <c r="E105" i="3"/>
  <c r="E490" i="3"/>
  <c r="E463" i="3"/>
  <c r="E226" i="3"/>
  <c r="E540" i="3"/>
  <c r="E137" i="3"/>
  <c r="AQ6" i="3"/>
  <c r="E364" i="3"/>
  <c r="E265" i="3"/>
  <c r="E398" i="3"/>
  <c r="E65" i="3"/>
  <c r="E312" i="3"/>
  <c r="E110" i="3"/>
  <c r="E323" i="3"/>
  <c r="E47" i="3"/>
  <c r="E39" i="3"/>
  <c r="E459" i="3"/>
  <c r="E413" i="3"/>
  <c r="E122" i="3"/>
  <c r="E532" i="3"/>
  <c r="E471" i="3"/>
  <c r="E357" i="3"/>
  <c r="U6" i="3"/>
  <c r="E546" i="3"/>
  <c r="AM6" i="3"/>
  <c r="O6" i="3"/>
  <c r="S6" i="3"/>
  <c r="E169" i="3"/>
  <c r="E254" i="3"/>
  <c r="AA6" i="3"/>
  <c r="E120" i="3"/>
  <c r="AE6" i="3"/>
  <c r="E274" i="3"/>
  <c r="E164" i="3"/>
  <c r="E444" i="3"/>
  <c r="E316" i="3"/>
  <c r="E282" i="3"/>
  <c r="E358" i="3"/>
  <c r="E294" i="3"/>
  <c r="E395" i="3"/>
  <c r="E245" i="3"/>
  <c r="E336" i="3"/>
  <c r="E314" i="3"/>
  <c r="E573" i="3"/>
  <c r="E571" i="3"/>
  <c r="E150" i="3"/>
  <c r="E549" i="3"/>
  <c r="E515" i="3"/>
  <c r="AS6" i="3"/>
  <c r="E210" i="3"/>
  <c r="E175" i="3"/>
  <c r="E388" i="3"/>
  <c r="E533" i="3"/>
  <c r="E380" i="3"/>
  <c r="E528" i="3"/>
  <c r="E91" i="3"/>
  <c r="E586" i="3"/>
  <c r="E347" i="3"/>
  <c r="E545" i="3"/>
  <c r="E133" i="3"/>
  <c r="E406" i="3"/>
  <c r="E468" i="3"/>
  <c r="E171" i="3"/>
  <c r="E74" i="3"/>
  <c r="E204" i="3"/>
  <c r="E485" i="3"/>
  <c r="E531" i="3"/>
  <c r="E182" i="3"/>
  <c r="E572" i="3"/>
  <c r="E268" i="3"/>
  <c r="E579" i="3"/>
  <c r="E311" i="3"/>
  <c r="AB6" i="3"/>
  <c r="E189" i="3"/>
  <c r="E172" i="3"/>
  <c r="E135" i="3"/>
  <c r="AI6" i="3"/>
  <c r="D26" i="43"/>
  <c r="C25" i="43" s="1"/>
  <c r="E63" i="39"/>
  <c r="E59" i="40"/>
  <c r="E442" i="3"/>
  <c r="E389" i="3"/>
  <c r="E300" i="3"/>
  <c r="E233" i="3"/>
  <c r="E198" i="3"/>
  <c r="E129" i="3"/>
  <c r="E102" i="3"/>
  <c r="E405" i="3"/>
  <c r="E452" i="3"/>
  <c r="E428" i="3"/>
  <c r="E49" i="3"/>
  <c r="E83" i="3"/>
  <c r="E393"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166" i="3"/>
  <c r="E480" i="3"/>
  <c r="N6" i="3"/>
  <c r="E151" i="3"/>
  <c r="E407" i="3"/>
  <c r="E130" i="3"/>
  <c r="E260" i="3"/>
  <c r="E61" i="3"/>
  <c r="E518" i="3"/>
  <c r="E253" i="3"/>
  <c r="E511" i="3"/>
  <c r="E519" i="3"/>
  <c r="E457" i="3"/>
  <c r="E433" i="3"/>
  <c r="E279" i="3"/>
  <c r="E567" i="3"/>
  <c r="E107" i="3"/>
  <c r="E414" i="3"/>
  <c r="E476" i="3"/>
  <c r="E186" i="3"/>
  <c r="E44" i="3"/>
  <c r="E343" i="3"/>
  <c r="E555" i="3"/>
  <c r="E270" i="3"/>
  <c r="E538" i="3"/>
  <c r="E216" i="3"/>
  <c r="E183" i="3"/>
  <c r="S10" i="39"/>
  <c r="H10" i="39"/>
  <c r="U10" i="39" s="1"/>
  <c r="E144" i="3"/>
  <c r="E425" i="3"/>
  <c r="E491" i="3"/>
  <c r="E212" i="3"/>
  <c r="E286" i="3"/>
  <c r="I3" i="6"/>
  <c r="E95" i="3"/>
  <c r="E76" i="3"/>
  <c r="E103" i="3"/>
  <c r="E23" i="3"/>
  <c r="E381" i="3"/>
  <c r="E21" i="3"/>
  <c r="E75" i="3"/>
  <c r="E522" i="3"/>
  <c r="E287" i="3"/>
  <c r="E534" i="3"/>
  <c r="E360" i="3"/>
  <c r="E104" i="3"/>
  <c r="E412" i="3"/>
  <c r="E342" i="3"/>
  <c r="E158" i="3"/>
  <c r="E188" i="3"/>
  <c r="E49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R6" i="3"/>
  <c r="E554" i="3"/>
  <c r="E64" i="3"/>
  <c r="E363" i="3"/>
  <c r="E430"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192" i="3"/>
  <c r="E417" i="3"/>
  <c r="AP6" i="3"/>
  <c r="E541" i="3"/>
  <c r="E575" i="3"/>
  <c r="E539" i="3"/>
  <c r="E225" i="3"/>
  <c r="E26" i="3"/>
  <c r="E13" i="3"/>
  <c r="E451" i="3"/>
  <c r="E456" i="3"/>
  <c r="E525" i="3"/>
  <c r="E205" i="3"/>
  <c r="E113" i="3"/>
  <c r="E206" i="3"/>
  <c r="E383" i="3"/>
  <c r="E96" i="3"/>
  <c r="E42" i="3"/>
  <c r="E281" i="3"/>
  <c r="E513" i="3"/>
  <c r="E81" i="3"/>
  <c r="E355" i="3"/>
  <c r="E33" i="3"/>
  <c r="E492" i="3"/>
  <c r="E249" i="3"/>
  <c r="E46" i="3"/>
  <c r="E484" i="3"/>
  <c r="E544" i="3"/>
  <c r="E241" i="3"/>
  <c r="E37" i="3"/>
  <c r="E435" i="3"/>
  <c r="E449" i="3"/>
  <c r="E502" i="3"/>
  <c r="E199" i="3"/>
  <c r="F1" i="67"/>
  <c r="U7" i="36"/>
  <c r="W7" i="37"/>
  <c r="AY6" i="3"/>
  <c r="AY87" i="3" s="1"/>
  <c r="E3" i="6"/>
  <c r="F10" i="40"/>
  <c r="S10" i="40" s="1"/>
  <c r="T36" i="71"/>
  <c r="D36" i="71"/>
  <c r="T52" i="71"/>
  <c r="D52" i="71"/>
  <c r="D56" i="71"/>
  <c r="T56" i="71"/>
  <c r="V36" i="36"/>
  <c r="I36" i="36" s="1"/>
  <c r="G41" i="36" s="1"/>
  <c r="H41" i="36" s="1"/>
  <c r="H10" i="40"/>
  <c r="AB10" i="40" s="1"/>
  <c r="J10" i="40"/>
  <c r="AC10" i="40" s="1"/>
  <c r="J10" i="39"/>
  <c r="W10" i="39" s="1"/>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176" i="3"/>
  <c r="AY155" i="3"/>
  <c r="AY115" i="3"/>
  <c r="AY188" i="3"/>
  <c r="AY131" i="3"/>
  <c r="AY276" i="3"/>
  <c r="AY297" i="3"/>
  <c r="AY268" i="3"/>
  <c r="AY225" i="3"/>
  <c r="AY335" i="3"/>
  <c r="AY103" i="3"/>
  <c r="AY50" i="3"/>
  <c r="AY289" i="3"/>
  <c r="AY183" i="3"/>
  <c r="AY261" i="3"/>
  <c r="AY209" i="3"/>
  <c r="AY319" i="3"/>
  <c r="AY473" i="3"/>
  <c r="AY441" i="3"/>
  <c r="AY529" i="3"/>
  <c r="AY26" i="3"/>
  <c r="AY260" i="3"/>
  <c r="AY217" i="3"/>
  <c r="AY372" i="3"/>
  <c r="AY310" i="3"/>
  <c r="AY463" i="3"/>
  <c r="AY420" i="3"/>
  <c r="AY513" i="3"/>
  <c r="AY549" i="3"/>
  <c r="AY544" i="3"/>
  <c r="AY533"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S7" i="33"/>
  <c r="AA7" i="33"/>
  <c r="R48" i="33" s="1"/>
  <c r="G53" i="34"/>
  <c r="H53" i="34" s="1"/>
  <c r="G54" i="34"/>
  <c r="H54" i="34" s="1"/>
  <c r="G40" i="36"/>
  <c r="H40"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F22" i="68" l="1"/>
  <c r="F25" i="12"/>
  <c r="H6"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69" i="3"/>
  <c r="AY401" i="3"/>
  <c r="AY327" i="3"/>
  <c r="AY300" i="3"/>
  <c r="AY460" i="3"/>
  <c r="AY284" i="3"/>
  <c r="AY160" i="3"/>
  <c r="AY371" i="3"/>
  <c r="AY58" i="3"/>
  <c r="AY59" i="3"/>
  <c r="AY23" i="3"/>
  <c r="AC6" i="3"/>
  <c r="E6" i="3" s="1"/>
  <c r="AY452" i="3"/>
  <c r="AY342" i="3"/>
  <c r="AY395" i="3"/>
  <c r="AY245" i="3"/>
  <c r="AY106" i="3"/>
  <c r="AY428" i="3"/>
  <c r="AY318" i="3"/>
  <c r="AY252" i="3"/>
  <c r="AY123" i="3"/>
  <c r="AY139" i="3"/>
  <c r="AY67" i="3"/>
  <c r="AY366" i="3"/>
  <c r="AY236" i="3"/>
  <c r="AY168" i="3"/>
  <c r="AY281" i="3"/>
  <c r="AY42" i="3"/>
  <c r="AY124" i="3"/>
  <c r="AY207" i="3"/>
  <c r="AY51" i="3"/>
  <c r="AY541" i="3"/>
  <c r="BK6" i="3"/>
  <c r="AY433" i="3"/>
  <c r="AY465" i="3"/>
  <c r="AY358" i="3"/>
  <c r="AY228" i="3"/>
  <c r="AY180" i="3"/>
  <c r="AY409" i="3"/>
  <c r="AY470" i="3"/>
  <c r="AY363" i="3"/>
  <c r="AY204" i="3"/>
  <c r="AY74" i="3"/>
  <c r="AY196" i="3"/>
  <c r="AY303" i="3"/>
  <c r="AY382" i="3"/>
  <c r="AY253" i="3"/>
  <c r="AY111" i="3"/>
  <c r="AY152" i="3"/>
  <c r="AY95" i="3"/>
  <c r="AY144" i="3"/>
  <c r="AY34" i="3"/>
  <c r="I40" i="36"/>
  <c r="J40" i="36"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4" i="67"/>
  <c r="C17" i="67"/>
  <c r="C17" i="15"/>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0" i="1"/>
  <c r="AO9" i="1"/>
  <c r="AO12" i="1"/>
  <c r="AO7"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4" i="9"/>
  <c r="L64" i="9"/>
  <c r="M65" i="9"/>
  <c r="L65" i="9"/>
  <c r="E81" i="9"/>
  <c r="E80" i="9"/>
  <c r="C80" i="9"/>
  <c r="B47" i="72"/>
  <c r="D4" i="52"/>
  <c r="B21" i="72"/>
  <c r="D7" i="53"/>
  <c r="B52" i="72"/>
  <c r="G4" i="52"/>
  <c r="M55" i="9"/>
  <c r="D59" i="9"/>
  <c r="B22" i="72"/>
  <c r="D6" i="53"/>
  <c r="M67" i="9"/>
  <c r="L67" i="9"/>
  <c r="C86" i="9"/>
  <c r="C93" i="9"/>
  <c r="C73" i="9"/>
  <c r="C78" i="9"/>
  <c r="N58" i="9"/>
  <c r="D55" i="9"/>
  <c r="M53" i="9"/>
  <c r="N57" i="9"/>
  <c r="P57" i="9"/>
  <c r="D8" i="52"/>
  <c r="B30" i="72"/>
  <c r="B48" i="72"/>
  <c r="E4" i="52"/>
  <c r="D122" i="9"/>
  <c r="D123" i="9"/>
  <c r="D9" i="52"/>
  <c r="M68" i="9"/>
  <c r="L68" i="9"/>
  <c r="N69" i="9"/>
  <c r="L63" i="9"/>
  <c r="M63" i="9"/>
  <c r="M69" i="9"/>
  <c r="C72" i="9"/>
  <c r="C79" i="9"/>
  <c r="C81" i="9"/>
  <c r="D5" i="53"/>
  <c r="B20" i="72"/>
  <c r="H5" i="52"/>
  <c r="H119" i="9"/>
  <c r="B51" i="72"/>
  <c r="F4" i="52"/>
  <c r="C6" i="74"/>
  <c r="E118" i="9"/>
  <c r="D118" i="9"/>
  <c r="D119" i="9"/>
  <c r="D5" i="52"/>
  <c r="B49" i="72"/>
  <c r="M66" i="9"/>
  <c r="L66" i="9"/>
  <c r="B53" i="72"/>
  <c r="F5" i="52"/>
  <c r="G118" i="9"/>
  <c r="F118" i="9"/>
  <c r="F119" i="9"/>
  <c r="E97" i="9"/>
  <c r="C96" i="9"/>
  <c r="E96" i="9"/>
  <c r="D52" i="9"/>
  <c r="D53" i="9"/>
  <c r="D13" i="53"/>
  <c r="D14" i="53"/>
  <c r="B32" i="72"/>
  <c r="M48" i="9"/>
  <c r="C104" i="9"/>
  <c r="H4" i="52"/>
  <c r="N60" i="9"/>
  <c r="M49" i="9"/>
  <c r="N59" i="9"/>
  <c r="N61" i="9"/>
  <c r="I4" i="52"/>
  <c r="C105" i="9"/>
  <c r="D54" i="9"/>
  <c r="C64" i="9"/>
  <c r="C63" i="9"/>
  <c r="C67" i="9"/>
  <c r="C68" i="9"/>
  <c r="H102" i="9"/>
  <c r="C5" i="74"/>
  <c r="H107" i="9"/>
  <c r="H108" i="9"/>
  <c r="D15" i="53"/>
  <c r="B31"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<sst xmlns="http://schemas.openxmlformats.org/spreadsheetml/2006/main" count="7829" uniqueCount="3424">
  <si>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</si>
  <si>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</si>
  <si>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</si>
  <si>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</si>
  <si>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</si>
  <si>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</si>
  <si>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</si>
  <si>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</si>
  <si>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</si>
  <si>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</si>
  <si>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</si>
  <si>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</si>
  <si>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</si>
  <si>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</si>
  <si>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</si>
  <si>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</si>
  <si>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</si>
  <si>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</si>
  <si>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</si>
  <si>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</si>
  <si>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</si>
  <si>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</si>
  <si>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</si>
  <si>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</si>
  <si>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</si>
  <si>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</si>
  <si>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</si>
  <si>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</si>
  <si>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</si>
  <si>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</si>
  <si>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</si>
  <si>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</si>
  <si>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</si>
  <si>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</si>
  <si>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</si>
  <si>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</si>
  <si>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</si>
  <si>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</si>
  <si>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</si>
  <si>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</si>
  <si>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</si>
  <si>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</si>
  <si>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</si>
  <si>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</si>
  <si>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</si>
  <si>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</si>
  <si>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</si>
  <si>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</si>
  <si>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</si>
  <si>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</si>
  <si>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</si>
  <si>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</si>
  <si>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</si>
  <si>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</si>
  <si>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</si>
  <si>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</si>
  <si>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</si>
  <si>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</si>
  <si>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</si>
  <si>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</si>
  <si>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</si>
  <si>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</si>
  <si>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</si>
  <si>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</si>
  <si>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</si>
  <si>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</si>
  <si>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</si>
  <si>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</si>
  <si>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</si>
  <si>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</si>
  <si>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</si>
  <si>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</si>
  <si>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</si>
  <si>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</si>
  <si>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</si>
  <si>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</si>
  <si>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</si>
  <si>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</si>
  <si>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</si>
  <si>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</si>
  <si>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</si>
  <si>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</si>
  <si>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</si>
  <si>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</si>
  <si>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</si>
  <si>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</si>
  <si>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</si>
  <si>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</si>
  <si>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</si>
  <si>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</si>
  <si>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</si>
  <si>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</si>
  <si>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</si>
  <si>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</si>
  <si>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</si>
  <si>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</si>
  <si>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</si>
  <si>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</si>
  <si>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</si>
  <si>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</si>
  <si>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</si>
  <si>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</si>
  <si>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</si>
  <si>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</si>
  <si>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</si>
  <si>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</si>
  <si>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</si>
  <si>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</si>
  <si>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</si>
  <si>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</si>
  <si>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</si>
  <si>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</si>
  <si>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</si>
  <si>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</si>
  <si>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</si>
  <si>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</si>
  <si>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</si>
  <si>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</si>
  <si>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</si>
  <si>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</si>
  <si>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</si>
  <si>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</si>
  <si>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</si>
  <si>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</si>
  <si>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</si>
  <si>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</si>
  <si>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</si>
  <si>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</si>
  <si>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</si>
  <si>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</si>
  <si>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</si>
  <si>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</si>
  <si>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</si>
  <si>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</si>
  <si>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</si>
  <si>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</si>
  <si>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</si>
  <si>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</si>
  <si>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</si>
  <si>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</si>
  <si>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</si>
  <si>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</si>
  <si>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</si>
  <si>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</si>
  <si>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</si>
  <si>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</si>
  <si>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</si>
  <si>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</si>
  <si>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</si>
  <si>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</si>
  <si>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</si>
  <si>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</si>
  <si>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</si>
  <si>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</si>
  <si>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</si>
  <si>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</si>
  <si>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</si>
  <si>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</si>
  <si>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</si>
  <si>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</si>
  <si>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</si>
  <si>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</si>
  <si>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</si>
  <si>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</si>
  <si>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</si>
  <si>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</si>
  <si>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</si>
  <si>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</si>
  <si>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</si>
  <si>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</si>
  <si>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</si>
  <si>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</si>
  <si>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</si>
  <si>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</si>
  <si>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</si>
  <si>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</si>
  <si>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</si>
  <si>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</si>
  <si>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</si>
  <si>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</si>
  <si>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</si>
  <si>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</si>
  <si>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</si>
  <si>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</si>
  <si>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</si>
  <si>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</si>
  <si>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</si>
  <si>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</si>
  <si>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</si>
  <si>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</si>
  <si>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</si>
  <si>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</si>
  <si>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</si>
  <si>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</si>
  <si>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</si>
  <si>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</si>
  <si>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</si>
  <si>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</si>
  <si>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</si>
  <si>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</si>
  <si>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</si>
  <si>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</si>
  <si>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</si>
  <si>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</si>
  <si>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</si>
  <si>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</si>
  <si>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</si>
  <si>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</si>
  <si>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</si>
  <si>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</si>
  <si>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</si>
  <si>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</si>
  <si>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</si>
  <si>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</si>
  <si>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</si>
  <si>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</si>
  <si>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</si>
  <si>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</si>
  <si>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</si>
  <si>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</si>
  <si>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</si>
  <si>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</si>
  <si>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</si>
  <si>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</si>
  <si>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</si>
  <si>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</si>
  <si>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</si>
  <si>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</si>
  <si>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</si>
  <si>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</si>
  <si>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</si>
  <si>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</si>
  <si>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</si>
  <si>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</si>
  <si>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</si>
  <si>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</si>
  <si>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</si>
  <si>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</si>
  <si>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</si>
  <si>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</si>
  <si>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</si>
  <si>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</si>
  <si>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</si>
  <si>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</si>
  <si>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</si>
  <si>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</si>
  <si>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</si>
  <si>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</si>
  <si>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</si>
  <si>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</si>
  <si>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</si>
  <si>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</si>
  <si>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</si>
  <si>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</si>
  <si>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</si>
  <si>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</si>
  <si>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</si>
  <si>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</si>
  <si>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</si>
  <si>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</si>
  <si>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</si>
  <si>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</si>
  <si>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</si>
  <si>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</si>
  <si>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</si>
  <si>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</si>
  <si>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</si>
  <si>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</si>
  <si>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</si>
  <si>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</si>
  <si>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</si>
  <si>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</si>
  <si>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</si>
  <si>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</si>
  <si>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</si>
  <si>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</si>
  <si>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</si>
  <si>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</si>
  <si>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</si>
  <si>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</si>
  <si>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</si>
  <si>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</si>
  <si>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</si>
  <si>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</si>
  <si>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</si>
  <si>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</si>
  <si>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</si>
  <si>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</si>
  <si>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</si>
  <si>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</si>
  <si>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</si>
  <si>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</si>
  <si>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</si>
  <si>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</si>
  <si>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</si>
  <si>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</si>
  <si>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</si>
  <si>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</si>
  <si>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</si>
  <si>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</si>
  <si>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</si>
  <si>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</si>
  <si>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</si>
  <si>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</si>
  <si>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</si>
  <si>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</si>
  <si>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</si>
  <si>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</si>
  <si>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</si>
  <si>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</si>
  <si>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</si>
  <si>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</si>
  <si>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</si>
  <si>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</si>
  <si>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</si>
  <si>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</si>
  <si>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</si>
  <si>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</si>
  <si>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</si>
  <si>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</si>
  <si>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</si>
  <si>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</si>
  <si>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</si>
  <si>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</si>
  <si>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</si>
  <si>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</si>
  <si>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</si>
  <si>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</si>
  <si>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</si>
  <si>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</si>
  <si>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</si>
  <si>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</si>
  <si>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</si>
  <si>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</si>
  <si>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</si>
  <si>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</si>
  <si>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</si>
  <si>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</si>
  <si>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</si>
  <si>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</si>
  <si>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</si>
  <si>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</si>
  <si>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</si>
  <si>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</si>
  <si>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</si>
  <si>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</si>
  <si>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</si>
  <si>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</si>
  <si>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</si>
  <si>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</si>
  <si>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</si>
  <si>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</si>
  <si>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</si>
  <si>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</si>
  <si>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</si>
  <si>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</si>
  <si>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</si>
  <si>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</si>
  <si>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</si>
  <si>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</si>
  <si>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</si>
  <si>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</si>
  <si>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</si>
  <si>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</si>
  <si>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</si>
  <si>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</si>
  <si>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</si>
  <si>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</si>
  <si>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</si>
  <si>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</si>
  <si>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</si>
  <si>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</si>
  <si>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</si>
  <si>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</si>
  <si>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</si>
  <si>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</si>
  <si>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</si>
  <si>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</si>
  <si>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</si>
  <si>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</si>
  <si>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</si>
  <si>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</si>
  <si>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</si>
  <si>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</si>
  <si>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</si>
  <si>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</si>
  <si>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</si>
  <si>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</si>
  <si>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</si>
  <si>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</si>
  <si>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</si>
  <si>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</si>
  <si>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</si>
  <si>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</si>
  <si>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</si>
  <si>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</si>
  <si>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</si>
  <si>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</si>
  <si>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</si>
  <si>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</si>
  <si>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</si>
  <si>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</si>
  <si>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</si>
  <si>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</si>
  <si>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</si>
  <si>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</si>
  <si>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</si>
  <si>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</si>
  <si>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</si>
  <si>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</si>
  <si>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</si>
  <si>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</si>
  <si>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</si>
  <si>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</si>
  <si>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</si>
  <si>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</si>
  <si>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</si>
  <si>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</si>
  <si>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</si>
  <si>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</si>
  <si>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</si>
  <si>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</si>
  <si>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</si>
  <si>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</si>
  <si>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</si>
  <si>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</si>
  <si>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</si>
  <si>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</si>
  <si>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</si>
  <si>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</si>
  <si>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</si>
  <si>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</si>
  <si>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</si>
  <si>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</si>
  <si>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</si>
  <si>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</si>
  <si>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</si>
  <si>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</si>
  <si>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</si>
  <si>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</si>
  <si>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</si>
  <si>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</si>
  <si>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</si>
  <si>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</si>
  <si>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</si>
  <si>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</si>
  <si>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</si>
  <si>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</si>
  <si>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</si>
  <si>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</si>
  <si>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</si>
  <si>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</si>
  <si>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</si>
  <si>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</si>
  <si>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</si>
  <si>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</si>
  <si>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</si>
  <si>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</si>
  <si>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</si>
  <si>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</si>
  <si>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</si>
  <si>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</si>
  <si>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</si>
  <si>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</si>
  <si>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</si>
  <si>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</si>
  <si>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</si>
  <si>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</si>
  <si>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</si>
  <si>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</si>
  <si>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</si>
  <si>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</si>
  <si>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</si>
  <si>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</si>
  <si>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</si>
  <si>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</si>
  <si>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</si>
  <si>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</si>
  <si>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</si>
  <si>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</si>
  <si>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</si>
  <si>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</si>
  <si>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</si>
  <si>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</si>
  <si>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</si>
  <si>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</si>
  <si>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</si>
  <si>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</si>
  <si>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</si>
  <si>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</si>
  <si>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</si>
  <si>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</si>
  <si>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</si>
  <si>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</si>
  <si>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</si>
  <si>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</si>
  <si>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</si>
  <si>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</si>
  <si>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</si>
  <si>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</si>
  <si>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</si>
  <si>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</si>
  <si>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</si>
  <si>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</si>
  <si>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</si>
  <si>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</si>
  <si>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</si>
  <si>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</si>
  <si>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</si>
  <si>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</si>
  <si>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</si>
  <si>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</si>
  <si>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</si>
  <si>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</si>
  <si>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</si>
  <si>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</si>
  <si>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</si>
  <si>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</si>
  <si>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</si>
  <si>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</si>
  <si>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</si>
  <si>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</si>
  <si>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</si>
  <si>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</si>
  <si>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</si>
  <si>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</si>
  <si>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</si>
  <si>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</si>
  <si>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</si>
  <si>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</si>
  <si>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</si>
  <si>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</si>
  <si>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</si>
  <si>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</si>
  <si>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</si>
  <si>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</si>
  <si>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</si>
  <si>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</si>
  <si>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</si>
  <si>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</si>
  <si>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</si>
  <si>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</si>
  <si>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</si>
  <si>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</si>
  <si>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</si>
  <si>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</si>
  <si>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</si>
  <si>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</si>
  <si>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</si>
  <si>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</si>
  <si>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</si>
  <si>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</si>
  <si>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</si>
  <si>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</si>
  <si>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</si>
  <si>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</si>
  <si>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</si>
  <si>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</si>
  <si>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</si>
  <si>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</si>
  <si>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</si>
  <si>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</si>
  <si>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</si>
  <si>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</si>
  <si>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</si>
  <si>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</si>
  <si>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</si>
  <si>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</si>
  <si>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</si>
  <si>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</si>
  <si>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</si>
  <si>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</si>
  <si>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</si>
  <si>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</si>
  <si>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</si>
  <si>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</si>
  <si>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</si>
  <si>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</si>
  <si>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</si>
  <si>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</si>
  <si>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</si>
  <si>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</si>
  <si>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</si>
  <si>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</si>
  <si>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</si>
  <si>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</si>
  <si>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</si>
  <si>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</si>
  <si>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</si>
  <si>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</si>
  <si>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</si>
  <si>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</si>
  <si>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</si>
  <si>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</si>
  <si>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</si>
  <si>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</si>
  <si>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</si>
  <si>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</si>
  <si>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</si>
  <si>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</si>
  <si>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</si>
  <si>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</si>
  <si>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</si>
  <si>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</si>
  <si>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</si>
  <si>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</si>
  <si>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</si>
  <si>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</si>
  <si>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</si>
  <si>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</si>
  <si>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</si>
  <si>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</si>
  <si>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</si>
  <si>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</si>
  <si>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</si>
  <si>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</si>
  <si>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</si>
  <si>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</si>
  <si>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</si>
  <si>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</si>
  <si>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</si>
  <si>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</si>
  <si>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</si>
  <si>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</si>
  <si>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</si>
  <si>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</si>
  <si>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</si>
  <si>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</si>
  <si>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</si>
  <si>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</si>
  <si>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</si>
  <si>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</si>
  <si>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</si>
  <si>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</si>
  <si>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</si>
  <si>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</si>
  <si>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</si>
  <si>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</si>
  <si>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</si>
  <si>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</si>
  <si>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</si>
  <si>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</si>
  <si>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</si>
  <si>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</si>
  <si>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</si>
  <si>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</si>
  <si>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</si>
  <si>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</si>
  <si>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</si>
  <si>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</si>
  <si>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</si>
  <si>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</si>
  <si>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</si>
  <si>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</si>
  <si>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</si>
  <si>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</si>
  <si>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</si>
  <si>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</si>
  <si>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</si>
  <si>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</si>
  <si>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</si>
  <si>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</si>
  <si>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</si>
  <si>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</si>
  <si>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</si>
  <si>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</si>
  <si>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</si>
  <si>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</si>
  <si>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</si>
  <si>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</si>
  <si>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</si>
  <si>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</si>
  <si>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</si>
  <si>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</si>
  <si>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</si>
  <si>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</si>
  <si>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</si>
  <si>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</si>
  <si>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</si>
  <si>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</si>
  <si>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</si>
  <si>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</si>
  <si>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</si>
  <si>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</si>
  <si>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</si>
  <si>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</si>
  <si>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</si>
  <si>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</si>
  <si>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</si>
  <si>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</si>
  <si>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</si>
  <si>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</si>
  <si>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</si>
  <si>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</si>
  <si>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</si>
  <si>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</si>
  <si>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</si>
  <si>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</si>
  <si>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</si>
  <si>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</si>
  <si>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</si>
  <si>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</si>
  <si>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</si>
  <si>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</si>
  <si>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</si>
  <si>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</si>
  <si>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</si>
  <si>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</si>
  <si>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</si>
  <si>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</si>
  <si>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</si>
  <si>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</si>
  <si>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</si>
  <si>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</si>
  <si>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</si>
  <si>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</si>
  <si>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</si>
  <si>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</si>
  <si>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</si>
  <si>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</si>
  <si>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</si>
  <si>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</si>
  <si>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</si>
  <si>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</si>
  <si>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</si>
  <si>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</si>
  <si>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</si>
  <si>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</si>
  <si>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</si>
  <si>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</si>
  <si>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</si>
  <si>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</si>
  <si>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</si>
  <si>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</si>
  <si>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</si>
  <si>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</si>
  <si>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</si>
  <si>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</si>
  <si>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</si>
  <si>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</si>
  <si>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</si>
  <si>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</si>
  <si>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</si>
  <si>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</si>
  <si>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</si>
  <si>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</si>
  <si>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</si>
  <si>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</si>
  <si>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</si>
  <si>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</si>
  <si>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</si>
  <si>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</si>
  <si>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</si>
  <si>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</si>
  <si>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</si>
  <si>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</si>
  <si>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</si>
  <si>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</si>
  <si>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</si>
  <si>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</si>
  <si>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</si>
  <si>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</si>
  <si>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</si>
  <si>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</si>
  <si>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</si>
  <si>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</si>
  <si>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</si>
  <si>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</si>
  <si>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</si>
  <si>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</si>
  <si>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</si>
  <si>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</si>
  <si>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</si>
  <si>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</si>
  <si>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</si>
  <si>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</si>
  <si>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</si>
  <si>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</si>
  <si>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</si>
  <si>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</si>
  <si>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</si>
  <si>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</si>
  <si>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</si>
  <si>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</si>
  <si>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</si>
  <si>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</si>
  <si>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</si>
  <si>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</si>
  <si>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</si>
  <si>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</si>
  <si>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</si>
  <si>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</si>
  <si>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</si>
  <si>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</si>
  <si>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</si>
  <si>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</si>
  <si>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</si>
  <si>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</si>
  <si>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</si>
  <si>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</si>
  <si>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</si>
  <si>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</si>
  <si>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</si>
  <si>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</si>
  <si>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</si>
  <si>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</si>
  <si>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</si>
  <si>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</si>
  <si>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</si>
  <si>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</si>
  <si>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</si>
  <si>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</si>
  <si>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</si>
  <si>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</si>
  <si>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</si>
  <si>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</si>
  <si>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</si>
  <si>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</si>
  <si>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</si>
  <si>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</si>
  <si>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</si>
  <si>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</si>
  <si>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</si>
  <si>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</si>
  <si>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</si>
  <si>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</si>
  <si>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</si>
  <si>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</si>
  <si>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</si>
  <si>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</si>
  <si>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</si>
  <si>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</si>
  <si>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</si>
  <si>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</si>
  <si>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</si>
  <si>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</si>
  <si>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</si>
  <si>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</si>
  <si>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</si>
  <si>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</si>
  <si>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</si>
  <si>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</si>
  <si>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</si>
  <si>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</si>
  <si>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</si>
  <si>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</si>
  <si>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</si>
  <si>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</si>
  <si>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</si>
  <si>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</si>
  <si>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</si>
  <si>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</si>
  <si>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</si>
  <si>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</si>
  <si>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</si>
  <si>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</si>
  <si>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</si>
  <si>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</si>
  <si>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</si>
  <si>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</si>
  <si>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</si>
  <si>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</si>
  <si>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</si>
  <si>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</si>
  <si>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</si>
  <si>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</si>
  <si>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</si>
  <si>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</si>
  <si>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</si>
  <si>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</si>
  <si>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</si>
  <si>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</si>
  <si>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</si>
  <si>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</si>
  <si>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</si>
  <si>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</si>
  <si>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</si>
  <si>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</si>
  <si>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</si>
  <si>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</si>
  <si>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</si>
  <si>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</si>
  <si>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</si>
  <si>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</si>
  <si>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</si>
  <si>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</si>
  <si>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</si>
  <si>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</si>
  <si>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</si>
  <si>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</si>
  <si>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</si>
  <si>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</si>
  <si>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</si>
  <si>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</si>
  <si>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</si>
  <si>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</si>
  <si>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</si>
  <si>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</si>
  <si>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</si>
  <si>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</si>
  <si>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</si>
  <si>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</si>
  <si>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</si>
  <si>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</si>
  <si>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</si>
  <si>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</si>
  <si>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</si>
  <si>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</si>
  <si>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</si>
  <si>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</si>
  <si>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</si>
  <si>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</si>
  <si>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</si>
  <si>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</si>
  <si>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</si>
  <si>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</si>
  <si>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</si>
  <si>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</si>
  <si>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</si>
  <si>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</si>
  <si>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</si>
  <si>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</si>
  <si>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</si>
  <si>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</si>
  <si>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</si>
  <si>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</si>
  <si>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</si>
  <si>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</si>
  <si>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</si>
  <si>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</si>
  <si>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</si>
  <si>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</si>
  <si>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</si>
  <si>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</si>
  <si>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</si>
  <si>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</si>
  <si>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</si>
  <si>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</si>
  <si>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</si>
  <si>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</si>
  <si>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</si>
  <si>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</si>
  <si>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</si>
  <si>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</si>
  <si>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</si>
  <si>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</si>
  <si>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</si>
  <si>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</si>
  <si>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</si>
  <si>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</si>
  <si>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</si>
  <si>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</si>
  <si>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</si>
  <si>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</si>
  <si>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</si>
  <si>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</si>
  <si>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</si>
  <si>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</si>
  <si>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</si>
  <si>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</si>
  <si>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</si>
  <si>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</si>
  <si>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</si>
  <si>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</si>
  <si>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</si>
  <si>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</si>
  <si>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</si>
  <si>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</si>
  <si>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</si>
  <si>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</si>
  <si>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</si>
  <si>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</si>
  <si>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</si>
  <si>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</si>
  <si>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</si>
  <si>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</si>
  <si>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</si>
  <si>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</si>
  <si>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</si>
  <si>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</si>
  <si>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</si>
  <si>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</si>
  <si>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</si>
  <si>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</si>
  <si>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</si>
  <si>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</si>
  <si>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</si>
  <si>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</si>
  <si>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</si>
  <si>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</si>
  <si>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</si>
  <si>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</si>
  <si>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</si>
  <si>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</si>
  <si>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</si>
  <si>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</si>
  <si>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</si>
  <si>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</si>
  <si>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</si>
  <si>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</si>
  <si>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</si>
  <si>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</si>
  <si>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</si>
  <si>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</si>
  <si>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</si>
  <si>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</si>
  <si>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</si>
  <si>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</si>
  <si>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</si>
  <si>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</si>
  <si>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</si>
  <si>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</si>
  <si>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</si>
  <si>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</si>
  <si>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</si>
  <si>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</si>
  <si>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</si>
  <si>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</si>
  <si>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</si>
  <si>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</si>
  <si>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</si>
  <si>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</si>
  <si>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</si>
  <si>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</si>
  <si>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</si>
  <si>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</si>
  <si>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</si>
  <si>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</si>
  <si>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</si>
  <si>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</si>
  <si>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</si>
  <si>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</si>
  <si>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</si>
  <si>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</si>
  <si>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</si>
  <si>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</si>
  <si>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</si>
  <si>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</si>
  <si>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</si>
  <si>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</si>
  <si>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</si>
  <si>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</si>
  <si>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</si>
  <si>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</si>
  <si>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</si>
  <si>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</si>
  <si>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</si>
  <si>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</si>
  <si>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</si>
  <si>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</si>
  <si>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</si>
  <si>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</si>
  <si>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</si>
  <si>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</si>
  <si>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</si>
  <si>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</si>
  <si>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</si>
  <si>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</si>
  <si>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</si>
  <si>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</si>
  <si>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</si>
  <si>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</si>
  <si>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</si>
  <si>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</si>
  <si>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</si>
  <si>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</si>
  <si>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</si>
  <si>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</si>
  <si>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</si>
  <si>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</si>
  <si>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</si>
  <si>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</si>
  <si>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</si>
  <si>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</si>
  <si>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</si>
  <si>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</si>
  <si>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</si>
  <si>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</si>
  <si>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</si>
  <si>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</si>
  <si>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</si>
  <si>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</si>
  <si>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</si>
  <si>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</si>
  <si>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</si>
  <si>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</si>
  <si>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</si>
  <si>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</si>
  <si>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</si>
  <si>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</si>
  <si>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</si>
  <si>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</si>
  <si>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</si>
  <si>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</si>
  <si>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</si>
  <si>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</si>
  <si>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</si>
  <si>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</si>
  <si>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</si>
  <si>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</si>
  <si>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</si>
  <si>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</si>
  <si>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</si>
  <si>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</si>
  <si>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</si>
  <si>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</si>
  <si>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</si>
  <si>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</si>
  <si>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</si>
  <si>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</si>
  <si>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</si>
  <si>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</si>
  <si>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</si>
  <si>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</si>
  <si>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</si>
  <si>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</si>
  <si>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</si>
  <si>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</si>
  <si>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</si>
  <si>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</si>
  <si>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</si>
  <si>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</si>
  <si>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</si>
  <si>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</si>
  <si>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</si>
  <si>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</si>
  <si>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</si>
  <si>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</si>
  <si>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</si>
  <si>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</si>
  <si>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</si>
  <si>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</si>
  <si>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</si>
  <si>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</si>
  <si>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</si>
  <si>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</si>
  <si>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</si>
  <si>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</si>
  <si>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</si>
  <si>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</si>
  <si>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</si>
  <si>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</si>
  <si>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</si>
  <si>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</si>
  <si>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</si>
  <si>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</si>
  <si>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</si>
  <si>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</si>
  <si>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</si>
  <si>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</si>
  <si>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</si>
  <si>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</si>
  <si>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</si>
  <si>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</si>
  <si>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</si>
  <si>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</si>
  <si>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</si>
  <si>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</si>
  <si>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</si>
  <si>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</si>
  <si>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</si>
  <si>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</si>
  <si>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</si>
  <si>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</si>
  <si>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</si>
  <si>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</si>
  <si>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</si>
  <si>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</si>
  <si>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</si>
  <si>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</si>
  <si>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</si>
  <si>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</si>
  <si>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</si>
  <si>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</si>
  <si>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</si>
  <si>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</si>
  <si>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</si>
  <si>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</si>
  <si>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</si>
  <si>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</si>
  <si>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</si>
  <si>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</si>
  <si>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</si>
  <si>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</si>
  <si>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</si>
  <si>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</si>
  <si>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</si>
  <si>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</si>
  <si>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</si>
  <si>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</si>
  <si>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</si>
  <si>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</si>
  <si>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</si>
  <si>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</si>
  <si>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</si>
  <si>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</si>
  <si>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</si>
  <si>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</si>
  <si>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</si>
  <si>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</si>
  <si>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</si>
  <si>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</si>
  <si>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</si>
  <si>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</si>
  <si>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</si>
  <si>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</si>
  <si>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</si>
  <si>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</si>
  <si>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</si>
  <si>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</si>
  <si>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</si>
  <si>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</si>
  <si>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</si>
  <si>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</si>
  <si>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</si>
  <si>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</si>
  <si>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</si>
  <si>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</si>
  <si>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</si>
  <si>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</si>
  <si>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</si>
  <si>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</si>
  <si>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</si>
  <si>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</si>
  <si>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</si>
  <si>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</si>
  <si>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</si>
  <si>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</si>
  <si>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</si>
  <si>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</si>
  <si>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</si>
  <si>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</si>
  <si>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</si>
  <si>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</si>
  <si>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</si>
  <si>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</si>
  <si>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</si>
  <si>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</si>
  <si>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</si>
  <si>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</si>
  <si>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</si>
  <si>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</si>
  <si>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</si>
  <si>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</si>
  <si>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</si>
  <si>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</si>
  <si>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</si>
  <si>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</si>
  <si>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</si>
  <si>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</si>
  <si>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</si>
  <si>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</si>
  <si>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</si>
  <si>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</si>
  <si>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</si>
  <si>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</si>
  <si>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</si>
  <si>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</si>
  <si>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</si>
  <si>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</si>
  <si>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</si>
  <si>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</si>
  <si>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</si>
  <si>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</si>
  <si>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</si>
  <si>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</si>
  <si>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</si>
  <si>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</si>
  <si>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</si>
  <si>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</si>
  <si>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</si>
  <si>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</si>
  <si>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</si>
  <si>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</si>
  <si>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</si>
  <si>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</si>
  <si>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</si>
  <si>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</si>
  <si>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</si>
  <si>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</si>
  <si>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</si>
  <si>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</si>
  <si>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</si>
  <si>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</si>
  <si>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</si>
  <si>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</si>
  <si>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</si>
  <si>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</si>
  <si>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</si>
  <si>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</si>
  <si>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</si>
  <si>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</si>
  <si>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</si>
  <si>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</si>
  <si>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</si>
  <si>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</si>
  <si>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</si>
  <si>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</si>
  <si>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</si>
  <si>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</si>
  <si>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</si>
  <si>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</si>
  <si>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</si>
  <si>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</si>
  <si>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</si>
  <si>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</si>
  <si>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</si>
  <si>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</si>
  <si>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</si>
  <si>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</si>
  <si>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</si>
  <si>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</si>
  <si>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</si>
  <si>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</si>
  <si>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</si>
  <si>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</si>
  <si>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</si>
  <si>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</si>
  <si>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</si>
  <si>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</si>
  <si>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</si>
  <si>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</si>
  <si>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</si>
  <si>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</si>
  <si>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</si>
  <si>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</si>
  <si>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</si>
  <si>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</si>
  <si>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</si>
  <si>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</si>
  <si>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</si>
  <si>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</si>
  <si>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</si>
  <si>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</si>
  <si>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</si>
  <si>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</si>
  <si>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</si>
  <si>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</si>
  <si>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</si>
  <si>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</si>
  <si>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</si>
  <si>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</si>
  <si>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</si>
  <si>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</si>
  <si>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</si>
  <si>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</si>
  <si>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</si>
  <si>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</si>
  <si>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</si>
  <si>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</si>
  <si>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</si>
  <si>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</si>
  <si>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</si>
  <si>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</si>
  <si>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</si>
  <si>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</si>
  <si>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</si>
  <si>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</si>
  <si>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</si>
  <si>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</si>
  <si>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</si>
  <si>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</si>
  <si>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</si>
  <si>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</si>
  <si>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</si>
  <si>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</si>
  <si>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</si>
  <si>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</si>
  <si>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</si>
  <si>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</si>
  <si>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</si>
  <si>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</si>
  <si>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</si>
  <si>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</si>
  <si>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</si>
  <si>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</si>
  <si>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</si>
  <si>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</si>
  <si>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</si>
  <si>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</si>
  <si>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</si>
  <si>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</si>
  <si>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</si>
  <si>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</si>
  <si>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</si>
  <si>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</si>
  <si>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</si>
  <si>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</si>
  <si>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</si>
  <si>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</si>
  <si>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</si>
  <si>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</si>
  <si>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</si>
  <si>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</si>
  <si>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</si>
  <si>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</si>
  <si>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</si>
  <si>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</si>
  <si>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</si>
  <si>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</si>
  <si>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</si>
  <si>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</si>
  <si>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</si>
  <si>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</si>
  <si>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</si>
  <si>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</si>
  <si>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</si>
  <si>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</si>
  <si>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</si>
  <si>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</si>
  <si>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</si>
  <si>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</si>
  <si>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</si>
  <si>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</si>
  <si>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</si>
  <si>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</si>
  <si>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</si>
  <si>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</si>
  <si>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</si>
  <si>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</si>
  <si>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</si>
  <si>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</si>
  <si>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</si>
  <si>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</si>
  <si>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</si>
  <si>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</si>
  <si>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</si>
  <si>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</si>
  <si>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</si>
  <si>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</si>
  <si>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</si>
  <si>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</si>
  <si>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</si>
  <si>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</si>
  <si>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</si>
  <si>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</si>
  <si>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</si>
  <si>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</si>
  <si>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</si>
  <si>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</si>
  <si>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</si>
  <si>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</si>
  <si>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</si>
  <si>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</si>
  <si>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</si>
  <si>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</si>
  <si>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</si>
  <si>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</si>
  <si>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</si>
  <si>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</si>
  <si>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</si>
  <si>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</si>
  <si>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</si>
  <si>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</si>
  <si>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</si>
  <si>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</si>
  <si>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</si>
  <si>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</si>
  <si>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</si>
  <si>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</si>
  <si>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</si>
  <si>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</si>
  <si>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</si>
  <si>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</si>
  <si>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</si>
  <si>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</si>
  <si>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</si>
  <si>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</si>
  <si>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</si>
  <si>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</si>
  <si>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</si>
  <si>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</si>
  <si>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</si>
  <si>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</si>
  <si>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</si>
  <si>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</si>
  <si>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</si>
  <si>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</si>
  <si>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</si>
  <si>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</si>
  <si>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</si>
  <si>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</si>
  <si>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</si>
  <si>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</si>
  <si>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</si>
  <si>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</si>
  <si>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</si>
  <si>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</si>
  <si>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</si>
  <si>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</si>
  <si>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</si>
  <si>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</si>
  <si>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</si>
  <si>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</si>
  <si>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</si>
  <si>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</si>
  <si>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</si>
  <si>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</si>
  <si>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</si>
  <si>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</si>
  <si>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</si>
  <si>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</si>
  <si>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</si>
  <si>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</si>
  <si>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</si>
  <si>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</si>
  <si>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</si>
  <si>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</si>
  <si>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</si>
  <si>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</si>
  <si>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</si>
  <si>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</si>
  <si>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</si>
  <si>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</si>
  <si>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</si>
  <si>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</si>
  <si>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</si>
  <si>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</si>
  <si>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</si>
  <si>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</si>
  <si>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</si>
  <si>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</si>
  <si>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</si>
  <si>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</si>
  <si>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</si>
  <si>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</si>
  <si>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</si>
  <si>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</si>
  <si>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</si>
  <si>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</si>
  <si>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</si>
  <si>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</si>
  <si>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</si>
  <si>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</si>
  <si>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</si>
  <si>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</si>
  <si>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</si>
  <si>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</si>
  <si>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</si>
  <si>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</si>
  <si>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</si>
  <si>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</si>
  <si>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</si>
  <si>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</si>
  <si>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</si>
  <si>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</si>
  <si>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</si>
  <si>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</si>
  <si>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</si>
  <si>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</si>
  <si>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</si>
  <si>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</si>
  <si>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</si>
  <si>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</si>
  <si>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</si>
  <si>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</si>
  <si>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</si>
  <si>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</si>
  <si>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</si>
  <si>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</si>
  <si>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</si>
  <si>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</si>
  <si>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</si>
  <si>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</si>
  <si>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</si>
  <si>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</si>
  <si>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</si>
  <si>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</si>
  <si>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</si>
  <si>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</si>
  <si>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</si>
  <si>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</si>
  <si>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</si>
  <si>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</si>
  <si>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</si>
  <si>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</si>
  <si>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</si>
  <si>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</si>
  <si>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</si>
  <si>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</si>
  <si>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</si>
  <si>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</si>
  <si>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</si>
  <si>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</si>
  <si>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</si>
  <si>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</si>
  <si>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</si>
  <si>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</si>
  <si>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</si>
  <si>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</si>
  <si>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</si>
  <si>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</si>
  <si>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</si>
  <si>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</si>
  <si>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</si>
  <si>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</si>
  <si>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</si>
  <si>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</si>
  <si>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</si>
  <si>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</si>
  <si>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</si>
  <si>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</si>
  <si>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</si>
  <si>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</si>
  <si>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</si>
  <si>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</si>
  <si>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</si>
  <si>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</si>
  <si>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</si>
  <si>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</si>
  <si>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</si>
  <si>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</si>
  <si>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</si>
  <si>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</si>
  <si>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</si>
  <si>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</si>
  <si>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</si>
  <si>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</si>
  <si>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</si>
  <si>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</si>
  <si>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</si>
  <si>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</si>
  <si>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</si>
  <si>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</si>
  <si>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</si>
  <si>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</si>
  <si>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</si>
  <si>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</si>
  <si>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</si>
  <si>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</si>
  <si>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</si>
  <si>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</si>
  <si>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</si>
  <si>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</si>
  <si>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</si>
  <si>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</si>
  <si>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</si>
  <si>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</si>
  <si>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</si>
  <si>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</si>
  <si>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</si>
  <si>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</si>
  <si>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</si>
  <si>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</si>
  <si>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</si>
  <si>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</si>
  <si>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</si>
  <si>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</si>
  <si>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</si>
  <si>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</si>
  <si>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</si>
  <si>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</si>
  <si>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</si>
  <si>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</si>
  <si>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</si>
  <si>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</si>
  <si>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</si>
  <si>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</si>
  <si>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</si>
  <si>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</si>
  <si>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</si>
  <si>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</si>
  <si>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</si>
  <si>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</si>
  <si>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</si>
  <si>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</si>
  <si>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</si>
  <si>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</si>
  <si>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</si>
  <si>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</si>
  <si>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</si>
  <si>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</si>
  <si>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</si>
  <si>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</si>
  <si>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</si>
  <si>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</si>
  <si>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</si>
  <si>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</si>
  <si>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</si>
  <si>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</si>
  <si>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</si>
  <si>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</si>
  <si>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</si>
  <si>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</si>
  <si>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</si>
  <si>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</si>
  <si>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</si>
  <si>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</si>
  <si>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</si>
  <si>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</si>
  <si>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</si>
  <si>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</si>
  <si>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</si>
  <si>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</si>
  <si>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</si>
  <si>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</si>
  <si>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</si>
  <si>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</si>
  <si>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</si>
  <si>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</si>
  <si>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</si>
  <si>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</si>
  <si>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</si>
  <si>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</si>
  <si>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</si>
  <si>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</si>
  <si>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</si>
  <si>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</si>
  <si>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</si>
  <si>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</si>
  <si>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</si>
  <si>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</si>
  <si>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</si>
  <si>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</si>
  <si>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</si>
  <si>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</si>
  <si>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</si>
  <si>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</si>
  <si>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</si>
  <si>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</si>
  <si>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</si>
  <si>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</si>
  <si>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</si>
  <si>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</si>
  <si>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</si>
  <si>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</si>
  <si>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</si>
  <si>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</si>
  <si>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</si>
  <si>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</si>
  <si>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</si>
  <si>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</si>
  <si>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</si>
  <si>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</si>
  <si>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</si>
  <si>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</si>
  <si>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</si>
  <si>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</si>
  <si>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</si>
  <si>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</si>
  <si>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</si>
  <si>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</si>
  <si>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</si>
  <si>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</si>
  <si>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</si>
  <si>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</si>
  <si>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</si>
  <si>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</si>
  <si>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</si>
  <si>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</si>
  <si>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</si>
  <si>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</si>
  <si>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</si>
  <si>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</si>
  <si>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</si>
  <si>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</si>
  <si>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</si>
  <si>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</si>
  <si>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</si>
  <si>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</si>
  <si>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</si>
  <si>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</si>
  <si>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</si>
  <si>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</si>
  <si>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</si>
  <si>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</si>
  <si>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</si>
  <si>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</si>
  <si>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</si>
  <si>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</si>
  <si>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</si>
  <si>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</si>
  <si>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</si>
  <si>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</si>
  <si>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</si>
  <si>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</si>
  <si>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</si>
  <si>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</si>
  <si>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</si>
  <si>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</si>
  <si>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</si>
  <si>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</si>
  <si>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</si>
  <si>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</si>
  <si>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</si>
  <si>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</si>
  <si>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</si>
  <si>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</si>
  <si>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</si>
  <si>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</si>
  <si>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</si>
  <si>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</si>
  <si>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</si>
  <si>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</si>
  <si>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</si>
  <si>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</si>
  <si>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</si>
  <si>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</si>
  <si>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</si>
  <si>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</si>
  <si>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</si>
  <si>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</si>
  <si>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</si>
  <si>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</si>
  <si>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</si>
  <si>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</si>
  <si>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</si>
  <si>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</si>
  <si>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</si>
  <si>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</si>
  <si>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</si>
  <si>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</si>
  <si>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</si>
  <si>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</si>
  <si>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</si>
  <si>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</si>
  <si>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</si>
  <si>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</si>
  <si>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</si>
  <si>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</si>
  <si>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</si>
  <si>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</si>
  <si>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</si>
  <si>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</si>
  <si>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</si>
  <si>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</si>
  <si>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</si>
  <si>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</si>
  <si>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</si>
  <si>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</si>
  <si>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</si>
  <si>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</si>
  <si>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</si>
  <si>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</si>
  <si>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</si>
  <si>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</si>
  <si>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</si>
  <si>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</si>
  <si>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</si>
  <si>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</si>
  <si>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</si>
  <si>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</si>
  <si>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</si>
  <si>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</si>
  <si>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</si>
  <si>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</si>
  <si>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</si>
  <si>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</si>
  <si>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</si>
  <si>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</si>
  <si>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</si>
  <si>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</si>
  <si>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</si>
  <si>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</si>
  <si>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</si>
  <si>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</si>
  <si>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</si>
  <si>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</si>
  <si>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</si>
  <si>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</si>
  <si>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</si>
  <si>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</si>
  <si>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</si>
  <si>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</si>
  <si>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</si>
  <si>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</si>
  <si>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</si>
  <si>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</si>
  <si>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</si>
  <si>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</si>
  <si>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</si>
  <si>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</si>
  <si>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</si>
  <si>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</si>
  <si>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</si>
  <si>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</si>
  <si>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</si>
  <si>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</si>
  <si>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</si>
  <si>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</si>
  <si>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</si>
  <si>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</si>
  <si>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</si>
  <si>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</si>
  <si>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</si>
  <si>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</si>
  <si>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</si>
  <si>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</si>
  <si>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</si>
  <si>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</si>
  <si>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</si>
  <si>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</si>
  <si>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</si>
  <si>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</si>
  <si>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</si>
  <si>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</si>
  <si>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</si>
  <si>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</si>
  <si>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</si>
  <si>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</si>
  <si>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</si>
  <si>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</si>
  <si>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</si>
  <si>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</si>
  <si>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</si>
  <si>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</si>
  <si>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</si>
  <si>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</si>
  <si>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</si>
  <si>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</si>
  <si>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</si>
  <si>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</si>
  <si>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</si>
  <si>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</si>
  <si>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</si>
  <si>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</si>
  <si>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</si>
  <si>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</si>
  <si>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</si>
  <si>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</si>
  <si>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</si>
  <si>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</si>
  <si>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</si>
  <si>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</si>
  <si>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</si>
  <si>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</si>
  <si>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</si>
  <si>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</si>
  <si>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</si>
  <si>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</si>
  <si>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</si>
  <si>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</si>
  <si>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</si>
  <si>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</si>
  <si>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</si>
  <si>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</si>
  <si>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</si>
  <si>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</si>
  <si>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</si>
  <si>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</si>
  <si>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</si>
  <si>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</si>
  <si>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</si>
  <si>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</si>
  <si>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</si>
  <si>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</si>
  <si>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</si>
  <si>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</si>
  <si>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</si>
  <si>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</si>
  <si>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</si>
  <si>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</si>
  <si>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</si>
  <si>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</si>
  <si>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</si>
  <si>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</si>
  <si>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</si>
  <si>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</si>
  <si>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</si>
  <si>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</si>
  <si>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</si>
  <si>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</si>
  <si>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</si>
  <si>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</si>
  <si>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</si>
  <si>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</si>
  <si>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</si>
  <si>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</si>
  <si>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</si>
  <si>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</si>
  <si>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</si>
  <si>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</si>
  <si>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</si>
  <si>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</si>
  <si>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</si>
  <si>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</si>
  <si>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</si>
  <si>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</si>
  <si>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</si>
  <si>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</si>
  <si>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</si>
  <si>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</si>
  <si>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</si>
  <si>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</si>
  <si>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</si>
  <si>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</si>
  <si>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</si>
  <si>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</si>
  <si>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</si>
  <si>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</si>
  <si>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</si>
  <si>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</si>
  <si>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</si>
  <si>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</si>
  <si>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</si>
  <si>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</si>
  <si>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</si>
  <si>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</si>
  <si>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</si>
  <si>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</si>
  <si>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</si>
  <si>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</si>
  <si>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</si>
  <si>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</si>
  <si>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</si>
  <si>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</si>
  <si>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</si>
  <si>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</si>
  <si>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</si>
  <si>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</si>
  <si>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</si>
  <si>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</si>
  <si>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</si>
  <si>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</si>
  <si>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</si>
  <si>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</si>
  <si>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</si>
  <si>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</si>
  <si>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</si>
  <si>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</si>
  <si>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</si>
  <si>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</si>
  <si>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</si>
  <si>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</si>
  <si>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</si>
  <si>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</si>
  <si>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</si>
  <si>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</si>
  <si>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</si>
  <si>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</si>
  <si>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</si>
  <si>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</si>
  <si>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</si>
  <si>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</si>
  <si>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</si>
  <si>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</si>
  <si>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</si>
  <si>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</si>
  <si>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</si>
  <si>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</si>
  <si>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</si>
  <si>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</si>
  <si>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</si>
  <si>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</si>
  <si>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</si>
  <si>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</si>
  <si>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</si>
  <si>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</si>
  <si>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</si>
  <si>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</si>
  <si>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</si>
  <si>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</si>
  <si>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</si>
  <si>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</si>
  <si>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</si>
  <si>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</si>
  <si>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</si>
  <si>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</si>
  <si>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</si>
  <si>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</si>
  <si>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</si>
  <si>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</si>
  <si>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</si>
  <si>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</si>
  <si>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</si>
  <si>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</si>
  <si>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</si>
  <si>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</si>
  <si>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</si>
  <si>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</si>
  <si>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</si>
  <si>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</si>
  <si>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</si>
  <si>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</si>
  <si>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</si>
  <si>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</si>
  <si>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</si>
  <si>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</si>
  <si>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</si>
  <si>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</si>
  <si>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</si>
  <si>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</si>
  <si>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</si>
  <si>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</si>
  <si>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</si>
  <si>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</si>
  <si>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</si>
  <si>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</si>
  <si>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</si>
  <si>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</si>
  <si>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</si>
  <si>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</si>
  <si>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</si>
  <si>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</si>
  <si>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</si>
  <si>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</si>
  <si>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</si>
  <si>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</si>
  <si>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</si>
  <si>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</si>
  <si>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</si>
  <si>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</si>
  <si>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</si>
  <si>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</si>
  <si>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</si>
  <si>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</si>
  <si>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</si>
  <si>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</si>
  <si>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</si>
  <si>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</si>
  <si>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</si>
  <si>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</si>
  <si>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</si>
  <si>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</si>
  <si>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</si>
  <si>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</si>
  <si>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</si>
  <si>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</si>
  <si>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</si>
  <si>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</si>
  <si>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</si>
  <si>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</si>
  <si>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</si>
  <si>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</si>
  <si>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</si>
  <si>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</si>
  <si>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</si>
  <si>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</si>
  <si>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</si>
  <si>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</si>
  <si>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</si>
  <si>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</si>
  <si>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</si>
  <si>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</si>
  <si>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</si>
  <si>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</si>
  <si>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</si>
  <si>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</si>
  <si>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</si>
  <si>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</si>
  <si>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</si>
  <si>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</si>
  <si>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</si>
  <si>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</si>
  <si>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</si>
  <si>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</si>
  <si>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</si>
  <si>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</si>
  <si>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</si>
  <si>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</si>
  <si>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</si>
  <si>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</si>
  <si>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</si>
  <si>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</si>
  <si>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</si>
  <si>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</si>
  <si>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</si>
  <si>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</si>
  <si>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</si>
  <si>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</si>
  <si>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</si>
  <si>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</si>
  <si>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</si>
  <si>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</si>
  <si>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</si>
  <si>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</si>
  <si>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</si>
  <si>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</si>
  <si>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</si>
  <si>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</si>
  <si>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</si>
  <si>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</si>
  <si>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</si>
  <si>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</si>
  <si>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</si>
  <si>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</si>
  <si>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</si>
  <si>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</si>
  <si>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</si>
  <si>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</si>
  <si>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</si>
  <si>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</si>
  <si>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</si>
  <si>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</si>
  <si>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</si>
  <si>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</si>
  <si>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</si>
  <si>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</si>
  <si>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</si>
  <si>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</si>
  <si>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</si>
  <si>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</si>
  <si>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</si>
  <si>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</si>
  <si>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</si>
  <si>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</si>
  <si>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</si>
  <si>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</si>
  <si>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</si>
  <si>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</si>
  <si>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</si>
  <si>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</si>
  <si>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</si>
  <si>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</si>
  <si>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</si>
  <si>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</si>
  <si>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</si>
  <si>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</si>
  <si>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</si>
  <si>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</si>
  <si>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</si>
  <si>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</si>
  <si>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</si>
  <si>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</si>
  <si>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</si>
  <si>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</si>
  <si>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</si>
  <si>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</si>
  <si>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</si>
  <si>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</si>
  <si>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</si>
  <si>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</si>
  <si>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</si>
  <si>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</si>
  <si>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</si>
  <si>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</si>
  <si>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</si>
  <si>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</si>
  <si>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</si>
  <si>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</si>
  <si>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</si>
  <si>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</si>
  <si>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</si>
  <si>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</si>
  <si>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</si>
  <si>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</si>
  <si>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</si>
  <si>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</si>
  <si>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</si>
  <si>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</si>
  <si>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</si>
  <si>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</si>
  <si>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</si>
  <si>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</si>
  <si>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</si>
  <si>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</si>
  <si>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</si>
  <si>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</si>
  <si>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</si>
  <si>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</si>
  <si>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</si>
  <si>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</si>
  <si>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</si>
  <si>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</si>
  <si>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</si>
  <si>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</si>
  <si>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</si>
  <si>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</si>
  <si>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</si>
  <si>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</si>
  <si>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</si>
  <si>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</si>
  <si>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</si>
  <si>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</si>
  <si>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</si>
  <si>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</si>
  <si>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</si>
  <si>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</si>
  <si>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</si>
  <si>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</si>
  <si>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</si>
  <si>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</si>
  <si>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</si>
  <si>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</si>
  <si>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</si>
  <si>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</si>
  <si>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</si>
  <si>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</si>
  <si>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</si>
  <si>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</si>
  <si>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</si>
  <si>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</si>
  <si>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</si>
  <si>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</si>
  <si>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</si>
  <si>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</si>
  <si>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</si>
  <si>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</si>
  <si>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</si>
  <si>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</si>
  <si>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</si>
  <si>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</si>
  <si>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</si>
  <si>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</si>
  <si>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</si>
  <si>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</si>
  <si>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</si>
  <si>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</si>
  <si>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</si>
  <si>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</si>
  <si>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</si>
  <si>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</si>
  <si>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</si>
  <si>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</si>
  <si>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</si>
  <si>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</si>
  <si>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</si>
  <si>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</si>
  <si>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</si>
  <si>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</si>
  <si>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</si>
  <si>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</si>
  <si>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</si>
  <si>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</si>
  <si>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</si>
  <si>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</si>
  <si>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</si>
  <si>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</si>
  <si>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</si>
  <si>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</si>
  <si>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</si>
  <si>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</si>
  <si>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</si>
  <si>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</si>
  <si>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</si>
  <si>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</si>
  <si>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</si>
  <si>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</si>
  <si>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</si>
  <si>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</si>
  <si>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</si>
  <si>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</si>
  <si>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</si>
  <si>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</si>
  <si>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</si>
  <si>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</si>
  <si>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</si>
  <si>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</si>
  <si>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</si>
  <si>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</si>
  <si>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</si>
  <si>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</si>
  <si>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</si>
  <si>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</si>
  <si>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</si>
  <si>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</si>
  <si>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</si>
  <si>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</si>
  <si>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</si>
  <si>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</si>
  <si>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</si>
  <si>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</si>
  <si>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</si>
  <si>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</si>
  <si>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</si>
  <si>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</si>
  <si>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</si>
  <si>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</si>
  <si>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</si>
  <si>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</si>
  <si>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</si>
  <si>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</si>
  <si>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</si>
  <si>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</si>
  <si>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</si>
  <si>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</si>
  <si>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</si>
  <si>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</si>
  <si>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</si>
  <si>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</si>
  <si>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</si>
  <si>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</si>
  <si>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</si>
  <si>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</si>
  <si>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</si>
  <si>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</si>
  <si>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</si>
  <si>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</si>
  <si>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</si>
  <si>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</si>
  <si>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</si>
  <si>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</si>
  <si>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</si>
  <si>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</si>
  <si>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</si>
  <si>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</si>
  <si>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</si>
  <si>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</si>
  <si>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</si>
  <si>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</si>
  <si>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</si>
  <si>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</si>
  <si>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</si>
  <si>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</si>
  <si>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</si>
  <si>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</si>
  <si>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</si>
  <si>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</si>
  <si>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</si>
  <si>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</si>
  <si>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</si>
  <si>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</si>
  <si>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</si>
  <si>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</si>
  <si>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</si>
  <si>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</si>
  <si>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</si>
  <si>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</si>
  <si>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</si>
  <si>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</si>
  <si>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</si>
  <si>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</si>
  <si>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</si>
  <si>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</si>
  <si>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</si>
  <si>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</si>
  <si>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</si>
  <si>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</si>
  <si>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</si>
  <si>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</si>
  <si>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</si>
  <si>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</si>
  <si>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</si>
  <si>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</si>
  <si>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</si>
  <si>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</si>
  <si>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</si>
  <si>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</si>
  <si>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</si>
  <si>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</si>
  <si>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</si>
  <si>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</si>
  <si>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</si>
  <si>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</si>
  <si>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</si>
  <si>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</si>
  <si>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</si>
  <si>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</si>
  <si>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</si>
  <si>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</si>
  <si>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</si>
  <si>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</si>
  <si>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</si>
  <si>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</si>
  <si>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</si>
  <si>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</si>
  <si>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</si>
  <si>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</si>
  <si>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</si>
  <si>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</si>
  <si>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</si>
  <si>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</si>
  <si>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</si>
  <si>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</si>
  <si>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</si>
  <si>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</si>
  <si>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</si>
  <si>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</si>
  <si>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</si>
  <si>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</si>
  <si>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</si>
  <si>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</si>
  <si>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</si>
  <si>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</si>
  <si>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</si>
  <si>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</si>
  <si>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</si>
  <si>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</si>
  <si>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</si>
  <si>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</si>
  <si>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</si>
  <si>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</si>
  <si>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</si>
  <si>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</si>
  <si>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</si>
  <si>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</si>
  <si>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</si>
  <si>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</si>
  <si>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</si>
  <si>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</si>
  <si>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</si>
  <si>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</si>
  <si>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</si>
  <si>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</si>
  <si>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</si>
  <si>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</si>
  <si>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</si>
  <si>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</si>
  <si>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</si>
  <si>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</si>
  <si>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</si>
  <si>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</si>
  <si>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</si>
  <si>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</si>
  <si>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</si>
  <si>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</si>
  <si>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</si>
  <si>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</si>
  <si>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</si>
  <si>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</si>
  <si>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</si>
  <si>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</si>
  <si>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</si>
  <si>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</si>
  <si>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</si>
  <si>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</si>
  <si>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</si>
  <si>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</si>
  <si>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</si>
  <si>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</si>
  <si>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</si>
  <si>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</si>
  <si>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</si>
  <si>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</si>
  <si>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</si>
  <si>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</si>
  <si>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</si>
  <si>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</si>
  <si>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</si>
  <si>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</si>
  <si>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</si>
  <si>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</si>
  <si>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</si>
  <si>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</si>
  <si>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</si>
  <si>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</si>
  <si>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</si>
  <si>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</si>
  <si>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</si>
  <si>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</si>
  <si>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</si>
  <si>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</si>
  <si>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</si>
  <si>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</si>
  <si>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</si>
  <si>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</si>
  <si>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</si>
  <si>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</si>
  <si>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</si>
  <si>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</si>
  <si>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</si>
  <si>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</si>
  <si>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</si>
  <si>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</si>
  <si>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</si>
  <si>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</si>
  <si>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</si>
  <si>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</si>
  <si>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</si>
  <si>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</si>
  <si>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</si>
  <si>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</si>
  <si>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</si>
  <si>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</si>
  <si>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</si>
  <si>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</si>
  <si>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</si>
  <si>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</si>
  <si>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</si>
  <si>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</si>
  <si>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</si>
  <si>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</si>
  <si>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</si>
  <si>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</si>
  <si>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</si>
  <si>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</si>
  <si>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</si>
  <si>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</si>
  <si>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</si>
  <si>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</si>
  <si>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</si>
  <si>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</si>
  <si>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</si>
  <si>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</si>
  <si>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</si>
  <si>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</si>
  <si>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</si>
  <si>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</si>
  <si>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</si>
  <si>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</si>
  <si>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</si>
  <si>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</si>
  <si>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</si>
  <si>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</si>
  <si>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</si>
  <si>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</si>
  <si>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</si>
  <si>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</si>
  <si>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</si>
  <si>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</si>
  <si>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</si>
  <si>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</si>
  <si>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</si>
  <si>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</si>
  <si>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</si>
  <si>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</si>
  <si>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</si>
  <si>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</si>
  <si>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</si>
  <si>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</si>
  <si>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</si>
  <si>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</si>
  <si>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</si>
  <si>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</si>
  <si>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</si>
  <si>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</si>
  <si>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</si>
  <si>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</si>
  <si>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</si>
  <si>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</si>
  <si>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</si>
  <si>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</si>
  <si>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</si>
  <si>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</si>
  <si>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</si>
  <si>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</si>
  <si>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</si>
  <si>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</si>
  <si>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</si>
  <si>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</si>
  <si>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</si>
  <si>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</si>
  <si>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</si>
  <si>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</si>
  <si>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</si>
  <si>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</si>
  <si>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</si>
  <si>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</si>
  <si>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</si>
  <si>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</si>
  <si>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</si>
  <si>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</si>
  <si>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</si>
  <si>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</si>
  <si>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</si>
  <si>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</si>
  <si>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</si>
  <si>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</si>
  <si>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</si>
  <si>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</si>
  <si>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</si>
  <si>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</si>
  <si>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</si>
  <si>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</si>
  <si>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</si>
  <si>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</si>
  <si>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</si>
  <si>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</si>
  <si>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</si>
  <si>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</si>
  <si>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</si>
  <si>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</si>
  <si>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</si>
  <si>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</si>
  <si>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</si>
  <si>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</si>
  <si>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</si>
  <si>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</si>
  <si>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</si>
  <si>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</si>
  <si>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</si>
  <si>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</si>
  <si>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</si>
  <si>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</si>
  <si>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</si>
  <si>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</si>
  <si>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</si>
  <si>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</si>
  <si>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</si>
  <si>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</si>
  <si>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</si>
  <si>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</si>
  <si>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</si>
  <si>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</si>
  <si>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</si>
  <si>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</si>
  <si>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</si>
  <si>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</si>
  <si>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</si>
  <si>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</si>
  <si>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</si>
  <si>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</si>
  <si>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</si>
  <si>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</si>
  <si>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</si>
  <si>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</si>
  <si>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</si>
  <si>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</si>
  <si>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</si>
  <si>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</si>
  <si>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</si>
  <si>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</si>
  <si>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</si>
  <si>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</si>
  <si>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</si>
  <si>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</si>
  <si>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</si>
  <si>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</si>
  <si>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</si>
  <si>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</si>
  <si>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</si>
  <si>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</si>
  <si>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</si>
  <si>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</si>
  <si>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</si>
  <si>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</si>
  <si>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</si>
  <si>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</si>
  <si>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</si>
  <si>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</si>
  <si>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</si>
  <si>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</si>
  <si>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</si>
  <si>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</si>
  <si>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</si>
  <si>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</si>
  <si>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</si>
  <si>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</si>
  <si>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</si>
  <si>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</si>
  <si>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</si>
  <si>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</si>
  <si>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</si>
  <si>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</si>
  <si>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</si>
  <si>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</si>
  <si>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</si>
  <si>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</si>
  <si>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</si>
  <si>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</si>
  <si>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</si>
  <si>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</si>
  <si>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</si>
  <si>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</si>
  <si>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</si>
  <si>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</si>
  <si>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</si>
  <si>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</si>
  <si>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</si>
  <si>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</si>
  <si>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</si>
  <si>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</si>
  <si>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</si>
  <si>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</si>
  <si>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</si>
  <si>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</si>
  <si>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</si>
  <si>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</si>
  <si>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</si>
  <si>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</si>
  <si>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</si>
  <si>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</si>
  <si>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</si>
  <si>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</si>
  <si>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</si>
  <si>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</si>
  <si>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</si>
  <si>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</si>
  <si>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</si>
  <si>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</si>
  <si>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</si>
  <si>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</si>
  <si>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</si>
  <si>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</si>
  <si>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</si>
  <si>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</si>
  <si>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</si>
  <si>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</si>
  <si>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</si>
  <si>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</si>
  <si>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</si>
  <si>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</si>
  <si>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</si>
  <si>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</si>
  <si>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</si>
  <si>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</si>
  <si>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</si>
  <si>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</si>
  <si>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</si>
  <si>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</si>
  <si>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</si>
  <si>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</si>
  <si>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</si>
  <si>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</si>
  <si>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</si>
  <si>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</si>
  <si>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</si>
  <si>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</si>
  <si>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</si>
  <si>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</si>
  <si>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</si>
  <si>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</si>
  <si>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</si>
  <si>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</si>
  <si>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</si>
  <si>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</si>
  <si>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</si>
  <si>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</si>
  <si>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</si>
  <si>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</si>
  <si>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</si>
  <si>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</si>
  <si>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</si>
  <si>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</si>
  <si>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</si>
  <si>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</si>
  <si>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</si>
  <si>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</si>
  <si>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</si>
  <si>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</si>
  <si>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</si>
  <si>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</si>
  <si>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</si>
  <si>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</si>
  <si>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</si>
  <si>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</si>
  <si>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</si>
  <si>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</si>
  <si>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</si>
  <si>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</si>
  <si>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</si>
  <si>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</si>
  <si>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</si>
  <si>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</si>
  <si>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</si>
  <si>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</si>
  <si>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</si>
  <si>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</si>
  <si>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</si>
  <si>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</si>
  <si>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</si>
  <si>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</si>
  <si>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</si>
  <si>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</si>
  <si>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</si>
  <si>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</si>
  <si>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</si>
  <si>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</si>
  <si>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</si>
  <si>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</si>
  <si>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</si>
  <si>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</si>
  <si>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</si>
  <si>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</si>
  <si>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</si>
  <si>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</si>
  <si>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</si>
  <si>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</si>
  <si>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</si>
  <si>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</si>
  <si>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</si>
  <si>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</si>
  <si>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</si>
  <si>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</si>
  <si>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</si>
  <si>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</si>
  <si>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</si>
  <si>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</si>
  <si>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</si>
  <si>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</si>
  <si>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</si>
  <si>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</si>
  <si>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</si>
  <si>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</si>
  <si>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</si>
  <si>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</si>
  <si>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</si>
  <si>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</si>
  <si>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</si>
  <si>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</si>
  <si>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</si>
  <si>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</si>
  <si>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</si>
  <si>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</si>
  <si>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</si>
  <si>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</si>
  <si>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</si>
  <si>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</si>
  <si>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</si>
  <si>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</si>
  <si>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</si>
  <si>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</si>
  <si>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</si>
  <si>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</si>
  <si>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</si>
  <si>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</si>
  <si>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</si>
  <si>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</si>
  <si>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</si>
  <si>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</si>
  <si>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</si>
  <si>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</si>
  <si>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</si>
  <si>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</si>
  <si>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</si>
  <si>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</si>
  <si>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</si>
  <si>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</si>
  <si>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</si>
  <si>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</si>
  <si>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</si>
  <si>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</si>
  <si>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</si>
  <si>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</si>
  <si>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</si>
  <si>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</si>
  <si>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</si>
  <si>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</si>
  <si>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</si>
  <si>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</si>
  <si>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</si>
  <si>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</si>
  <si>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</si>
  <si>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</si>
  <si>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</si>
  <si>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</si>
  <si>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</si>
  <si>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</si>
  <si>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</si>
  <si>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</si>
  <si>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</si>
  <si>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</si>
  <si>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</si>
  <si>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</si>
  <si>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</si>
  <si>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</si>
  <si>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</si>
  <si>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</si>
  <si>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</si>
  <si>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</si>
  <si>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</si>
  <si>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</si>
  <si>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</si>
  <si>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</si>
  <si>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</si>
  <si>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</si>
  <si>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</si>
  <si>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</si>
  <si>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</si>
  <si>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</si>
  <si>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</si>
  <si>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</si>
  <si>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</si>
  <si>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</si>
  <si>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</si>
  <si>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</si>
  <si>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</si>
  <si>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</si>
  <si>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</si>
  <si>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</si>
  <si>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</si>
  <si>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</si>
  <si>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</si>
  <si>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</si>
  <si>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</si>
  <si>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</si>
  <si>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</si>
  <si>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</si>
  <si>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</si>
  <si>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</si>
  <si>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</si>
  <si>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</si>
  <si>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</si>
  <si>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</si>
  <si>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</si>
  <si>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</si>
  <si>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</si>
  <si>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</si>
  <si>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</si>
  <si>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</si>
  <si>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</si>
  <si>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</si>
  <si>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</si>
  <si>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</si>
  <si>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</si>
  <si>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</si>
  <si>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</si>
  <si>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</si>
  <si>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</si>
  <si>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</si>
  <si>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</si>
  <si>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</si>
  <si>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</si>
  <si>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</si>
  <si>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</si>
  <si>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</si>
  <si>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</si>
  <si>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</si>
  <si>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</si>
  <si>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</si>
  <si>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</si>
  <si>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</si>
  <si>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</si>
  <si>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</si>
  <si>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</si>
  <si>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</si>
  <si>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</si>
  <si>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</si>
  <si>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</si>
  <si>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</si>
  <si>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</si>
  <si>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</si>
  <si>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</si>
  <si>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</si>
  <si>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</si>
  <si>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</si>
  <si>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</si>
  <si>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</si>
  <si>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</si>
  <si>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</si>
  <si>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</si>
  <si>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</si>
  <si>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</si>
  <si>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</si>
  <si>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</si>
  <si>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</si>
  <si>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</si>
  <si>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</si>
  <si>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</si>
  <si>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</si>
  <si>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</si>
  <si>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</si>
  <si>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</si>
  <si>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</si>
  <si>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</si>
  <si>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</si>
  <si>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</si>
  <si>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</si>
  <si>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</si>
  <si>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</si>
  <si>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</si>
  <si>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</si>
  <si>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</si>
  <si>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</si>
  <si>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</si>
  <si>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</si>
  <si>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</si>
  <si>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</si>
  <si>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</si>
  <si>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</si>
  <si>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</si>
  <si>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</si>
  <si>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</si>
  <si>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</si>
  <si>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</si>
  <si>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</si>
  <si>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</si>
  <si>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</si>
  <si>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</si>
  <si>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</si>
  <si>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</si>
  <si>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</si>
  <si>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</si>
  <si>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</si>
  <si>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</si>
  <si>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</si>
  <si>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</si>
  <si>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</si>
  <si>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</si>
  <si>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</si>
  <si>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</si>
  <si>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</si>
  <si>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</si>
  <si>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</si>
  <si>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</si>
  <si>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</si>
  <si>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</si>
  <si>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</si>
  <si>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</si>
  <si>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</si>
  <si>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</si>
  <si>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</si>
  <si>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</si>
  <si>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</si>
  <si>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</si>
  <si>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</si>
  <si>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</si>
  <si>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</si>
  <si>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</si>
  <si>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</si>
  <si>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</si>
  <si>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</si>
  <si>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</si>
  <si>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</si>
  <si>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</si>
  <si>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</si>
  <si>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</si>
  <si>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</si>
  <si>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</si>
  <si>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</si>
  <si>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</si>
  <si>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</si>
  <si>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</si>
  <si>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</si>
  <si>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</si>
  <si>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</si>
  <si>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</si>
  <si>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</si>
  <si>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</si>
  <si>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</si>
  <si>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</si>
  <si>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</si>
  <si>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</si>
  <si>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</si>
  <si>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</si>
  <si>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</si>
  <si>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</si>
  <si>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</si>
  <si>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</si>
  <si>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</si>
  <si>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</si>
  <si>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</si>
  <si>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</si>
  <si>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</si>
  <si>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</si>
  <si>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</si>
  <si>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</si>
  <si>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</si>
  <si>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</si>
  <si>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</si>
  <si>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</si>
  <si>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</si>
  <si>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</si>
  <si>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</si>
  <si>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</si>
  <si>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</si>
  <si>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</si>
  <si>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</si>
  <si>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</si>
  <si>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</si>
  <si>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</si>
  <si>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</si>
  <si>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</si>
  <si>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</si>
  <si>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</si>
  <si>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</si>
  <si>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</si>
  <si>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</si>
  <si>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</si>
  <si>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</si>
  <si>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</si>
  <si>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</si>
  <si>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</si>
  <si>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</si>
  <si>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</si>
  <si>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</si>
  <si>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</si>
  <si>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</si>
  <si>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</si>
  <si>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</si>
  <si>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</si>
  <si>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</si>
  <si>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</si>
  <si>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</si>
  <si>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</si>
  <si>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</si>
  <si>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</si>
  <si>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</si>
  <si>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</si>
  <si>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</si>
  <si>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</si>
  <si>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</si>
  <si>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</si>
  <si>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</si>
  <si>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</si>
  <si>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</si>
  <si>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</si>
  <si>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</si>
  <si>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</si>
  <si>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</si>
  <si>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</si>
  <si>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</si>
  <si>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</si>
  <si>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</si>
  <si>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</si>
  <si>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</si>
  <si>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</si>
  <si>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</si>
  <si>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</si>
  <si>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</si>
  <si>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</si>
  <si>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</si>
  <si>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</si>
  <si>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</si>
  <si>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</si>
  <si>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</si>
  <si>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</si>
  <si>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</si>
  <si>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</si>
  <si>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</si>
  <si>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</si>
  <si>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</si>
  <si>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</si>
  <si>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</si>
  <si>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</si>
  <si>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</si>
  <si>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</si>
  <si>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</si>
  <si>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</si>
  <si>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</si>
  <si>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</si>
  <si>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</si>
  <si>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</si>
  <si>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</si>
  <si>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</si>
  <si>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</si>
  <si>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</si>
  <si>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</si>
  <si>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</si>
  <si>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</si>
  <si>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</si>
  <si>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</si>
  <si>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</si>
  <si>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</si>
  <si>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</si>
  <si>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</si>
  <si>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</si>
  <si>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</si>
  <si>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</si>
  <si>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</si>
  <si>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</si>
  <si>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</si>
  <si>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</si>
  <si>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</si>
  <si>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</si>
  <si>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</si>
  <si>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</si>
  <si>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</si>
  <si>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</si>
  <si>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</si>
  <si>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</si>
  <si>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</si>
  <si>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</si>
  <si>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</si>
  <si>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</si>
  <si>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</si>
  <si>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</si>
  <si>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</si>
  <si>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</si>
  <si>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</si>
  <si>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</si>
  <si>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</si>
  <si>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</si>
  <si>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</si>
  <si>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</si>
  <si>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</si>
  <si>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</si>
  <si>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</si>
  <si>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</si>
  <si>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</si>
  <si>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</si>
  <si>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</si>
  <si>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</si>
  <si>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</si>
  <si>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</si>
  <si>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</si>
  <si>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</si>
  <si>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</si>
  <si>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</si>
  <si>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</si>
  <si>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</si>
  <si>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</si>
  <si>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</si>
  <si>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</si>
  <si>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</si>
  <si>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</si>
  <si>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</si>
  <si>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</si>
  <si>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</si>
  <si>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</si>
  <si>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</si>
  <si>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</si>
  <si>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</si>
  <si>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</si>
  <si>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</si>
  <si>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</si>
  <si>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</si>
  <si>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</si>
  <si>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</si>
  <si>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</si>
  <si>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</si>
  <si>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</si>
  <si>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</si>
  <si>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</si>
  <si>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</si>
  <si>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</si>
  <si>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</si>
  <si>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</si>
  <si>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</si>
  <si>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</si>
  <si>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</si>
  <si>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</si>
  <si>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</si>
  <si>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</si>
  <si>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</si>
  <si>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</si>
  <si>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</si>
  <si>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</si>
  <si>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</si>
  <si>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</si>
  <si>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</si>
  <si>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</si>
  <si>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</si>
  <si>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</si>
  <si>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</si>
  <si>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</si>
  <si>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</si>
  <si>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</si>
  <si>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</si>
  <si>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</si>
  <si>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</si>
  <si>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</si>
  <si>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</si>
  <si>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</si>
  <si>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</si>
  <si>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</si>
  <si>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</si>
  <si>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</si>
  <si>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</si>
  <si>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</si>
  <si>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</si>
  <si>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</si>
  <si>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</si>
  <si>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</si>
  <si>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</si>
  <si>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</si>
  <si>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</si>
  <si>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</si>
  <si>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</si>
  <si>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</si>
  <si>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</si>
  <si>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</si>
  <si>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</si>
  <si>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</si>
  <si>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</si>
  <si>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</si>
  <si>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</si>
  <si>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</si>
  <si>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</si>
  <si>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</si>
  <si>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</si>
  <si>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</si>
  <si>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</si>
  <si>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</si>
  <si>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</si>
  <si>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</si>
  <si>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</si>
  <si>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</si>
  <si>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</si>
  <si>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</si>
  <si>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</si>
  <si>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</si>
  <si>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</si>
  <si>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</si>
  <si>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</si>
  <si>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</si>
  <si>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</si>
  <si>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</si>
  <si>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</si>
  <si>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</si>
  <si>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</si>
  <si>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</si>
  <si>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</si>
  <si>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</si>
  <si>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</si>
  <si>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</si>
  <si>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</si>
  <si>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</si>
  <si>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</si>
  <si>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</si>
  <si>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</si>
  <si>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</si>
  <si>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</si>
  <si>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</si>
  <si>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</si>
  <si>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</si>
  <si>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</si>
  <si>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</si>
  <si>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</si>
  <si>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</si>
  <si>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</si>
  <si>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</si>
  <si>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</si>
  <si>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</si>
  <si>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</si>
  <si>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</si>
  <si>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</si>
  <si>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</si>
  <si>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</si>
  <si>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</si>
  <si>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</si>
  <si>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</si>
  <si>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</si>
  <si>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</si>
  <si>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</si>
  <si>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</si>
  <si>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</si>
  <si>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</si>
  <si>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</si>
  <si>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</si>
  <si>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</si>
  <si>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</si>
  <si>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</si>
  <si>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</si>
  <si>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</si>
  <si>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</si>
  <si>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</si>
  <si>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</si>
  <si>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</si>
  <si>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</si>
  <si>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</si>
  <si>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</si>
  <si>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抵押</t>
  </si>
  <si>
    <t>房地产抵押价值</t>
  </si>
  <si>
    <t>北京市</t>
  </si>
  <si>
    <t>自然人</t>
  </si>
  <si>
    <t>地上</t>
  </si>
  <si>
    <t>是</t>
  </si>
  <si>
    <t>2024年复估单</t>
    <phoneticPr fontId="136" type="noConversion"/>
  </si>
  <si>
    <t>总价</t>
    <phoneticPr fontId="136" type="noConversion"/>
  </si>
  <si>
    <t>单价</t>
    <phoneticPr fontId="136" type="noConversion"/>
  </si>
  <si>
    <t>面积</t>
    <phoneticPr fontId="136" type="noConversion"/>
  </si>
  <si>
    <r>
      <t>2</t>
    </r>
    <r>
      <rPr>
        <sz val="11"/>
        <color theme="1"/>
        <rFont val="宋体"/>
        <family val="2"/>
        <scheme val="minor"/>
      </rPr>
      <t>025年重估单</t>
    </r>
    <phoneticPr fontId="136" type="noConversion"/>
  </si>
  <si>
    <r>
      <t>需求：3</t>
    </r>
    <r>
      <rPr>
        <sz val="11"/>
        <color theme="1"/>
        <rFont val="宋体"/>
        <family val="2"/>
        <scheme val="minor"/>
      </rPr>
      <t>4000</t>
    </r>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</si>
</sst>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cellStyleXfs>
  <cellXfs count="350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3"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0" fontId="2" fillId="12" borderId="0" xfId="12" applyFont="1" applyFill="1" applyAlignment="1" applyProtection="1">
      <alignment horizontal="left"/>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 fillId="0" borderId="0" xfId="12" applyFont="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估价对象为北京市房地产，为所有。根据《国有土地使用证》[]，估价对象（分摊）出让国有建设用地使用权面积为0平方米，建筑面积为522.67平方米。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估价对象为北京市房地产,属开发建设的，该项目尚在开发建设中。根据《国有土地使用证》[]，估价对象（分摊）出让国有建设用地使用权面积为0平方米，规划建筑面积为522.67平方米。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522.67000000000007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5" t="s">
        <v>2580</v>
      </c>
      <c r="J2" s="3205"/>
      <c r="K2" s="3205"/>
      <c r="L2" s="3205"/>
      <c r="M2" s="3205"/>
      <c r="N2" s="3205"/>
      <c r="O2" s="3205"/>
      <c r="P2" s="3205"/>
      <c r="Q2" s="3205"/>
      <c r="R2" s="3205"/>
    </row>
    <row r="3" spans="1:18">
      <c r="A3" s="2763" t="s">
        <v>2501</v>
      </c>
      <c r="B3" s="2764">
        <f>项目基本情况!D3</f>
        <v>45828</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6"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7"/>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3"/>
      <c r="L16" s="1670"/>
      <c r="M16" s="1670"/>
      <c r="N16" s="2245"/>
      <c r="O16" s="1670"/>
      <c r="P16" s="2245"/>
      <c r="Q16" s="2245"/>
      <c r="R16" s="2245"/>
    </row>
    <row r="17" spans="1:28">
      <c r="A17" s="305" t="s">
        <v>2195</v>
      </c>
      <c r="B17" s="294" t="s">
        <v>2196</v>
      </c>
      <c r="C17" s="8">
        <f>'数据-汇总表'!E3</f>
        <v>522.67000000000007</v>
      </c>
      <c r="D17" s="1256" t="s">
        <v>2197</v>
      </c>
      <c r="E17" s="3229" t="s">
        <v>2198</v>
      </c>
      <c r="F17" s="3230"/>
      <c r="G17" s="3230"/>
      <c r="H17" s="3230"/>
      <c r="I17" s="3231"/>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2" t="s">
        <v>2202</v>
      </c>
      <c r="F18" s="3233"/>
      <c r="G18" s="3233"/>
      <c r="H18" s="3233"/>
      <c r="I18" s="3234"/>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9" t="s">
        <v>2206</v>
      </c>
      <c r="C20" s="3220"/>
      <c r="D20" s="3221" t="s">
        <v>2207</v>
      </c>
      <c r="E20" s="3222"/>
      <c r="F20" s="2430" t="s">
        <v>1056</v>
      </c>
      <c r="G20" s="2442"/>
      <c r="H20" s="2442"/>
      <c r="I20" s="2442"/>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8"/>
      <c r="B30" s="294" t="s">
        <v>2218</v>
      </c>
      <c r="C30" s="3209"/>
      <c r="D30" s="3210"/>
      <c r="E30" s="2442"/>
      <c r="F30" s="2442"/>
      <c r="G30" s="2442"/>
      <c r="H30" s="2442"/>
      <c r="I30" s="2442"/>
      <c r="J30" s="2245"/>
      <c r="K30" s="2402"/>
      <c r="L30" s="2399"/>
      <c r="M30" s="2399"/>
      <c r="N30" s="2245"/>
      <c r="O30" s="1670"/>
      <c r="P30" s="2245"/>
      <c r="Q30" s="2245"/>
      <c r="R30" s="2245"/>
      <c r="S30" s="2245"/>
      <c r="T30" s="2245"/>
      <c r="U30" s="2245"/>
      <c r="V30" s="2245"/>
    </row>
    <row r="31" spans="1:28">
      <c r="A31" s="321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5"/>
      <c r="V34" s="2245"/>
    </row>
    <row r="35" spans="1:30">
      <c r="A35" s="2236"/>
      <c r="B35" s="3206" t="s">
        <v>2229</v>
      </c>
      <c r="C35" s="3206"/>
      <c r="D35" s="3206"/>
      <c r="E35" s="320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522.67000000000007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522.67000000000007</v>
      </c>
      <c r="H5" s="13">
        <f t="shared" ref="H5:AT5" si="0">SUM(H13:H656)</f>
        <v>522.67000000000007</v>
      </c>
      <c r="I5" s="13">
        <f t="shared" si="0"/>
        <v>522.67000000000007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522.67000000000007</v>
      </c>
      <c r="BA5" s="15">
        <f t="shared" si="1"/>
        <v>522.67000000000007</v>
      </c>
      <c r="BB5" s="15">
        <f t="shared" si="1"/>
        <v>522.67000000000007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111511</v>
      </c>
      <c r="D13" s="1513" t="s">
        <v>3417</v>
      </c>
      <c r="E13" s="13">
        <f>IF($C$3="是",ROUND($A$3*G13/$B$3,2),ROUND($A$3*(G13-AT13)/$B$3,2))</f>
        <v>0</v>
      </c>
      <c r="F13" s="29"/>
      <c r="G13" s="30">
        <f>H13+AC13+AT13</f>
        <v>134.31</v>
      </c>
      <c r="H13" s="17">
        <f>SUMIF(I$12:AB$12,"总值",I13:AB13)</f>
        <v>134.31</v>
      </c>
      <c r="I13" s="1514">
        <v>134.31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111511</v>
      </c>
      <c r="AY13" s="1260">
        <f>ROUND($AY$6*AZ13/$AZ$5,2)</f>
        <v>0</v>
      </c>
      <c r="AZ13" s="13">
        <f>BA13+BL13</f>
        <v>134.31</v>
      </c>
      <c r="BA13" s="13">
        <f>SUM(BB13:BK13)</f>
        <v>134.31</v>
      </c>
      <c r="BB13" s="13">
        <f>IF($D13="是",I13-J13,0)</f>
        <v>134.31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111516</v>
      </c>
      <c r="D14" s="1513" t="s">
        <v>3417</v>
      </c>
      <c r="E14" s="13">
        <f>IF($C$3="是",ROUND($A$3*G14/$B$3,2),ROUND($A$3*(G14-AT14)/$B$3,2))</f>
        <v>0</v>
      </c>
      <c r="F14" s="29"/>
      <c r="G14" s="30">
        <f>H14+AC14+AT14</f>
        <v>388.36</v>
      </c>
      <c r="H14" s="17">
        <f>SUMIF(I$12:AB$12,"总值",I14:AB14)</f>
        <v>388.36</v>
      </c>
      <c r="I14" s="1514">
        <v>388.36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111516</v>
      </c>
      <c r="AY14" s="1260">
        <f>ROUND($AY$6*AZ14/$AZ$5,2)</f>
        <v>0</v>
      </c>
      <c r="AZ14" s="13">
        <f>BA14+BL14</f>
        <v>388.36</v>
      </c>
      <c r="BA14" s="13">
        <f>SUM(BB14:BK14)</f>
        <v>388.36</v>
      </c>
      <c r="BB14" s="13">
        <f>IF($D14="是",I14-J14,0)</f>
        <v>388.36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9"/>
      <c r="G2" s="2432"/>
      <c r="H2" s="2433"/>
      <c r="I2" s="2146" t="s">
        <v>1132</v>
      </c>
      <c r="J2" s="2439"/>
      <c r="K2" s="2439"/>
      <c r="L2" s="2439"/>
      <c r="M2" s="2439"/>
      <c r="N2" s="2440"/>
      <c r="O2" s="2439"/>
      <c r="P2" s="2439"/>
    </row>
    <row r="3" spans="1:16" ht="15" thickBot="1">
      <c r="A3" s="3245" t="s">
        <v>1105</v>
      </c>
      <c r="B3" s="3245"/>
      <c r="C3" s="3245"/>
      <c r="D3" s="41">
        <f>'数据-基础表'!AY6</f>
        <v>0</v>
      </c>
      <c r="E3" s="41">
        <f>'数据-基础表'!AZ5</f>
        <v>522.67000000000007</v>
      </c>
      <c r="F3" s="2439"/>
      <c r="G3" s="42"/>
      <c r="H3" s="43" t="s">
        <v>1106</v>
      </c>
      <c r="I3" s="802" t="e">
        <f>ROUND('数据-基础表'!B3/'数据-基础表'!A3,2)</f>
        <v>#DIV/0!</v>
      </c>
      <c r="J3" s="2439"/>
      <c r="K3" s="2439"/>
      <c r="L3" s="2439"/>
      <c r="M3" s="2439"/>
      <c r="N3" s="2440"/>
      <c r="O3" s="2439"/>
      <c r="P3" s="2439"/>
    </row>
    <row r="4" spans="1:16" ht="14.4">
      <c r="A4" s="3246"/>
      <c r="B4" s="3247"/>
      <c r="C4" s="324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49" t="s">
        <v>1110</v>
      </c>
      <c r="C5" s="3249"/>
      <c r="D5" s="43">
        <f>ROUND($D$3*E5/$E$3,2)</f>
        <v>0</v>
      </c>
      <c r="E5" s="44">
        <f>SUMIF('数据-基础表'!$11:$11,"住宅",'数据-基础表'!$5:$5)</f>
        <v>0</v>
      </c>
      <c r="F5" s="2439"/>
      <c r="G5" s="42"/>
      <c r="H5" s="43" t="s">
        <v>1106</v>
      </c>
      <c r="I5" s="802" t="e">
        <f>ROUND(E31/D31,2)</f>
        <v>#VALUE!</v>
      </c>
      <c r="J5" s="2439"/>
      <c r="K5" s="2439"/>
      <c r="L5" s="2439"/>
      <c r="M5" s="2439"/>
      <c r="N5" s="2439"/>
      <c r="O5" s="2439"/>
      <c r="P5" s="2439"/>
    </row>
    <row r="6" spans="1:16" ht="15" thickBot="1">
      <c r="A6" s="1527"/>
      <c r="B6" s="3249" t="s">
        <v>1111</v>
      </c>
      <c r="C6" s="3249"/>
      <c r="D6" s="43">
        <f>ROUND($D$3*E6/$E$3,2)</f>
        <v>0</v>
      </c>
      <c r="E6" s="44">
        <f>E3-E5</f>
        <v>522.67000000000007</v>
      </c>
      <c r="F6" s="2439"/>
      <c r="G6" s="1529" t="s">
        <v>1112</v>
      </c>
      <c r="H6" s="45" t="s">
        <v>1113</v>
      </c>
      <c r="I6" s="2435" t="e">
        <f>ROUND(F31/D31,2)</f>
        <v>#VALUE!</v>
      </c>
      <c r="J6" s="2439"/>
      <c r="K6" s="2439"/>
      <c r="L6" s="2439"/>
      <c r="M6" s="2439"/>
      <c r="N6" s="2439"/>
      <c r="O6" s="2439"/>
      <c r="P6" s="2439"/>
    </row>
    <row r="7" spans="1:16" ht="15" thickBot="1">
      <c r="A7" s="3241"/>
      <c r="B7" s="3242"/>
      <c r="C7" s="3243"/>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522.67000000000007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522.67000000000007</v>
      </c>
      <c r="F16" s="2439"/>
      <c r="G16" s="2439"/>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f>ROUND($D$3*E19/$E$3,2)</f>
        <v>0</v>
      </c>
      <c r="E19" s="51">
        <f t="shared" ref="E19:E26" si="1">SUM(F19:G19)</f>
        <v>0</v>
      </c>
      <c r="F19" s="2558"/>
      <c r="G19" s="1243"/>
      <c r="H19" s="637" t="e">
        <f>ROUND($D$3*I19/$E$3,2)</f>
        <v>#VALUE!</v>
      </c>
      <c r="I19" s="46" t="e">
        <f t="shared" ref="I19:I26" si="2">IF($I$17="自定义",P19,M19)</f>
        <v>#VALUE!</v>
      </c>
      <c r="J19" s="1071"/>
      <c r="K19" s="637" t="e">
        <f t="shared" ref="K19:K26" si="3">ROUND(E$28*E19/E$27,2)</f>
        <v>#VALUE!</v>
      </c>
      <c r="L19" s="43">
        <f t="shared" ref="L19:L26" si="4">ROUND(IF(COUNTIF(C19,"*住宅*")&gt;0,E$29*E19/E$32,0),2)</f>
        <v>0</v>
      </c>
      <c r="M19" s="46" t="e">
        <f>K19+L19</f>
        <v>#VALUE!</v>
      </c>
      <c r="N19" s="1550"/>
      <c r="O19" s="1551"/>
      <c r="P19" s="46">
        <f>N19+O19</f>
        <v>0</v>
      </c>
      <c r="R19" s="43" t="e">
        <f t="shared" ref="R19:S26" si="5">D19+H19</f>
        <v>#VALUE!</v>
      </c>
      <c r="S19" s="51" t="e">
        <f t="shared" si="5"/>
        <v>#VALUE!</v>
      </c>
    </row>
    <row r="20" spans="1:19" ht="14.4">
      <c r="A20" s="1549"/>
      <c r="B20" s="45" t="s">
        <v>1153</v>
      </c>
      <c r="C20" s="3116"/>
      <c r="D20" s="43">
        <f t="shared" ref="D20:D26" si="6">ROUND($D$3*E20/$E$3,2)</f>
        <v>0</v>
      </c>
      <c r="E20" s="51">
        <f t="shared" si="1"/>
        <v>0</v>
      </c>
      <c r="F20" s="2558"/>
      <c r="G20" s="1243"/>
      <c r="H20" s="637" t="e">
        <f t="shared" ref="H20:H26" si="7">ROUND($D$3*I20/$E$3,2)</f>
        <v>#VALUE!</v>
      </c>
      <c r="I20" s="46" t="e">
        <f t="shared" si="2"/>
        <v>#VALUE!</v>
      </c>
      <c r="J20" s="1071"/>
      <c r="K20" s="637" t="e">
        <f t="shared" si="3"/>
        <v>#VALUE!</v>
      </c>
      <c r="L20" s="43">
        <f t="shared" si="4"/>
        <v>0</v>
      </c>
      <c r="M20" s="46" t="e">
        <f t="shared" ref="M20:M26" si="8">K20+L20</f>
        <v>#VALUE!</v>
      </c>
      <c r="N20" s="1550"/>
      <c r="O20" s="1551"/>
      <c r="P20" s="46">
        <f t="shared" ref="P20:P26" si="9">N20+O20</f>
        <v>0</v>
      </c>
      <c r="R20" s="43" t="e">
        <f t="shared" si="5"/>
        <v>#VALUE!</v>
      </c>
      <c r="S20" s="51" t="e">
        <f t="shared" si="5"/>
        <v>#VALUE!</v>
      </c>
    </row>
    <row r="21" spans="1:19" ht="14.4">
      <c r="A21" s="1549"/>
      <c r="B21" s="45" t="s">
        <v>1153</v>
      </c>
      <c r="C21" s="3116"/>
      <c r="D21" s="43">
        <f t="shared" si="6"/>
        <v>0</v>
      </c>
      <c r="E21" s="51">
        <f t="shared" si="1"/>
        <v>0</v>
      </c>
      <c r="F21" s="2558"/>
      <c r="G21" s="1243"/>
      <c r="H21" s="637" t="e">
        <f t="shared" si="7"/>
        <v>#VALUE!</v>
      </c>
      <c r="I21" s="46" t="e">
        <f t="shared" si="2"/>
        <v>#VALUE!</v>
      </c>
      <c r="J21" s="1071"/>
      <c r="K21" s="637" t="e">
        <f t="shared" si="3"/>
        <v>#VALUE!</v>
      </c>
      <c r="L21" s="43">
        <f t="shared" si="4"/>
        <v>0</v>
      </c>
      <c r="M21" s="46" t="e">
        <f t="shared" si="8"/>
        <v>#VALUE!</v>
      </c>
      <c r="N21" s="1550"/>
      <c r="O21" s="1551"/>
      <c r="P21" s="46">
        <f t="shared" si="9"/>
        <v>0</v>
      </c>
      <c r="R21" s="43" t="e">
        <f t="shared" si="5"/>
        <v>#VALUE!</v>
      </c>
      <c r="S21" s="51" t="e">
        <f t="shared" si="5"/>
        <v>#VALUE!</v>
      </c>
    </row>
    <row r="22" spans="1:19" ht="14.4">
      <c r="A22" s="1549"/>
      <c r="B22" s="45" t="s">
        <v>1153</v>
      </c>
      <c r="C22" s="3117"/>
      <c r="D22" s="43">
        <f t="shared" si="6"/>
        <v>0</v>
      </c>
      <c r="E22" s="51">
        <f t="shared" si="1"/>
        <v>0</v>
      </c>
      <c r="F22" s="2559"/>
      <c r="G22" s="2560"/>
      <c r="H22" s="637" t="e">
        <f t="shared" si="7"/>
        <v>#VALUE!</v>
      </c>
      <c r="I22" s="46" t="e">
        <f t="shared" si="2"/>
        <v>#VALUE!</v>
      </c>
      <c r="J22" s="1071"/>
      <c r="K22" s="637" t="e">
        <f t="shared" si="3"/>
        <v>#VALUE!</v>
      </c>
      <c r="L22" s="43">
        <f t="shared" si="4"/>
        <v>0</v>
      </c>
      <c r="M22" s="46" t="e">
        <f t="shared" si="8"/>
        <v>#VALUE!</v>
      </c>
      <c r="N22" s="1550"/>
      <c r="O22" s="1551"/>
      <c r="P22" s="46">
        <f t="shared" si="9"/>
        <v>0</v>
      </c>
      <c r="R22" s="43" t="e">
        <f t="shared" si="5"/>
        <v>#VALUE!</v>
      </c>
      <c r="S22" s="51" t="e">
        <f t="shared" si="5"/>
        <v>#VALUE!</v>
      </c>
    </row>
    <row r="23" spans="1:19" ht="14.4">
      <c r="A23" s="1549"/>
      <c r="B23" s="45" t="s">
        <v>1153</v>
      </c>
      <c r="C23" s="3117"/>
      <c r="D23" s="43">
        <f>ROUND($D$3*E23/$E$3,2)</f>
        <v>0</v>
      </c>
      <c r="E23" s="51">
        <f>SUM(F23:G23)</f>
        <v>0</v>
      </c>
      <c r="F23" s="2559"/>
      <c r="G23" s="2560"/>
      <c r="H23" s="637" t="e">
        <f>ROUND($D$3*I23/$E$3,2)</f>
        <v>#VALUE!</v>
      </c>
      <c r="I23" s="46" t="e">
        <f t="shared" si="2"/>
        <v>#VALUE!</v>
      </c>
      <c r="J23" s="1071"/>
      <c r="K23" s="637" t="e">
        <f t="shared" si="3"/>
        <v>#VALUE!</v>
      </c>
      <c r="L23" s="43">
        <f t="shared" si="4"/>
        <v>0</v>
      </c>
      <c r="M23" s="46" t="e">
        <f t="shared" si="8"/>
        <v>#VALUE!</v>
      </c>
      <c r="N23" s="1550"/>
      <c r="O23" s="1551"/>
      <c r="P23" s="46">
        <f t="shared" si="9"/>
        <v>0</v>
      </c>
      <c r="R23" s="43" t="e">
        <f t="shared" si="5"/>
        <v>#VALUE!</v>
      </c>
      <c r="S23" s="51" t="e">
        <f t="shared" si="5"/>
        <v>#VALUE!</v>
      </c>
    </row>
    <row r="24" spans="1:19" ht="14.4">
      <c r="A24" s="1549"/>
      <c r="B24" s="45" t="s">
        <v>1153</v>
      </c>
      <c r="C24" s="3117"/>
      <c r="D24" s="43">
        <f>ROUND($D$3*E24/$E$3,2)</f>
        <v>0</v>
      </c>
      <c r="E24" s="51">
        <f>SUM(F24:G24)</f>
        <v>0</v>
      </c>
      <c r="F24" s="2559"/>
      <c r="G24" s="2560"/>
      <c r="H24" s="637" t="e">
        <f>ROUND($D$3*I24/$E$3,2)</f>
        <v>#VALUE!</v>
      </c>
      <c r="I24" s="46" t="e">
        <f t="shared" si="2"/>
        <v>#VALUE!</v>
      </c>
      <c r="J24" s="1071"/>
      <c r="K24" s="637" t="e">
        <f t="shared" si="3"/>
        <v>#VALUE!</v>
      </c>
      <c r="L24" s="43">
        <f t="shared" si="4"/>
        <v>0</v>
      </c>
      <c r="M24" s="46" t="e">
        <f t="shared" si="8"/>
        <v>#VALUE!</v>
      </c>
      <c r="N24" s="1550"/>
      <c r="O24" s="1551"/>
      <c r="P24" s="46">
        <f t="shared" si="9"/>
        <v>0</v>
      </c>
      <c r="R24" s="43" t="e">
        <f t="shared" si="5"/>
        <v>#VALUE!</v>
      </c>
      <c r="S24" s="51" t="e">
        <f t="shared" si="5"/>
        <v>#VALUE!</v>
      </c>
    </row>
    <row r="25" spans="1:19" ht="14.4">
      <c r="A25" s="1549"/>
      <c r="B25" s="45" t="s">
        <v>1153</v>
      </c>
      <c r="C25" s="3117"/>
      <c r="D25" s="43">
        <f t="shared" si="6"/>
        <v>0</v>
      </c>
      <c r="E25" s="51">
        <f t="shared" si="1"/>
        <v>0</v>
      </c>
      <c r="F25" s="2559"/>
      <c r="G25" s="2560"/>
      <c r="H25" s="42" t="e">
        <f t="shared" si="7"/>
        <v>#VALUE!</v>
      </c>
      <c r="I25" s="46" t="e">
        <f t="shared" si="2"/>
        <v>#VALUE!</v>
      </c>
      <c r="J25" s="1071"/>
      <c r="K25" s="637" t="e">
        <f t="shared" si="3"/>
        <v>#VALUE!</v>
      </c>
      <c r="L25" s="43">
        <f t="shared" si="4"/>
        <v>0</v>
      </c>
      <c r="M25" s="46" t="e">
        <f t="shared" si="8"/>
        <v>#VALUE!</v>
      </c>
      <c r="N25" s="1550"/>
      <c r="O25" s="1551"/>
      <c r="P25" s="46">
        <f t="shared" si="9"/>
        <v>0</v>
      </c>
      <c r="R25" s="43" t="e">
        <f t="shared" si="5"/>
        <v>#VALUE!</v>
      </c>
      <c r="S25" s="51" t="e">
        <f t="shared" si="5"/>
        <v>#VALUE!</v>
      </c>
    </row>
    <row r="26" spans="1:19" ht="14.4">
      <c r="A26" s="1549"/>
      <c r="B26" s="45" t="s">
        <v>1153</v>
      </c>
      <c r="C26" s="53"/>
      <c r="D26" s="43">
        <f t="shared" si="6"/>
        <v>0</v>
      </c>
      <c r="E26" s="51">
        <f t="shared" si="1"/>
        <v>0</v>
      </c>
      <c r="F26" s="2559"/>
      <c r="G26" s="2560"/>
      <c r="H26" s="42" t="e">
        <f t="shared" si="7"/>
        <v>#VALUE!</v>
      </c>
      <c r="I26" s="46" t="e">
        <f t="shared" si="2"/>
        <v>#VALUE!</v>
      </c>
      <c r="J26" s="1071"/>
      <c r="K26" s="42" t="e">
        <f t="shared" si="3"/>
        <v>#VALUE!</v>
      </c>
      <c r="L26" s="45">
        <f t="shared" si="4"/>
        <v>0</v>
      </c>
      <c r="M26" s="48" t="e">
        <f t="shared" si="8"/>
        <v>#VALUE!</v>
      </c>
      <c r="N26" s="1552"/>
      <c r="O26" s="1553"/>
      <c r="P26" s="48">
        <f t="shared" si="9"/>
        <v>0</v>
      </c>
      <c r="R26" s="43" t="e">
        <f t="shared" si="5"/>
        <v>#VALUE!</v>
      </c>
      <c r="S26" s="51" t="e">
        <f t="shared" si="5"/>
        <v>#VALUE!</v>
      </c>
    </row>
    <row r="27" spans="1:19" ht="15" thickBot="1">
      <c r="A27" s="1549"/>
      <c r="B27" s="43"/>
      <c r="C27" s="1554" t="s">
        <v>1154</v>
      </c>
      <c r="D27" s="1072">
        <f>SUM(D19:D26)</f>
        <v>0</v>
      </c>
      <c r="E27" s="1073" t="str">
        <f>IF(SUM(E19:E26)='数据-基础表'!BA5,SUM(E19:E26),IF(F27="地上面积有误","面积有误","地下面积有误"))</f>
        <v>面积有误</v>
      </c>
      <c r="F27" s="1072" t="str">
        <f>IF(SUM(F19:F26)=E8,SUM(F19:F26),"地上面积有误")</f>
        <v>地上面积有误</v>
      </c>
      <c r="G27" s="1074">
        <f>SUM(G19:G26)</f>
        <v>0</v>
      </c>
      <c r="H27" s="1075" t="e">
        <f>SUM(H19:H26)</f>
        <v>#VALUE!</v>
      </c>
      <c r="I27" s="1076" t="e">
        <f>SUM(I19:I26)</f>
        <v>#VALUE!</v>
      </c>
      <c r="J27" s="1071"/>
      <c r="K27" s="1077" t="e">
        <f>SUM(K19:K26)</f>
        <v>#VALUE!</v>
      </c>
      <c r="L27" s="785">
        <f>SUM(L19:L26)</f>
        <v>0</v>
      </c>
      <c r="M27" s="1078" t="e">
        <f>SUM(M19:M26)</f>
        <v>#VALUE!</v>
      </c>
      <c r="N27" s="1077">
        <f t="shared" ref="N27:O27" si="10">SUM(N19:N26)</f>
        <v>0</v>
      </c>
      <c r="O27" s="785">
        <f t="shared" si="10"/>
        <v>0</v>
      </c>
      <c r="P27" s="94">
        <f>SUM(P19:P26)</f>
        <v>0</v>
      </c>
      <c r="R27" s="968" t="e">
        <f>IF(SUM(R19:R26)=$D$3,SUM(R19:R26),SUM(R19:R26)&amp;"误差"&amp;ROUND(SUM(R19:R26)-$D$3,2))</f>
        <v>#VALUE!</v>
      </c>
      <c r="S27" s="43" t="e">
        <f>IF(SUM(S19:S26)=$E$3,SUM(S19:S26),SUM(S19:S26)&amp;"误差"&amp;ROUND(SUM(S19:S26)-E3,2))</f>
        <v>#VALUE!</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t="e">
        <f>E27+E30</f>
        <v>#VALUE!</v>
      </c>
      <c r="F31" s="644" t="e">
        <f>F27+F30</f>
        <v>#VALUE!</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0" t="s">
        <v>2286</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134.31</v>
      </c>
      <c r="C1" s="2462"/>
      <c r="D1" s="2462"/>
      <c r="E1" s="2462"/>
      <c r="F1" s="2462"/>
      <c r="G1" s="2463"/>
      <c r="H1" s="2463"/>
      <c r="I1" s="2463"/>
      <c r="J1" s="2463"/>
      <c r="K1" s="2463"/>
    </row>
    <row r="2" spans="1:11" ht="16.2">
      <c r="A2" s="2300" t="s">
        <v>653</v>
      </c>
      <c r="B2" s="2300">
        <f>SUM(C14:C23)</f>
        <v>0</v>
      </c>
      <c r="C2" s="2462"/>
      <c r="D2" s="2462"/>
      <c r="E2" s="2462"/>
      <c r="F2" s="2462" t="s">
        <v>3418</v>
      </c>
      <c r="G2" s="2463"/>
      <c r="H2" s="2463"/>
      <c r="I2" s="3163" t="s">
        <v>3422</v>
      </c>
      <c r="J2" s="2463"/>
      <c r="K2" s="2463"/>
    </row>
    <row r="3" spans="1:11" ht="15.6">
      <c r="A3" s="2300" t="s">
        <v>662</v>
      </c>
      <c r="B3" s="2302">
        <f>项目基本情况!D3</f>
        <v>45828</v>
      </c>
      <c r="C3" s="2462"/>
      <c r="D3" s="2462"/>
      <c r="F3" s="3163" t="s">
        <v>3420</v>
      </c>
      <c r="G3" s="2462" t="s">
        <v>3419</v>
      </c>
      <c r="H3" s="3163" t="s">
        <v>3421</v>
      </c>
      <c r="I3" s="3163" t="s">
        <v>3420</v>
      </c>
      <c r="J3" s="3163" t="s">
        <v>3419</v>
      </c>
      <c r="K3" s="2463"/>
    </row>
    <row r="4" spans="1:11" ht="31.2">
      <c r="A4" s="2300" t="s">
        <v>661</v>
      </c>
      <c r="B4" s="2300" t="s">
        <v>660</v>
      </c>
      <c r="C4" s="2300" t="s">
        <v>659</v>
      </c>
      <c r="D4" s="2300" t="s">
        <v>658</v>
      </c>
      <c r="E4" s="2462">
        <v>111511</v>
      </c>
      <c r="F4" s="2463">
        <v>37279</v>
      </c>
      <c r="G4" s="2463">
        <v>501</v>
      </c>
      <c r="H4" s="2301">
        <f>'数据-基础表'!G13</f>
        <v>134.31</v>
      </c>
      <c r="I4" s="2463">
        <f>ROUND(F4*0.92,0)</f>
        <v>34297</v>
      </c>
      <c r="J4" s="2463">
        <f>ROUND(H4*I4/10000,0)</f>
        <v>461</v>
      </c>
      <c r="K4" s="2463"/>
    </row>
    <row r="5" spans="1:11" ht="15.6">
      <c r="A5" s="2300" t="s">
        <v>657</v>
      </c>
      <c r="B5" s="2300">
        <f>SUM(D14:D23)</f>
        <v>461</v>
      </c>
      <c r="C5" s="2300">
        <f ca="1">IF(B5=D14,结果表!H102,ROUND(B5*10000/$B$1,0))</f>
        <v>0</v>
      </c>
      <c r="D5" s="2300" t="e">
        <f>ROUND(B5*10000/$B$2,0)</f>
        <v>#DIV/0!</v>
      </c>
      <c r="E5" s="2462">
        <v>111516</v>
      </c>
      <c r="F5" s="2463">
        <v>37089</v>
      </c>
      <c r="G5" s="2463">
        <v>1440</v>
      </c>
      <c r="H5" s="2301">
        <f>'数据-基础表'!G14</f>
        <v>388.36</v>
      </c>
      <c r="I5" s="2463">
        <f>ROUND(F5*0.92,0)</f>
        <v>34122</v>
      </c>
      <c r="J5" s="2463">
        <f>ROUND(H5*I5/10000,0)</f>
        <v>1325</v>
      </c>
      <c r="K5" s="2463"/>
    </row>
    <row r="6" spans="1:11" ht="15.6">
      <c r="A6" s="2300" t="s">
        <v>656</v>
      </c>
      <c r="B6" s="2300">
        <f>SUM(G14:G23)</f>
        <v>461</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3499" t="s">
        <v>3423</v>
      </c>
      <c r="I7" s="2463"/>
      <c r="J7" s="2463"/>
      <c r="K7" s="2463"/>
    </row>
    <row r="8" spans="1:11" ht="15.6">
      <c r="A8" s="2300" t="s">
        <v>587</v>
      </c>
      <c r="B8" s="2300">
        <f>SUM(I14:I23)</f>
        <v>0</v>
      </c>
      <c r="C8" s="2300" t="str">
        <f>IF(B8=I14,结果表!H112,ROUND(B8*10000/$B$1,0))</f>
        <v>——</v>
      </c>
      <c r="D8" s="2300" t="e">
        <f>ROUND(B8*10000/$B$2,0)</f>
        <v>#DIV/0!</v>
      </c>
      <c r="E8" s="2462"/>
      <c r="F8" s="2463"/>
      <c r="G8" s="2463"/>
      <c r="I8" s="2463"/>
      <c r="J8" s="2463"/>
      <c r="K8" s="2463"/>
    </row>
    <row r="9" spans="1:11" ht="15.6">
      <c r="A9" s="2300" t="s">
        <v>655</v>
      </c>
      <c r="B9" s="1244"/>
      <c r="C9" s="2462"/>
      <c r="D9" s="2462"/>
      <c r="E9" s="2462"/>
      <c r="F9" s="2463"/>
      <c r="G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'数据-基础表'!G13</f>
        <v>134.31</v>
      </c>
      <c r="C14" s="2306"/>
      <c r="D14" s="2306">
        <f>J4</f>
        <v>461</v>
      </c>
      <c r="E14" s="2306">
        <f>I4</f>
        <v>34297</v>
      </c>
      <c r="F14" s="2306" t="e">
        <f>ROUND(D14*10000/C14,0)</f>
        <v>#DIV/0!</v>
      </c>
      <c r="G14" s="2306">
        <f>J4</f>
        <v>461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6" t="str">
        <f>项目基本情况!S2</f>
        <v>北京市房地产</v>
      </c>
      <c r="B2" s="3287"/>
      <c r="C2" s="3287"/>
      <c r="D2" s="3287"/>
      <c r="E2" s="3287"/>
      <c r="F2" s="3287"/>
      <c r="G2" s="3287"/>
      <c r="H2" s="3287"/>
      <c r="I2" s="3288"/>
    </row>
    <row r="3" spans="1:12" ht="13.2">
      <c r="A3" s="3290" t="s">
        <v>1264</v>
      </c>
      <c r="B3" s="3291"/>
      <c r="C3" s="3291"/>
      <c r="D3" s="3291"/>
      <c r="E3" s="3291"/>
      <c r="F3" s="3291"/>
      <c r="G3" s="3291"/>
      <c r="H3" s="3291"/>
      <c r="I3" s="3291"/>
    </row>
    <row r="4" spans="1:12" ht="14.4">
      <c r="A4" s="1624" t="s">
        <v>1265</v>
      </c>
      <c r="B4" s="1625" t="s">
        <v>1266</v>
      </c>
      <c r="C4" s="1626"/>
      <c r="D4" s="1626"/>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6" t="s">
        <v>1268</v>
      </c>
      <c r="B5" s="3253">
        <v>25</v>
      </c>
      <c r="C5" s="3269"/>
      <c r="D5" s="3289"/>
      <c r="E5" s="123" t="s">
        <v>1269</v>
      </c>
      <c r="F5" s="1627"/>
      <c r="G5" s="1627"/>
      <c r="H5" s="1627"/>
      <c r="I5" s="1281"/>
    </row>
    <row r="6" spans="1:12" ht="13.2">
      <c r="A6" s="3266"/>
      <c r="B6" s="3253"/>
      <c r="C6" s="3270"/>
      <c r="D6" s="3289"/>
      <c r="E6" s="123" t="s">
        <v>1270</v>
      </c>
      <c r="F6" s="1627"/>
      <c r="G6" s="1627"/>
      <c r="H6" s="1627"/>
      <c r="I6" s="1281"/>
    </row>
    <row r="7" spans="1:12" ht="13.2">
      <c r="A7" s="3266"/>
      <c r="B7" s="3253"/>
      <c r="C7" s="3271"/>
      <c r="D7" s="3289"/>
      <c r="E7" s="123" t="s">
        <v>1271</v>
      </c>
      <c r="F7" s="1627"/>
      <c r="G7" s="1627"/>
      <c r="H7" s="1627"/>
      <c r="I7" s="1281"/>
    </row>
    <row r="8" spans="1:12" ht="13.2">
      <c r="A8" s="3266" t="s">
        <v>1272</v>
      </c>
      <c r="B8" s="3253">
        <v>15</v>
      </c>
      <c r="C8" s="3269"/>
      <c r="D8" s="3289"/>
      <c r="E8" s="123" t="s">
        <v>1273</v>
      </c>
      <c r="F8" s="1627"/>
      <c r="G8" s="1627"/>
      <c r="H8" s="1627"/>
      <c r="I8" s="1281"/>
    </row>
    <row r="9" spans="1:12" ht="13.2">
      <c r="A9" s="3266"/>
      <c r="B9" s="3253"/>
      <c r="C9" s="3271"/>
      <c r="D9" s="3289"/>
      <c r="E9" s="123" t="s">
        <v>1274</v>
      </c>
      <c r="F9" s="1627"/>
      <c r="G9" s="1627"/>
      <c r="H9" s="1627"/>
      <c r="I9" s="1281"/>
    </row>
    <row r="10" spans="1:12" ht="13.2">
      <c r="A10" s="3266" t="s">
        <v>1275</v>
      </c>
      <c r="B10" s="3253">
        <v>15</v>
      </c>
      <c r="C10" s="3269"/>
      <c r="D10" s="3289"/>
      <c r="E10" s="123" t="s">
        <v>1276</v>
      </c>
      <c r="F10" s="1627"/>
      <c r="G10" s="1627"/>
      <c r="H10" s="1627"/>
      <c r="I10" s="1281"/>
    </row>
    <row r="11" spans="1:12" ht="13.2">
      <c r="A11" s="3266"/>
      <c r="B11" s="3253"/>
      <c r="C11" s="3271"/>
      <c r="D11" s="3289"/>
      <c r="E11" s="123" t="s">
        <v>1277</v>
      </c>
      <c r="F11" s="1627"/>
      <c r="G11" s="1627"/>
      <c r="H11" s="1627"/>
      <c r="I11" s="1281"/>
    </row>
    <row r="12" spans="1:12" ht="13.2">
      <c r="A12" s="3266" t="s">
        <v>1278</v>
      </c>
      <c r="B12" s="3253">
        <v>15</v>
      </c>
      <c r="C12" s="3269"/>
      <c r="D12" s="3289"/>
      <c r="E12" s="123" t="s">
        <v>1279</v>
      </c>
      <c r="F12" s="1627"/>
      <c r="G12" s="1627"/>
      <c r="H12" s="1627"/>
      <c r="I12" s="1281"/>
    </row>
    <row r="13" spans="1:12" ht="13.2">
      <c r="A13" s="3266"/>
      <c r="B13" s="3253"/>
      <c r="C13" s="3271"/>
      <c r="D13" s="3289"/>
      <c r="E13" s="123" t="s">
        <v>1280</v>
      </c>
      <c r="F13" s="1627"/>
      <c r="G13" s="1627"/>
      <c r="H13" s="1627"/>
      <c r="I13" s="1281"/>
    </row>
    <row r="14" spans="1:12" ht="13.2">
      <c r="A14" s="3266" t="s">
        <v>1281</v>
      </c>
      <c r="B14" s="3253">
        <v>30</v>
      </c>
      <c r="C14" s="3269"/>
      <c r="D14" s="3289"/>
      <c r="E14" s="123" t="s">
        <v>1282</v>
      </c>
      <c r="F14" s="1627"/>
      <c r="G14" s="1627"/>
      <c r="H14" s="1627"/>
      <c r="I14" s="1281"/>
    </row>
    <row r="15" spans="1:12" ht="13.2">
      <c r="A15" s="3266"/>
      <c r="B15" s="3253"/>
      <c r="C15" s="3270"/>
      <c r="D15" s="3289"/>
      <c r="E15" s="123" t="s">
        <v>1283</v>
      </c>
      <c r="F15" s="1627"/>
      <c r="G15" s="1627"/>
      <c r="H15" s="1627"/>
      <c r="I15" s="1281"/>
    </row>
    <row r="16" spans="1:12" ht="13.2">
      <c r="A16" s="3266"/>
      <c r="B16" s="3253"/>
      <c r="C16" s="3271"/>
      <c r="D16" s="3289"/>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6" t="s">
        <v>2131</v>
      </c>
      <c r="F18" s="3277"/>
      <c r="G18" s="3277"/>
      <c r="H18" s="3277"/>
      <c r="I18" s="3277"/>
      <c r="K18" s="294" t="s">
        <v>1289</v>
      </c>
      <c r="L18" s="294">
        <f>IF(C1="",'数据-汇总表'!E3,SUMIF(项目类型,C1,'数据-汇总表'!E17:E26)+SUMIF(项目类型,C1,'数据-汇总表'!I17:I26))</f>
        <v>522.67000000000007</v>
      </c>
      <c r="M18" s="294">
        <f>IF(C1="",'数据-汇总表'!E3,SUMIF(项目类型,C1,'数据-汇总表'!E17:E26))</f>
        <v>522.67000000000007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0" t="s">
        <v>1299</v>
      </c>
      <c r="B24" s="1631" t="s">
        <v>1291</v>
      </c>
      <c r="C24" s="128">
        <f>IF(B30=0,0,D30)</f>
        <v>0</v>
      </c>
      <c r="D24" s="1637"/>
      <c r="E24" s="121"/>
      <c r="F24" s="121"/>
      <c r="G24" s="121"/>
      <c r="H24" s="121"/>
      <c r="I24" s="121"/>
    </row>
    <row r="25" spans="1:36" ht="14.4">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0" t="s">
        <v>1312</v>
      </c>
      <c r="B36" s="1652" t="s">
        <v>1313</v>
      </c>
      <c r="C36" s="137"/>
      <c r="D36" s="1653"/>
      <c r="E36" s="1567"/>
      <c r="F36" s="1654"/>
      <c r="G36" s="121"/>
      <c r="H36" s="121"/>
      <c r="I36" s="121"/>
    </row>
    <row r="37" spans="1:15" ht="15" thickBot="1">
      <c r="A37" s="3281"/>
      <c r="B37" s="1555" t="s">
        <v>1314</v>
      </c>
      <c r="C37" s="139"/>
      <c r="D37" s="1071"/>
      <c r="E37" s="1071"/>
      <c r="F37" s="1654"/>
      <c r="G37" s="121"/>
      <c r="H37" s="121"/>
      <c r="I37" s="121"/>
    </row>
    <row r="38" spans="1:15" ht="15" thickBot="1">
      <c r="A38" s="328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t="e">
        <f ca="1">ROUND(H101*F45,0)</f>
        <v>#REF!</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10">
        <v>1</v>
      </c>
      <c r="K46" s="3316" t="s">
        <v>1331</v>
      </c>
      <c r="L46" s="3316"/>
      <c r="M46" s="3336"/>
      <c r="N46" s="3336"/>
      <c r="O46" s="3336"/>
    </row>
    <row r="47" spans="1:15" ht="12" customHeight="1">
      <c r="A47" s="152" t="s">
        <v>1332</v>
      </c>
      <c r="B47" s="153"/>
      <c r="C47" s="154"/>
      <c r="D47" s="1024" t="s">
        <v>1333</v>
      </c>
      <c r="E47" s="294" t="s">
        <v>1334</v>
      </c>
      <c r="F47" s="155" t="s">
        <v>1335</v>
      </c>
      <c r="G47" s="2333" t="s">
        <v>1336</v>
      </c>
      <c r="H47" s="2334"/>
      <c r="I47" s="151"/>
      <c r="J47" s="2310">
        <v>2</v>
      </c>
      <c r="K47" s="3316" t="s">
        <v>1337</v>
      </c>
      <c r="L47" s="3316"/>
      <c r="M47" s="3337">
        <f>'数据-取费表'!B2</f>
        <v>45828</v>
      </c>
      <c r="N47" s="3337"/>
      <c r="O47" s="3337"/>
    </row>
    <row r="48" spans="1:15" ht="26.4">
      <c r="A48" s="3285" t="s">
        <v>1338</v>
      </c>
      <c r="B48" s="3268"/>
      <c r="C48" s="3268"/>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6" t="s">
        <v>1340</v>
      </c>
      <c r="L48" s="3316"/>
      <c r="M48" s="3338" t="e">
        <f ca="1">H101</f>
        <v>#REF!</v>
      </c>
      <c r="N48" s="3338"/>
      <c r="O48" s="3338"/>
    </row>
    <row r="49" spans="1:35" ht="25.5" customHeight="1">
      <c r="A49" s="2152" t="s">
        <v>1341</v>
      </c>
      <c r="B49" s="3252" t="s">
        <v>1342</v>
      </c>
      <c r="C49" s="3252"/>
      <c r="D49" s="1478">
        <v>0</v>
      </c>
      <c r="E49" s="316" t="s">
        <v>1343</v>
      </c>
      <c r="F49" s="2233" t="s">
        <v>28</v>
      </c>
      <c r="G49" s="3322"/>
      <c r="H49" s="2134" t="s">
        <v>2134</v>
      </c>
      <c r="I49" s="2135"/>
      <c r="J49" s="2310">
        <v>4</v>
      </c>
      <c r="K49" s="3316" t="str">
        <f>IF(项目基本情况!E8="房地产抵押价值","房地产抵押价值","抵押担保权已注销时的房地产抵押价值")</f>
        <v>房地产抵押价值</v>
      </c>
      <c r="L49" s="3316"/>
      <c r="M49" s="3338" t="str">
        <f ca="1">IF(项目基本情况!E8="房地产抵押价值",H107,H109)</f>
        <v>——</v>
      </c>
      <c r="N49" s="3338"/>
      <c r="O49" s="3338"/>
    </row>
    <row r="50" spans="1:35" ht="25.5" customHeight="1">
      <c r="A50" s="2338"/>
      <c r="B50" s="3252" t="s">
        <v>1344</v>
      </c>
      <c r="C50" s="3252"/>
      <c r="D50" s="2189"/>
      <c r="E50" s="323"/>
      <c r="F50" s="2233"/>
      <c r="G50" s="3323"/>
      <c r="H50" s="2136" t="s">
        <v>2135</v>
      </c>
      <c r="I50" s="2135"/>
      <c r="J50" s="3335" t="s">
        <v>1345</v>
      </c>
      <c r="K50" s="3335"/>
      <c r="L50" s="3335"/>
      <c r="M50" s="3335"/>
      <c r="N50" s="3335"/>
      <c r="O50" s="3335"/>
    </row>
    <row r="51" spans="1:35" ht="20.399999999999999" customHeight="1">
      <c r="A51" s="2339"/>
      <c r="B51" s="3252" t="s">
        <v>1346</v>
      </c>
      <c r="C51" s="3252"/>
      <c r="D51" s="1024"/>
      <c r="E51" s="319"/>
      <c r="F51" s="2233"/>
      <c r="G51" s="3324"/>
      <c r="H51" s="2136" t="s">
        <v>2136</v>
      </c>
      <c r="I51" s="2135"/>
      <c r="J51" s="2311" t="s">
        <v>1347</v>
      </c>
      <c r="K51" s="3316" t="s">
        <v>1348</v>
      </c>
      <c r="L51" s="3316"/>
      <c r="M51" s="2311" t="s">
        <v>1349</v>
      </c>
      <c r="N51" s="2311" t="s">
        <v>1350</v>
      </c>
      <c r="O51" s="2311" t="s">
        <v>1351</v>
      </c>
    </row>
    <row r="52" spans="1:35" ht="24" customHeight="1">
      <c r="A52" s="2153" t="s">
        <v>1352</v>
      </c>
      <c r="B52" s="3252" t="s">
        <v>1353</v>
      </c>
      <c r="C52" s="3252"/>
      <c r="D52" s="1024" t="e">
        <f ca="1">ROUND(D45*'数据-取费表'!B41/(1+'数据-取费表'!C42),0)</f>
        <v>#REF!</v>
      </c>
      <c r="E52" s="1256" t="s">
        <v>1354</v>
      </c>
      <c r="F52" s="2340">
        <f>'数据-取费表'!B41</f>
        <v>0</v>
      </c>
      <c r="G52" s="2341"/>
      <c r="H52" s="2331"/>
      <c r="I52" s="1669"/>
      <c r="J52" s="2310">
        <v>1</v>
      </c>
      <c r="K52" s="3317" t="s">
        <v>1355</v>
      </c>
      <c r="L52" s="3317"/>
      <c r="M52" s="2312" t="b">
        <f>D48</f>
        <v>0</v>
      </c>
      <c r="N52" s="2310" t="str">
        <f>E48</f>
        <v>销售额×税（费）率</v>
      </c>
      <c r="O52" s="2313">
        <f>F48</f>
        <v>0</v>
      </c>
    </row>
    <row r="53" spans="1:35" ht="12" customHeight="1">
      <c r="A53" s="2153" t="s">
        <v>1356</v>
      </c>
      <c r="B53" s="3278" t="s">
        <v>2291</v>
      </c>
      <c r="C53" s="3279"/>
      <c r="D53" s="1024" t="e">
        <f ca="1">ROUND(D45*'数据-取费表'!B41/(1+'数据-取费表'!C42),0)</f>
        <v>#REF!</v>
      </c>
      <c r="E53" s="1256" t="s">
        <v>1354</v>
      </c>
      <c r="F53" s="2340">
        <f>'数据-取费表'!B41</f>
        <v>0</v>
      </c>
      <c r="G53" s="2341"/>
      <c r="H53" s="2331"/>
      <c r="I53" s="1669"/>
      <c r="J53" s="2310">
        <v>2</v>
      </c>
      <c r="K53" s="3317" t="s">
        <v>1357</v>
      </c>
      <c r="L53" s="3317"/>
      <c r="M53" s="2312" t="e">
        <f t="shared" ref="M53:O54" ca="1" si="0">D55</f>
        <v>#REF!</v>
      </c>
      <c r="N53" s="2310" t="str">
        <f t="shared" si="0"/>
        <v>销售额×税（费）率</v>
      </c>
      <c r="O53" s="2313" t="str">
        <f t="shared" si="0"/>
        <v>免征</v>
      </c>
    </row>
    <row r="54" spans="1:35" ht="12" customHeight="1">
      <c r="A54" s="2153" t="s">
        <v>1358</v>
      </c>
      <c r="B54" s="3278" t="s">
        <v>2292</v>
      </c>
      <c r="C54" s="3279"/>
      <c r="D54" s="1024" t="e">
        <f ca="1">C68</f>
        <v>#REF!</v>
      </c>
      <c r="E54" s="319" t="s">
        <v>1359</v>
      </c>
      <c r="F54" s="2340">
        <f>'数据-取费表'!B41</f>
        <v>0</v>
      </c>
      <c r="G54" s="2341"/>
      <c r="H54" s="2342"/>
      <c r="I54" s="1669"/>
      <c r="J54" s="2310">
        <v>3</v>
      </c>
      <c r="K54" s="3317" t="s">
        <v>1360</v>
      </c>
      <c r="L54" s="3317"/>
      <c r="M54" s="2312" t="e">
        <f t="shared" ca="1" si="0"/>
        <v>#REF!</v>
      </c>
      <c r="N54" s="2310" t="str">
        <f t="shared" si="0"/>
        <v>增值额×税（费）率</v>
      </c>
      <c r="O54" s="2314" t="str">
        <f t="shared" si="0"/>
        <v>免征</v>
      </c>
    </row>
    <row r="55" spans="1:35" ht="24" customHeight="1">
      <c r="A55" s="3267" t="s">
        <v>1361</v>
      </c>
      <c r="B55" s="3268"/>
      <c r="C55" s="3268"/>
      <c r="D55" s="12" t="e">
        <f ca="1">IF(H55="个人住宅",0,ROUND(D45*I55,0))</f>
        <v>#REF!</v>
      </c>
      <c r="E55" s="1256" t="s">
        <v>1362</v>
      </c>
      <c r="F55" s="2340" t="str">
        <f>IF(H55="正常",I55,"免征")</f>
        <v>免征</v>
      </c>
      <c r="G55" s="2341"/>
      <c r="H55" s="2337"/>
      <c r="I55" s="157">
        <f>'数据-取费表'!B49</f>
        <v>0</v>
      </c>
      <c r="J55" s="2310">
        <f>IF(H59="非个人房产","",4)</f>
        <v>4</v>
      </c>
      <c r="K55" s="3317" t="str">
        <f>IF(H59="非个人房产","——","个人所得税")</f>
        <v>个人所得税</v>
      </c>
      <c r="L55" s="3317"/>
      <c r="M55" s="2315" t="e">
        <f ca="1">D59</f>
        <v>#REF!</v>
      </c>
      <c r="N55" s="1883" t="str">
        <f>E59</f>
        <v>差额计税</v>
      </c>
      <c r="O55" s="2316">
        <f>F59</f>
        <v>0.01</v>
      </c>
    </row>
    <row r="56" spans="1:35" ht="25.2">
      <c r="A56" s="3267" t="s">
        <v>1363</v>
      </c>
      <c r="B56" s="3268"/>
      <c r="C56" s="3268"/>
      <c r="D56" s="12" t="e">
        <f ca="1">IF(H56="个人住宅",D57,D58)</f>
        <v>#REF!</v>
      </c>
      <c r="E56" s="1256" t="s">
        <v>1364</v>
      </c>
      <c r="F56" s="2340" t="str">
        <f>IF(H56="正常",F58,"免征")</f>
        <v>免征</v>
      </c>
      <c r="G56" s="2343" t="s">
        <v>1365</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3.2">
      <c r="A57" s="2153" t="s">
        <v>1341</v>
      </c>
      <c r="B57" s="3278" t="s">
        <v>1366</v>
      </c>
      <c r="C57" s="3279"/>
      <c r="D57" s="1478">
        <v>0</v>
      </c>
      <c r="E57" s="316" t="s">
        <v>1343</v>
      </c>
      <c r="F57" s="294"/>
      <c r="G57" s="2341"/>
      <c r="H57" s="2345"/>
      <c r="I57" s="1670"/>
      <c r="J57" s="3317">
        <f>IF(AND(J55="",J56=""),4,IF(项目基本情况!K6="上海银行",结果表!J56+1,结果表!J55+1))</f>
        <v>5</v>
      </c>
      <c r="K57" s="3317" t="s">
        <v>1367</v>
      </c>
      <c r="L57" s="2317" t="s">
        <v>1368</v>
      </c>
      <c r="M57" s="2318"/>
      <c r="N57" s="2319">
        <f ca="1">SUMIF(M52:M56,"&lt;9e307")</f>
        <v>0</v>
      </c>
      <c r="O57" s="2320"/>
      <c r="P57" s="2465" t="e">
        <f ca="1">N57/M49</f>
        <v>#VALUE!</v>
      </c>
    </row>
    <row r="58" spans="1:35" ht="25.2">
      <c r="A58" s="2153" t="s">
        <v>1352</v>
      </c>
      <c r="B58" s="3278" t="s">
        <v>1369</v>
      </c>
      <c r="C58" s="3252"/>
      <c r="D58" s="12" t="e">
        <f ca="1">IF(H58="转让取得",C81,C97)</f>
        <v>#REF!</v>
      </c>
      <c r="E58" s="1256" t="s">
        <v>1364</v>
      </c>
      <c r="F58" s="294" t="s">
        <v>28</v>
      </c>
      <c r="G58" s="2341"/>
      <c r="H58" s="2344"/>
      <c r="I58" s="1670"/>
      <c r="J58" s="3317"/>
      <c r="K58" s="3317"/>
      <c r="L58" s="2317" t="s">
        <v>1370</v>
      </c>
      <c r="M58" s="2321"/>
      <c r="N58" s="2322" t="str">
        <f ca="1">NUMBERSTRING(INT(N57*10000),2)&amp;"元整"</f>
        <v>零元整</v>
      </c>
      <c r="O58" s="2323"/>
    </row>
    <row r="59" spans="1:35" ht="24.6" thickBot="1">
      <c r="A59" s="3320" t="s">
        <v>1371</v>
      </c>
      <c r="B59" s="3321"/>
      <c r="C59" s="332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8">
        <f>J57+1</f>
        <v>6</v>
      </c>
      <c r="K59" s="3317" t="s">
        <v>1372</v>
      </c>
      <c r="L59" s="2310" t="s">
        <v>1368</v>
      </c>
      <c r="M59" s="2324"/>
      <c r="N59" s="2325" t="e">
        <f ca="1">M49-N57</f>
        <v>#VALUE!</v>
      </c>
      <c r="O59" s="2326"/>
    </row>
    <row r="60" spans="1:35" ht="12" customHeight="1">
      <c r="A60" s="1671"/>
      <c r="B60" s="646"/>
      <c r="C60" s="646"/>
      <c r="D60" s="646"/>
      <c r="E60" s="1466"/>
      <c r="F60" s="1670"/>
      <c r="G60" s="1670"/>
      <c r="H60" s="151"/>
      <c r="I60" s="121"/>
      <c r="J60" s="3319"/>
      <c r="K60" s="3317"/>
      <c r="L60" s="2317" t="s">
        <v>1370</v>
      </c>
      <c r="M60" s="2321"/>
      <c r="N60" s="2322" t="e">
        <f ca="1">NUMBERSTRING(INT(N59*10000),2)&amp;"元整"</f>
        <v>#VALUE!</v>
      </c>
      <c r="O60" s="2323"/>
    </row>
    <row r="61" spans="1:35" ht="13.8" thickBot="1">
      <c r="A61" s="3265" t="s">
        <v>1373</v>
      </c>
      <c r="B61" s="3265"/>
      <c r="C61" s="3265"/>
      <c r="D61" s="3265"/>
      <c r="E61" s="3265"/>
      <c r="F61" s="1670"/>
      <c r="G61" s="1670"/>
      <c r="H61" s="151"/>
      <c r="I61" s="121"/>
      <c r="J61" s="2310">
        <f>J59+1</f>
        <v>7</v>
      </c>
      <c r="K61" s="3317" t="s">
        <v>1374</v>
      </c>
      <c r="L61" s="3317"/>
      <c r="M61" s="2327"/>
      <c r="N61" s="2328" t="e">
        <f ca="1">ROUND(N59*10000/'数据-汇总表'!E3,0)</f>
        <v>#VALUE!</v>
      </c>
      <c r="O61" s="2329"/>
    </row>
    <row r="62" spans="1:35" ht="13.2">
      <c r="A62" s="3283" t="s">
        <v>1375</v>
      </c>
      <c r="B62" s="3284"/>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2"/>
      <c r="K69" s="1245" t="s">
        <v>1393</v>
      </c>
      <c r="L69" s="1245"/>
      <c r="M69" s="294" t="e">
        <f ca="1">ROUND(SUM(M63:M68),0)</f>
        <v>#VALUE!</v>
      </c>
      <c r="N69" s="2332" t="e">
        <f ca="1">M69/M49</f>
        <v>#VALUE!</v>
      </c>
      <c r="Z69" s="1623"/>
      <c r="AI69" s="1561"/>
    </row>
    <row r="70" spans="1:35" s="642" customFormat="1" ht="14.4"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4" t="s">
        <v>2129</v>
      </c>
      <c r="H90" s="334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2" t="s">
        <v>1419</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2" t="s">
        <v>1422</v>
      </c>
      <c r="F92" s="3263"/>
      <c r="G92" s="3263"/>
      <c r="H92" s="327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71">
        <f>C4</f>
        <v>0</v>
      </c>
      <c r="D101" s="2372">
        <f>D4</f>
        <v>0</v>
      </c>
      <c r="E101" s="3339" t="s">
        <v>1431</v>
      </c>
      <c r="F101" s="3296"/>
      <c r="G101" s="1687" t="s">
        <v>1432</v>
      </c>
      <c r="H101" s="2381" t="e">
        <f ca="1">H118</f>
        <v>#REF!</v>
      </c>
      <c r="I101" s="121"/>
    </row>
    <row r="102" spans="1:35" ht="18.75" customHeight="1">
      <c r="A102" s="3298" t="s">
        <v>1433</v>
      </c>
      <c r="B102" s="2370" t="s">
        <v>1432</v>
      </c>
      <c r="C102" s="2371" t="e">
        <f ca="1">IF(D32="楼面单价",ROUND(C19,0),C19)</f>
        <v>#REF!</v>
      </c>
      <c r="D102" s="2372" t="e">
        <f ca="1">IF(D32="楼面单价",ROUND(D19,0),D19)</f>
        <v>#REF!</v>
      </c>
      <c r="E102" s="3339"/>
      <c r="F102" s="3296"/>
      <c r="G102" s="1687" t="s">
        <v>1434</v>
      </c>
      <c r="H102" s="2341" t="e">
        <f ca="1">I118</f>
        <v>#REF!</v>
      </c>
      <c r="I102" s="121"/>
    </row>
    <row r="103" spans="1:35" ht="42.75" customHeight="1">
      <c r="A103" s="3298"/>
      <c r="B103" s="2370" t="s">
        <v>1434</v>
      </c>
      <c r="C103" s="2373" t="e">
        <f ca="1">C20</f>
        <v>#REF!</v>
      </c>
      <c r="D103" s="2374" t="e">
        <f ca="1">D20</f>
        <v>#REF!</v>
      </c>
      <c r="E103" s="3333" t="s">
        <v>1435</v>
      </c>
      <c r="F103" s="3334"/>
      <c r="G103" s="1688" t="s">
        <v>1436</v>
      </c>
      <c r="H103" s="2381">
        <f>IF(D36="正常操作",H104+H105+H106,H105+H106)</f>
        <v>0</v>
      </c>
      <c r="I103" s="121"/>
    </row>
    <row r="104" spans="1:35" ht="18.75" customHeight="1">
      <c r="A104" s="3298"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5" t="str">
        <f>IF(项目基本情况!E8="已注销","——","3.房地产抵押价值")</f>
        <v>3.房地产抵押价值</v>
      </c>
      <c r="F107" s="3296"/>
      <c r="G107" s="1687" t="s">
        <v>1432</v>
      </c>
      <c r="H107" s="2381" t="e">
        <f ca="1">IF(E107="——","——",H101-H103)</f>
        <v>#REF!</v>
      </c>
      <c r="I107" s="121"/>
    </row>
    <row r="108" spans="1:35" ht="18.75" customHeight="1">
      <c r="A108" s="121"/>
      <c r="B108" s="121"/>
      <c r="C108" s="121"/>
      <c r="D108" s="121"/>
      <c r="E108" s="3295"/>
      <c r="F108" s="3296"/>
      <c r="G108" s="1687" t="s">
        <v>1434</v>
      </c>
      <c r="H108" s="2341">
        <f ca="1">IF(H107=H101,H102,ROUND(H107*10000/'数据-汇总表'!E3,0))</f>
        <v>0</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4" t="str">
        <f>IF(E109="——","——",H101-H105-H106)</f>
        <v>——</v>
      </c>
      <c r="I109" s="121"/>
    </row>
    <row r="110" spans="1:35" ht="18.75" customHeight="1">
      <c r="A110" s="121"/>
      <c r="B110" s="121"/>
      <c r="C110" s="121"/>
      <c r="D110" s="121"/>
      <c r="E110" s="3295"/>
      <c r="F110" s="3296"/>
      <c r="G110" s="1687" t="s">
        <v>1434</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1432</v>
      </c>
      <c r="H111" s="2381" t="str">
        <f>IF(E111="——","——",N59)</f>
        <v>——</v>
      </c>
      <c r="I111" s="121"/>
    </row>
    <row r="112" spans="1:35" ht="18.75" customHeight="1" thickBot="1">
      <c r="A112" s="121"/>
      <c r="B112" s="121"/>
      <c r="C112" s="121"/>
      <c r="D112" s="121"/>
      <c r="E112" s="3328"/>
      <c r="F112" s="3329"/>
      <c r="G112" s="1690" t="s">
        <v>1434</v>
      </c>
      <c r="H112" s="2385"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522.67000000000007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306" t="e">
        <f ca="1">NUMBERSTRING(INT(D118*10000),2)&amp;"元整"</f>
        <v>#REF!</v>
      </c>
      <c r="E119" s="3308"/>
      <c r="F119" s="3306" t="e">
        <f ca="1">NUMBERSTRING(INT(F118*10000),2)&amp;"元整"</f>
        <v>#REF!</v>
      </c>
      <c r="G119" s="3308"/>
      <c r="H119" s="3306" t="e">
        <f ca="1">NUMBERSTRING(INT(H118*10000),2)&amp;"元整"</f>
        <v>#REF!</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t="e">
        <f ca="1">H107</f>
        <v>#REF!</v>
      </c>
      <c r="E122" s="3331"/>
      <c r="F122" s="3331"/>
      <c r="G122" s="3331"/>
      <c r="H122" s="3331"/>
      <c r="I122" s="3332"/>
      <c r="AA122" s="684"/>
    </row>
    <row r="123" spans="1:27" ht="18.75" customHeight="1">
      <c r="A123" s="3266" t="s">
        <v>1452</v>
      </c>
      <c r="B123" s="3266"/>
      <c r="C123" s="3266"/>
      <c r="D123" s="3306" t="e">
        <f ca="1">NUMBERSTRING(INT(D122*10000),2)&amp;"元整"</f>
        <v>#REF!</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1452</v>
      </c>
      <c r="B127" s="3266"/>
      <c r="C127" s="3266"/>
      <c r="D127" s="3306" t="e">
        <f>NUMBERSTRING(INT(D126*10000),2)&amp;"元整"</f>
        <v>#VALUE!</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522.67000000000007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522.67000000000007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522.67000000000007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6" t="s">
        <v>1544</v>
      </c>
    </row>
    <row r="43" spans="1:7" ht="13.5" customHeight="1">
      <c r="A43" s="734" t="s">
        <v>347</v>
      </c>
      <c r="B43" s="207" t="s">
        <v>1545</v>
      </c>
      <c r="C43" s="230" t="e">
        <f ca="1">ROUND(IF('数据-取费表'!B22&lt;=1,C39*F22*'数据-取费表'!B21/2,C39*(POWER((1+F22),'数据-取费表'!B21/2)-1)),0)</f>
        <v>#VALUE!</v>
      </c>
      <c r="D43" s="230"/>
      <c r="E43" s="230"/>
      <c r="F43" s="231"/>
      <c r="G43" s="3347"/>
    </row>
    <row r="44" spans="1:7" ht="13.5" customHeight="1">
      <c r="A44" s="734" t="s">
        <v>348</v>
      </c>
      <c r="B44" s="207" t="s">
        <v>1546</v>
      </c>
      <c r="C44" s="230" t="e">
        <f ca="1">ROUND(IF('数据-取费表'!B22&lt;=1,C40*F22*'数据-取费表'!B21/2,C40*(POWER((1+F22),'数据-取费表'!B21/2)-1)),4)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522.67000000000007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522.67000000000007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522.67000000000007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6" t="s">
        <v>1591</v>
      </c>
    </row>
    <row r="43" spans="1:7" ht="13.5" customHeight="1">
      <c r="A43" s="734" t="s">
        <v>347</v>
      </c>
      <c r="B43" s="207" t="s">
        <v>1545</v>
      </c>
      <c r="C43" s="230" t="e">
        <f ca="1">ROUND(IF('数据-取费表'!B22&lt;=1,C39*F22*'数据-取费表'!B20/2,C39*(POWER((1+F22),'数据-取费表'!B20/2)-1)),0)</f>
        <v>#VALUE!</v>
      </c>
      <c r="D43" s="230"/>
      <c r="E43" s="230"/>
      <c r="F43" s="231"/>
      <c r="G43" s="3347"/>
    </row>
    <row r="44" spans="1:7" ht="13.5" customHeight="1">
      <c r="A44" s="734" t="s">
        <v>348</v>
      </c>
      <c r="B44" s="207" t="s">
        <v>1546</v>
      </c>
      <c r="C44" s="230" t="e">
        <f ca="1">ROUND(IF('数据-取费表'!B22&lt;=1,C40*F22*'数据-取费表'!B20/2,C40*(POWER((1+F22),'数据-取费表'!B20/2)-1)),4)</f>
        <v>#VALUE!</v>
      </c>
      <c r="D44" s="230"/>
      <c r="E44" s="230"/>
      <c r="F44" s="231"/>
      <c r="G44" s="3348"/>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522.67000000000007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522.67000000000007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522.67000000000007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1" t="s">
        <v>694</v>
      </c>
      <c r="C6" s="1011">
        <f ca="1">ROUND(F6*F8*F7*(1-F9)/10000,0)</f>
        <v>0</v>
      </c>
      <c r="D6" s="147" t="s">
        <v>2109</v>
      </c>
      <c r="E6" s="294" t="s">
        <v>696</v>
      </c>
      <c r="F6" s="295">
        <f ca="1">INDIRECT("'数据-取费表'!u"&amp;$G$1)</f>
        <v>0</v>
      </c>
      <c r="G6" s="1292"/>
      <c r="H6" s="1006" t="s">
        <v>398</v>
      </c>
      <c r="I6" s="3351" t="s">
        <v>694</v>
      </c>
      <c r="J6" s="293">
        <f ca="1">ROUND(M6*M8*M7*(1-M9)/10000,0)</f>
        <v>0</v>
      </c>
      <c r="K6" s="147" t="s">
        <v>2108</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1" t="s">
        <v>694</v>
      </c>
      <c r="C6" s="1011">
        <f ca="1">ROUND(F6*F8*F7*(1-F9),0)</f>
        <v>0</v>
      </c>
      <c r="D6" s="147" t="s">
        <v>2106</v>
      </c>
      <c r="E6" s="294" t="s">
        <v>696</v>
      </c>
      <c r="F6" s="295">
        <f ca="1">INDIRECT("'数据-取费表'!u"&amp;$G$1)</f>
        <v>0</v>
      </c>
      <c r="G6" s="1292"/>
      <c r="H6" s="1006" t="s">
        <v>398</v>
      </c>
      <c r="I6" s="3351" t="s">
        <v>694</v>
      </c>
      <c r="J6" s="293">
        <f ca="1">ROUND(M6*M8*M7*(1-M9),0)</f>
        <v>0</v>
      </c>
      <c r="K6" s="1284" t="s">
        <v>2107</v>
      </c>
      <c r="L6" s="294" t="s">
        <v>696</v>
      </c>
      <c r="M6" s="295">
        <f ca="1">INDIRECT("'数据-取费表'!z"&amp;$G$1)</f>
        <v>0</v>
      </c>
    </row>
    <row r="7" spans="1:37" ht="18" customHeight="1">
      <c r="A7" s="1010"/>
      <c r="B7" s="3352"/>
      <c r="C7" s="1012"/>
      <c r="D7" s="299"/>
      <c r="E7" s="1013" t="s">
        <v>697</v>
      </c>
      <c r="F7" s="295">
        <f ca="1">IF(INDIRECT("'数据-取费表'!ah"&amp;$G$1)="",INDIRECT("'数据-取费表'!k"&amp;$G$1),INDIRECT("'数据-取费表'!ah"&amp;$G$1))</f>
        <v>0</v>
      </c>
      <c r="G7" s="1292"/>
      <c r="H7" s="296"/>
      <c r="I7" s="3352"/>
      <c r="J7" s="298"/>
      <c r="K7" s="299"/>
      <c r="L7" s="294" t="s">
        <v>697</v>
      </c>
      <c r="M7" s="295">
        <f ca="1">F7</f>
        <v>0</v>
      </c>
    </row>
    <row r="8" spans="1:37" ht="18" customHeight="1">
      <c r="A8" s="296"/>
      <c r="B8" s="3352"/>
      <c r="C8" s="298"/>
      <c r="D8" s="299"/>
      <c r="E8" s="294" t="s">
        <v>698</v>
      </c>
      <c r="F8" s="295">
        <f ca="1">INDIRECT("'数据-取费表'!ai"&amp;$G$1)</f>
        <v>0</v>
      </c>
      <c r="G8" s="1292"/>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2"/>
      <c r="H9" s="296"/>
      <c r="I9" s="335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#VALUE!</v>
      </c>
      <c r="D45" s="3131"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9" t="s">
        <v>837</v>
      </c>
      <c r="L53" s="3350"/>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360" t="s">
        <v>2317</v>
      </c>
      <c r="K2" s="3361"/>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362" t="s">
        <v>2327</v>
      </c>
      <c r="K3" s="3363"/>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362" t="s">
        <v>2329</v>
      </c>
      <c r="K4" s="3363"/>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368" t="s">
        <v>2333</v>
      </c>
      <c r="B6" s="3369"/>
      <c r="C6" s="3370"/>
      <c r="D6" s="2622"/>
      <c r="E6" s="2623"/>
      <c r="F6" s="2624"/>
      <c r="G6" s="2625"/>
      <c r="H6" s="2600"/>
      <c r="I6" s="2601"/>
      <c r="J6" s="3354">
        <v>1</v>
      </c>
      <c r="K6" s="335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354"/>
      <c r="K7" s="3356"/>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371" t="s">
        <v>2347</v>
      </c>
      <c r="C8" s="3372"/>
      <c r="D8" s="2641" t="s">
        <v>2348</v>
      </c>
      <c r="E8" s="2642" t="s">
        <v>2349</v>
      </c>
      <c r="F8" s="2643" t="s">
        <v>2350</v>
      </c>
      <c r="G8" s="2644"/>
      <c r="H8" s="2600"/>
      <c r="I8" s="2601"/>
      <c r="J8" s="3354"/>
      <c r="K8" s="3356"/>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371" t="s">
        <v>2353</v>
      </c>
      <c r="C9" s="3372"/>
      <c r="D9" s="2641">
        <f>ROUND(D6*E9,0)</f>
        <v>0</v>
      </c>
      <c r="E9" s="2645"/>
      <c r="F9" s="2646" t="s">
        <v>2354</v>
      </c>
      <c r="G9" s="2625"/>
      <c r="H9" s="2600"/>
      <c r="I9" s="2601"/>
      <c r="J9" s="3354"/>
      <c r="K9" s="3356"/>
      <c r="L9" s="2635" t="s">
        <v>2355</v>
      </c>
      <c r="M9" s="2636"/>
      <c r="N9" s="2612"/>
      <c r="O9" s="2637"/>
      <c r="P9" s="2637"/>
      <c r="Q9" s="2638">
        <v>365</v>
      </c>
      <c r="R9" s="2639">
        <f t="shared" si="0"/>
        <v>0</v>
      </c>
      <c r="S9" s="2593"/>
      <c r="T9" s="2593"/>
      <c r="U9" s="2593"/>
      <c r="V9" s="2601"/>
    </row>
    <row r="10" spans="1:22" s="2605" customFormat="1" ht="13.2" customHeight="1">
      <c r="A10" s="2640">
        <v>2</v>
      </c>
      <c r="B10" s="3371" t="s">
        <v>2356</v>
      </c>
      <c r="C10" s="3372"/>
      <c r="D10" s="2641">
        <f>ROUND(D6*E10,0)</f>
        <v>0</v>
      </c>
      <c r="E10" s="2645"/>
      <c r="F10" s="2646" t="s">
        <v>2357</v>
      </c>
      <c r="G10" s="2625"/>
      <c r="H10" s="2600"/>
      <c r="I10" s="2601"/>
      <c r="J10" s="3354"/>
      <c r="K10" s="3356"/>
      <c r="L10" s="2635" t="s">
        <v>2358</v>
      </c>
      <c r="M10" s="2636"/>
      <c r="N10" s="2612"/>
      <c r="O10" s="2637"/>
      <c r="P10" s="2637"/>
      <c r="Q10" s="2638">
        <v>365</v>
      </c>
      <c r="R10" s="2639">
        <f t="shared" si="0"/>
        <v>0</v>
      </c>
      <c r="S10" s="2593"/>
      <c r="T10" s="2593"/>
      <c r="U10" s="2593"/>
      <c r="V10" s="2601"/>
    </row>
    <row r="11" spans="1:22" s="2605" customFormat="1" ht="13.2" customHeight="1">
      <c r="A11" s="2640">
        <v>3</v>
      </c>
      <c r="B11" s="3371" t="s">
        <v>2359</v>
      </c>
      <c r="C11" s="3372"/>
      <c r="D11" s="2641">
        <f>D12+D14+D15+D16</f>
        <v>0</v>
      </c>
      <c r="E11" s="2647" t="e">
        <f>D11/D6</f>
        <v>#DIV/0!</v>
      </c>
      <c r="F11" s="2643"/>
      <c r="G11" s="2644"/>
      <c r="H11" s="2600"/>
      <c r="I11" s="2601"/>
      <c r="J11" s="3354"/>
      <c r="K11" s="3356"/>
      <c r="L11" s="2635" t="s">
        <v>2360</v>
      </c>
      <c r="M11" s="2636"/>
      <c r="N11" s="2612"/>
      <c r="O11" s="2637"/>
      <c r="P11" s="2637"/>
      <c r="Q11" s="2638">
        <v>365</v>
      </c>
      <c r="R11" s="2639">
        <f t="shared" si="0"/>
        <v>0</v>
      </c>
      <c r="S11" s="2593"/>
      <c r="T11" s="2593"/>
      <c r="U11" s="2593"/>
      <c r="V11" s="2601"/>
    </row>
    <row r="12" spans="1:22" s="2605" customFormat="1" ht="13.2" customHeight="1">
      <c r="A12" s="2648" t="s">
        <v>2361</v>
      </c>
      <c r="B12" s="3364" t="s">
        <v>2362</v>
      </c>
      <c r="C12" s="3365"/>
      <c r="D12" s="2649">
        <f>ROUND(D13*1.2%*(1-30%),0)</f>
        <v>0</v>
      </c>
      <c r="E12" s="2650">
        <v>1.2E-2</v>
      </c>
      <c r="F12" s="2643" t="s">
        <v>2363</v>
      </c>
      <c r="G12" s="2644"/>
      <c r="H12" s="2600"/>
      <c r="I12" s="2601"/>
      <c r="J12" s="3354"/>
      <c r="K12" s="3356"/>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354"/>
      <c r="K13" s="3356"/>
      <c r="L13" s="2635" t="s">
        <v>2366</v>
      </c>
      <c r="M13" s="2636"/>
      <c r="N13" s="2612"/>
      <c r="O13" s="2637"/>
      <c r="P13" s="2637"/>
      <c r="Q13" s="2638">
        <v>365</v>
      </c>
      <c r="R13" s="2639">
        <f t="shared" si="0"/>
        <v>0</v>
      </c>
      <c r="S13" s="2593"/>
      <c r="T13" s="2593"/>
      <c r="U13" s="2593"/>
      <c r="V13" s="2601"/>
    </row>
    <row r="14" spans="1:22" s="2605" customFormat="1" ht="13.2" customHeight="1">
      <c r="A14" s="2648" t="s">
        <v>2367</v>
      </c>
      <c r="B14" s="3364" t="s">
        <v>2368</v>
      </c>
      <c r="C14" s="3365"/>
      <c r="D14" s="2649">
        <f>ROUND(E14*B5/10000,0)</f>
        <v>0</v>
      </c>
      <c r="E14" s="2638"/>
      <c r="F14" s="2643" t="s">
        <v>2369</v>
      </c>
      <c r="G14" s="2644"/>
      <c r="H14" s="2600"/>
      <c r="I14" s="2601"/>
      <c r="J14" s="3354"/>
      <c r="K14" s="335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364" t="s">
        <v>2372</v>
      </c>
      <c r="C15" s="3365"/>
      <c r="D15" s="2649">
        <f>ROUND(D6*E15,0)</f>
        <v>0</v>
      </c>
      <c r="E15" s="2650">
        <v>5.5E-2</v>
      </c>
      <c r="F15" s="2643" t="s">
        <v>2373</v>
      </c>
      <c r="G15" s="2625"/>
      <c r="H15" s="2600"/>
      <c r="I15" s="2601"/>
      <c r="J15" s="3354">
        <v>2</v>
      </c>
      <c r="K15" s="335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364" t="s">
        <v>2381</v>
      </c>
      <c r="C16" s="3365"/>
      <c r="D16" s="2660">
        <f>D6*E16</f>
        <v>0</v>
      </c>
      <c r="E16" s="2661"/>
      <c r="F16" s="2646" t="s">
        <v>2382</v>
      </c>
      <c r="G16" s="2625"/>
      <c r="H16" s="2600"/>
      <c r="I16" s="2601"/>
      <c r="J16" s="3354"/>
      <c r="K16" s="3356"/>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366" t="s">
        <v>2384</v>
      </c>
      <c r="C17" s="3367"/>
      <c r="D17" s="2663">
        <f>ROUND(D6*E17,0)</f>
        <v>0</v>
      </c>
      <c r="E17" s="2664"/>
      <c r="F17" s="2665" t="s">
        <v>2385</v>
      </c>
      <c r="G17" s="2625"/>
      <c r="H17" s="2600"/>
      <c r="I17" s="2601"/>
      <c r="J17" s="3354"/>
      <c r="K17" s="3356"/>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354"/>
      <c r="K18" s="3356"/>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354"/>
      <c r="K19" s="335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354">
        <v>3</v>
      </c>
      <c r="K20" s="335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354"/>
      <c r="K21" s="3356"/>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354"/>
      <c r="K22" s="3356"/>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354"/>
      <c r="K23" s="3356"/>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354"/>
      <c r="K24" s="335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35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360" t="s">
        <v>2317</v>
      </c>
      <c r="K32" s="3361"/>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362" t="s">
        <v>2327</v>
      </c>
      <c r="K33" s="3363"/>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362" t="s">
        <v>2329</v>
      </c>
      <c r="K34" s="3363"/>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354">
        <v>1</v>
      </c>
      <c r="K36" s="3355"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354"/>
      <c r="K40" s="3357"/>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358">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522.67000000000007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522.67000000000007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522.67000000000007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522.67000000000007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估价对象为北京市房地产，为所有。根据《国有土地使用证》[]，估价对象（分摊）出让国有建设用地使用权面积为0平方米，建筑面积为522.67平方米。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估价对象为北京市房地产,属开发建设的，该项目尚在开发建设中。根据《国有土地使用证》[]，估价对象（分摊）出让国有建设用地使用权面积为0平方米，规划建筑面积为522.67平方米。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522.67000000000007</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522.67000000000007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78"/>
      <c r="Q10" s="530" t="str">
        <f t="shared" si="6"/>
        <v>土地使用年限（年）</v>
      </c>
      <c r="R10" s="664" t="s">
        <v>14</v>
      </c>
      <c r="S10" s="665" t="e">
        <f t="shared" si="0"/>
        <v>#DIV/0!</v>
      </c>
      <c r="T10" s="664" t="s">
        <v>14</v>
      </c>
      <c r="U10" s="665" t="e">
        <f t="shared" si="1"/>
        <v>#DIV/0!</v>
      </c>
      <c r="V10" s="664" t="s">
        <v>14</v>
      </c>
      <c r="W10" s="665" t="e">
        <f t="shared" si="2"/>
        <v>#DIV/0!</v>
      </c>
      <c r="X10" s="666"/>
      <c r="Y10" s="325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522.67000000000007</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457"/>
      <c r="B4" s="3458"/>
      <c r="C4" s="3458"/>
      <c r="D4" s="3459"/>
      <c r="E4" s="3459"/>
      <c r="F4" s="3459"/>
      <c r="G4" s="3459"/>
      <c r="H4" s="3459"/>
      <c r="I4" s="3459"/>
      <c r="J4" s="34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4" t="s">
        <v>1960</v>
      </c>
      <c r="X8" s="34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61" t="s">
        <v>3254</v>
      </c>
      <c r="B20" s="159" t="s">
        <v>1994</v>
      </c>
      <c r="C20" s="3032" t="e">
        <f>ROUND(IF(F21="与级别开发程度一致",0,(G21-E21)/C21),0)</f>
        <v>#DIV/0!</v>
      </c>
      <c r="D20" s="3047" t="s">
        <v>1998</v>
      </c>
      <c r="E20" s="3048"/>
      <c r="F20" s="3467" t="s">
        <v>1995</v>
      </c>
      <c r="G20" s="346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46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6"/>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3" t="s">
        <v>3294</v>
      </c>
      <c r="B103" s="3463"/>
      <c r="C103" s="3463"/>
      <c r="D103" s="3463"/>
      <c r="E103" s="3463"/>
      <c r="F103" s="3463"/>
      <c r="G103" s="3463"/>
      <c r="H103" s="3463"/>
      <c r="I103" s="3463"/>
      <c r="J103" s="3463"/>
      <c r="K103" s="1667"/>
      <c r="L103" s="1667"/>
      <c r="M103" s="1667"/>
      <c r="N103" s="1667"/>
    </row>
    <row r="104" spans="1:14">
      <c r="A104" s="3464" t="s">
        <v>3295</v>
      </c>
      <c r="B104" s="3464" t="s">
        <v>3296</v>
      </c>
      <c r="C104" s="3091" t="s">
        <v>3297</v>
      </c>
      <c r="D104" s="3092"/>
      <c r="E104" s="3092"/>
      <c r="F104" s="3092"/>
      <c r="G104" s="3092"/>
      <c r="H104" s="3092"/>
      <c r="I104" s="3092"/>
      <c r="J104" s="3093"/>
      <c r="K104" s="3094"/>
      <c r="L104" s="3094"/>
      <c r="M104" s="3094"/>
      <c r="N104" s="3094"/>
    </row>
    <row r="105" spans="1:14">
      <c r="A105" s="3464"/>
      <c r="B105" s="346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5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3" t="s">
        <v>3311</v>
      </c>
      <c r="B113" s="3453"/>
      <c r="C113" s="3453"/>
      <c r="D113" s="3453"/>
      <c r="E113" s="3453"/>
      <c r="F113" s="3453"/>
      <c r="G113" s="3453"/>
      <c r="H113" s="3453"/>
      <c r="I113" s="3453"/>
      <c r="J113" s="34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8" t="s">
        <v>2607</v>
      </c>
      <c r="B20" s="3473" t="s">
        <v>2628</v>
      </c>
      <c r="C20" s="2843" t="s">
        <v>2439</v>
      </c>
      <c r="D20" s="2844"/>
      <c r="E20" s="2845">
        <v>1</v>
      </c>
      <c r="F20" s="2846" t="s">
        <v>2440</v>
      </c>
      <c r="G20" s="2846"/>
    </row>
    <row r="21" spans="1:13" ht="19.5" customHeight="1">
      <c r="A21" s="3479"/>
      <c r="B21" s="3472"/>
      <c r="C21" s="2847" t="s">
        <v>2441</v>
      </c>
      <c r="D21" s="2848"/>
      <c r="E21" s="2849">
        <v>1</v>
      </c>
      <c r="F21" s="2846" t="s">
        <v>2442</v>
      </c>
      <c r="G21" s="2846"/>
    </row>
    <row r="22" spans="1:13" ht="19.5" customHeight="1">
      <c r="A22" s="3479"/>
      <c r="B22" s="3472"/>
      <c r="C22" s="2847" t="s">
        <v>2443</v>
      </c>
      <c r="D22" s="2848"/>
      <c r="E22" s="2849">
        <v>0.9</v>
      </c>
      <c r="F22" s="2846" t="s">
        <v>2444</v>
      </c>
      <c r="G22" s="2846"/>
    </row>
    <row r="23" spans="1:13" ht="19.5" customHeight="1">
      <c r="A23" s="3479"/>
      <c r="B23" s="3472"/>
      <c r="C23" s="2847" t="s">
        <v>2445</v>
      </c>
      <c r="D23" s="2848"/>
      <c r="E23" s="2849">
        <v>0.9</v>
      </c>
      <c r="F23" s="2846" t="s">
        <v>2446</v>
      </c>
      <c r="G23" s="2846"/>
    </row>
    <row r="24" spans="1:13" ht="19.5" customHeight="1">
      <c r="A24" s="3479"/>
      <c r="B24" s="3472"/>
      <c r="C24" s="2847" t="s">
        <v>2447</v>
      </c>
      <c r="D24" s="2848"/>
      <c r="E24" s="2849">
        <v>0.8</v>
      </c>
      <c r="F24" s="2846" t="s">
        <v>2448</v>
      </c>
      <c r="G24" s="2846"/>
    </row>
    <row r="25" spans="1:13" ht="19.5" customHeight="1" thickBot="1">
      <c r="A25" s="3480"/>
      <c r="B25" s="347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5" t="s">
        <v>2631</v>
      </c>
      <c r="B27" s="3473" t="s">
        <v>2612</v>
      </c>
      <c r="C27" s="2843" t="s">
        <v>2452</v>
      </c>
      <c r="D27" s="2844"/>
      <c r="E27" s="2845">
        <v>1</v>
      </c>
      <c r="F27" s="2846" t="s">
        <v>2453</v>
      </c>
      <c r="G27" s="2846"/>
    </row>
    <row r="28" spans="1:13" ht="19.5" customHeight="1">
      <c r="A28" s="3476"/>
      <c r="B28" s="3472"/>
      <c r="C28" s="2847" t="s">
        <v>2454</v>
      </c>
      <c r="D28" s="2848"/>
      <c r="E28" s="2849">
        <v>1</v>
      </c>
      <c r="F28" s="2846" t="s">
        <v>2455</v>
      </c>
      <c r="G28" s="2846"/>
    </row>
    <row r="29" spans="1:13" ht="19.5" customHeight="1">
      <c r="A29" s="3476"/>
      <c r="B29" s="3472"/>
      <c r="C29" s="2847" t="s">
        <v>2456</v>
      </c>
      <c r="D29" s="2848"/>
      <c r="E29" s="2849">
        <v>0.8</v>
      </c>
      <c r="F29" s="2846" t="s">
        <v>2457</v>
      </c>
      <c r="G29" s="2846"/>
    </row>
    <row r="30" spans="1:13" ht="19.5" customHeight="1">
      <c r="A30" s="3476"/>
      <c r="B30" s="3472"/>
      <c r="C30" s="2847" t="s">
        <v>2458</v>
      </c>
      <c r="D30" s="2848"/>
      <c r="E30" s="2849">
        <v>0.8</v>
      </c>
      <c r="F30" s="2846" t="s">
        <v>2459</v>
      </c>
      <c r="G30" s="2846"/>
    </row>
    <row r="31" spans="1:13" ht="19.5" customHeight="1">
      <c r="A31" s="3476"/>
      <c r="B31" s="3472"/>
      <c r="C31" s="2847" t="s">
        <v>2460</v>
      </c>
      <c r="D31" s="2848"/>
      <c r="E31" s="2849">
        <v>0.8</v>
      </c>
      <c r="F31" s="2846" t="s">
        <v>2461</v>
      </c>
      <c r="G31" s="2846"/>
    </row>
    <row r="32" spans="1:13" ht="19.5" customHeight="1">
      <c r="A32" s="3476"/>
      <c r="B32" s="3472"/>
      <c r="C32" s="2847" t="s">
        <v>2462</v>
      </c>
      <c r="D32" s="2848"/>
      <c r="E32" s="2849">
        <v>0.7</v>
      </c>
      <c r="F32" s="2846" t="s">
        <v>2463</v>
      </c>
      <c r="G32" s="2846"/>
    </row>
    <row r="33" spans="1:7" ht="19.5" customHeight="1">
      <c r="A33" s="3476"/>
      <c r="B33" s="3472"/>
      <c r="C33" s="2847" t="s">
        <v>2464</v>
      </c>
      <c r="D33" s="2848"/>
      <c r="E33" s="2849">
        <v>0.8</v>
      </c>
      <c r="F33" s="2846" t="s">
        <v>2465</v>
      </c>
      <c r="G33" s="2846"/>
    </row>
    <row r="34" spans="1:7" ht="19.5" customHeight="1">
      <c r="A34" s="3476"/>
      <c r="B34" s="3472"/>
      <c r="C34" s="2847" t="s">
        <v>2466</v>
      </c>
      <c r="D34" s="2848"/>
      <c r="E34" s="2849">
        <v>0.6</v>
      </c>
      <c r="F34" s="2846" t="s">
        <v>2467</v>
      </c>
      <c r="G34" s="2846"/>
    </row>
    <row r="35" spans="1:7" ht="19.5" customHeight="1">
      <c r="A35" s="3476"/>
      <c r="B35" s="3472"/>
      <c r="C35" s="2847" t="s">
        <v>2468</v>
      </c>
      <c r="D35" s="2848"/>
      <c r="E35" s="2849">
        <v>0.2</v>
      </c>
      <c r="F35" s="2846" t="s">
        <v>2469</v>
      </c>
      <c r="G35" s="2846"/>
    </row>
    <row r="36" spans="1:7" ht="19.5" customHeight="1">
      <c r="A36" s="3476"/>
      <c r="B36" s="3472"/>
      <c r="C36" s="2847" t="s">
        <v>2470</v>
      </c>
      <c r="D36" s="2848"/>
      <c r="E36" s="2849">
        <v>0.2</v>
      </c>
      <c r="F36" s="2846" t="s">
        <v>2471</v>
      </c>
      <c r="G36" s="2846"/>
    </row>
    <row r="37" spans="1:7" ht="19.5" customHeight="1">
      <c r="A37" s="3476"/>
      <c r="B37" s="3470" t="s">
        <v>2632</v>
      </c>
      <c r="C37" s="2847" t="s">
        <v>2472</v>
      </c>
      <c r="D37" s="2848"/>
      <c r="E37" s="2849">
        <v>0.6</v>
      </c>
      <c r="F37" s="2846" t="s">
        <v>2473</v>
      </c>
      <c r="G37" s="2846"/>
    </row>
    <row r="38" spans="1:7" ht="19.5" customHeight="1">
      <c r="A38" s="3476"/>
      <c r="B38" s="3472"/>
      <c r="C38" s="2847" t="s">
        <v>2474</v>
      </c>
      <c r="D38" s="2848"/>
      <c r="E38" s="2849">
        <v>0.6</v>
      </c>
      <c r="F38" s="2846" t="s">
        <v>2475</v>
      </c>
      <c r="G38" s="2846"/>
    </row>
    <row r="39" spans="1:7" ht="19.5" customHeight="1" thickBot="1">
      <c r="A39" s="3477"/>
      <c r="B39" s="347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8" t="s">
        <v>2610</v>
      </c>
      <c r="B41" s="3473" t="s">
        <v>2634</v>
      </c>
      <c r="C41" s="2843" t="s">
        <v>2479</v>
      </c>
      <c r="D41" s="2844"/>
      <c r="E41" s="2845">
        <v>1</v>
      </c>
      <c r="F41" s="2846" t="s">
        <v>2480</v>
      </c>
      <c r="G41" s="2846"/>
    </row>
    <row r="42" spans="1:7" ht="19.5" customHeight="1">
      <c r="A42" s="3479"/>
      <c r="B42" s="3472"/>
      <c r="C42" s="2847" t="s">
        <v>2481</v>
      </c>
      <c r="D42" s="2848"/>
      <c r="E42" s="2849">
        <v>1</v>
      </c>
      <c r="F42" s="2846" t="s">
        <v>2482</v>
      </c>
      <c r="G42" s="2846"/>
    </row>
    <row r="43" spans="1:7" ht="19.5" customHeight="1">
      <c r="A43" s="3479"/>
      <c r="B43" s="3471"/>
      <c r="C43" s="2847" t="s">
        <v>2483</v>
      </c>
      <c r="D43" s="2848"/>
      <c r="E43" s="2849">
        <v>1.5</v>
      </c>
      <c r="F43" s="2846" t="s">
        <v>2484</v>
      </c>
      <c r="G43" s="2846"/>
    </row>
    <row r="44" spans="1:7" ht="19.5" customHeight="1">
      <c r="A44" s="3479"/>
      <c r="B44" s="2858" t="s">
        <v>2635</v>
      </c>
      <c r="C44" s="2847" t="s">
        <v>2636</v>
      </c>
      <c r="D44" s="2848"/>
      <c r="E44" s="2849">
        <v>2</v>
      </c>
      <c r="F44" s="2846" t="s">
        <v>2485</v>
      </c>
      <c r="G44" s="2846"/>
    </row>
    <row r="45" spans="1:7" ht="19.5" customHeight="1">
      <c r="A45" s="3479"/>
      <c r="B45" s="3470" t="s">
        <v>2637</v>
      </c>
      <c r="C45" s="2847" t="s">
        <v>2486</v>
      </c>
      <c r="D45" s="2848"/>
      <c r="E45" s="2849">
        <v>1</v>
      </c>
      <c r="F45" s="2846" t="s">
        <v>2487</v>
      </c>
      <c r="G45" s="2846"/>
    </row>
    <row r="46" spans="1:7" ht="19.5" customHeight="1">
      <c r="A46" s="3479"/>
      <c r="B46" s="3472"/>
      <c r="C46" s="2847" t="s">
        <v>2488</v>
      </c>
      <c r="D46" s="2848"/>
      <c r="E46" s="2849">
        <v>1</v>
      </c>
      <c r="F46" s="2846" t="s">
        <v>2489</v>
      </c>
      <c r="G46" s="2846"/>
    </row>
    <row r="47" spans="1:7" ht="19.5" customHeight="1">
      <c r="A47" s="3479"/>
      <c r="B47" s="3472"/>
      <c r="C47" s="2847" t="s">
        <v>2490</v>
      </c>
      <c r="D47" s="2848"/>
      <c r="E47" s="2849">
        <v>1</v>
      </c>
      <c r="F47" s="2846" t="s">
        <v>2491</v>
      </c>
      <c r="G47" s="2846"/>
    </row>
    <row r="48" spans="1:7" ht="19.5" customHeight="1">
      <c r="A48" s="3479"/>
      <c r="B48" s="3472"/>
      <c r="C48" s="2847" t="s">
        <v>2492</v>
      </c>
      <c r="D48" s="2848"/>
      <c r="E48" s="2849">
        <v>1</v>
      </c>
      <c r="F48" s="2846" t="s">
        <v>2493</v>
      </c>
      <c r="G48" s="2846"/>
    </row>
    <row r="49" spans="1:7" ht="19.5" customHeight="1">
      <c r="A49" s="3479"/>
      <c r="B49" s="3472"/>
      <c r="C49" s="2847" t="s">
        <v>2494</v>
      </c>
      <c r="D49" s="2848"/>
      <c r="E49" s="2849">
        <v>1</v>
      </c>
      <c r="F49" s="2846" t="s">
        <v>2495</v>
      </c>
      <c r="G49" s="2846"/>
    </row>
    <row r="50" spans="1:7" ht="19.5" customHeight="1">
      <c r="A50" s="3479"/>
      <c r="B50" s="3472"/>
      <c r="C50" s="2847" t="s">
        <v>2496</v>
      </c>
      <c r="D50" s="2848"/>
      <c r="E50" s="2849">
        <v>1</v>
      </c>
      <c r="F50" s="2846" t="s">
        <v>2497</v>
      </c>
      <c r="G50" s="2846"/>
    </row>
    <row r="51" spans="1:7" ht="19.5" customHeight="1" thickBot="1">
      <c r="A51" s="3480"/>
      <c r="B51" s="347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4.4">
      <c r="A72" s="2858"/>
      <c r="B72" s="2858"/>
      <c r="C72" s="2858" t="s">
        <v>2650</v>
      </c>
      <c r="D72" s="2858"/>
      <c r="E72" s="2858" t="s">
        <v>2621</v>
      </c>
      <c r="F72" s="2858" t="s">
        <v>2621</v>
      </c>
    </row>
    <row r="73" spans="1:7" ht="14.4">
      <c r="A73" s="2858">
        <v>1</v>
      </c>
      <c r="B73" s="3470" t="s">
        <v>2651</v>
      </c>
      <c r="C73" s="2832" t="s">
        <v>2652</v>
      </c>
      <c r="D73" s="2832" t="s">
        <v>2653</v>
      </c>
      <c r="E73" s="2858">
        <v>0.2</v>
      </c>
      <c r="F73" s="2858">
        <v>25</v>
      </c>
    </row>
    <row r="74" spans="1:7" ht="24">
      <c r="A74" s="2858">
        <v>2</v>
      </c>
      <c r="B74" s="3472"/>
      <c r="C74" s="2832" t="s">
        <v>2654</v>
      </c>
      <c r="D74" s="2832" t="s">
        <v>2655</v>
      </c>
      <c r="E74" s="2858">
        <v>0.2</v>
      </c>
      <c r="F74" s="2858">
        <v>25</v>
      </c>
    </row>
    <row r="75" spans="1:7" ht="24">
      <c r="A75" s="2858">
        <v>3</v>
      </c>
      <c r="B75" s="3472"/>
      <c r="C75" s="2832" t="s">
        <v>2656</v>
      </c>
      <c r="D75" s="2832" t="s">
        <v>2657</v>
      </c>
      <c r="E75" s="2858">
        <v>0.2</v>
      </c>
      <c r="F75" s="2858">
        <v>25</v>
      </c>
    </row>
    <row r="76" spans="1:7" ht="14.4">
      <c r="A76" s="2858">
        <v>4</v>
      </c>
      <c r="B76" s="3472"/>
      <c r="C76" s="2832" t="s">
        <v>2658</v>
      </c>
      <c r="D76" s="2832" t="s">
        <v>2659</v>
      </c>
      <c r="E76" s="2858">
        <v>0.15</v>
      </c>
      <c r="F76" s="2858">
        <v>20</v>
      </c>
    </row>
    <row r="77" spans="1:7" ht="24">
      <c r="A77" s="2858">
        <v>5</v>
      </c>
      <c r="B77" s="3472"/>
      <c r="C77" s="2832" t="s">
        <v>2660</v>
      </c>
      <c r="D77" s="2832" t="s">
        <v>2661</v>
      </c>
      <c r="E77" s="2858">
        <v>0.15</v>
      </c>
      <c r="F77" s="2858">
        <v>20</v>
      </c>
    </row>
    <row r="78" spans="1:7" ht="24">
      <c r="A78" s="2858">
        <v>6</v>
      </c>
      <c r="B78" s="3472"/>
      <c r="C78" s="2832" t="s">
        <v>2662</v>
      </c>
      <c r="D78" s="2832" t="s">
        <v>2663</v>
      </c>
      <c r="E78" s="2858">
        <v>0.15</v>
      </c>
      <c r="F78" s="2858">
        <v>20</v>
      </c>
    </row>
    <row r="79" spans="1:7" ht="24">
      <c r="A79" s="2858">
        <v>7</v>
      </c>
      <c r="B79" s="3472"/>
      <c r="C79" s="2832" t="s">
        <v>2664</v>
      </c>
      <c r="D79" s="2832" t="s">
        <v>2665</v>
      </c>
      <c r="E79" s="2858">
        <v>0.15</v>
      </c>
      <c r="F79" s="2858">
        <v>20</v>
      </c>
    </row>
    <row r="80" spans="1:7" ht="24">
      <c r="A80" s="2858">
        <v>8</v>
      </c>
      <c r="B80" s="3472"/>
      <c r="C80" s="2832" t="s">
        <v>2666</v>
      </c>
      <c r="D80" s="2832" t="s">
        <v>2667</v>
      </c>
      <c r="E80" s="2858">
        <v>0.1</v>
      </c>
      <c r="F80" s="2858">
        <v>15</v>
      </c>
    </row>
    <row r="81" spans="1:6" ht="24">
      <c r="A81" s="2858">
        <v>9</v>
      </c>
      <c r="B81" s="3472"/>
      <c r="C81" s="2832" t="s">
        <v>2668</v>
      </c>
      <c r="D81" s="2832" t="s">
        <v>2669</v>
      </c>
      <c r="E81" s="2858">
        <v>0.1</v>
      </c>
      <c r="F81" s="2858">
        <v>15</v>
      </c>
    </row>
    <row r="82" spans="1:6" ht="24">
      <c r="A82" s="2858">
        <v>10</v>
      </c>
      <c r="B82" s="3472"/>
      <c r="C82" s="2832" t="s">
        <v>2670</v>
      </c>
      <c r="D82" s="2832" t="s">
        <v>2671</v>
      </c>
      <c r="E82" s="2858">
        <v>0.1</v>
      </c>
      <c r="F82" s="2858">
        <v>15</v>
      </c>
    </row>
    <row r="83" spans="1:6" ht="24">
      <c r="A83" s="2858">
        <v>11</v>
      </c>
      <c r="B83" s="3472"/>
      <c r="C83" s="2832" t="s">
        <v>2672</v>
      </c>
      <c r="D83" s="2832" t="s">
        <v>2673</v>
      </c>
      <c r="E83" s="2858">
        <v>0.1</v>
      </c>
      <c r="F83" s="2858">
        <v>15</v>
      </c>
    </row>
    <row r="84" spans="1:6" ht="24">
      <c r="A84" s="2858">
        <v>12</v>
      </c>
      <c r="B84" s="3472"/>
      <c r="C84" s="2832" t="s">
        <v>2674</v>
      </c>
      <c r="D84" s="2832" t="s">
        <v>2675</v>
      </c>
      <c r="E84" s="2858">
        <v>0.1</v>
      </c>
      <c r="F84" s="2858">
        <v>15</v>
      </c>
    </row>
    <row r="85" spans="1:6" ht="24">
      <c r="A85" s="2858">
        <v>13</v>
      </c>
      <c r="B85" s="3472"/>
      <c r="C85" s="2832" t="s">
        <v>2676</v>
      </c>
      <c r="D85" s="2832" t="s">
        <v>2677</v>
      </c>
      <c r="E85" s="2858">
        <v>0.1</v>
      </c>
      <c r="F85" s="2858">
        <v>15</v>
      </c>
    </row>
    <row r="86" spans="1:6" ht="24">
      <c r="A86" s="2858">
        <v>14</v>
      </c>
      <c r="B86" s="3472"/>
      <c r="C86" s="2832" t="s">
        <v>2678</v>
      </c>
      <c r="D86" s="2832" t="s">
        <v>2679</v>
      </c>
      <c r="E86" s="2858">
        <v>0.1</v>
      </c>
      <c r="F86" s="2858">
        <v>15</v>
      </c>
    </row>
    <row r="87" spans="1:6" ht="24">
      <c r="A87" s="2858">
        <v>15</v>
      </c>
      <c r="B87" s="3472"/>
      <c r="C87" s="2832" t="s">
        <v>2680</v>
      </c>
      <c r="D87" s="2832" t="s">
        <v>2681</v>
      </c>
      <c r="E87" s="2858">
        <v>0.1</v>
      </c>
      <c r="F87" s="2858">
        <v>15</v>
      </c>
    </row>
    <row r="88" spans="1:6" ht="24">
      <c r="A88" s="2858">
        <v>16</v>
      </c>
      <c r="B88" s="3472"/>
      <c r="C88" s="2832" t="s">
        <v>2682</v>
      </c>
      <c r="D88" s="2832" t="s">
        <v>2683</v>
      </c>
      <c r="E88" s="2858">
        <v>0.1</v>
      </c>
      <c r="F88" s="2858">
        <v>15</v>
      </c>
    </row>
    <row r="89" spans="1:6" ht="24">
      <c r="A89" s="2858">
        <v>17</v>
      </c>
      <c r="B89" s="3471"/>
      <c r="C89" s="2832" t="s">
        <v>2684</v>
      </c>
      <c r="D89" s="2832" t="s">
        <v>2685</v>
      </c>
      <c r="E89" s="2858">
        <v>0.1</v>
      </c>
      <c r="F89" s="2858">
        <v>15</v>
      </c>
    </row>
    <row r="90" spans="1:6" ht="14.4">
      <c r="A90" s="2858">
        <v>18</v>
      </c>
      <c r="B90" s="3470" t="s">
        <v>2686</v>
      </c>
      <c r="C90" s="2832" t="s">
        <v>2687</v>
      </c>
      <c r="D90" s="2832" t="s">
        <v>2688</v>
      </c>
      <c r="E90" s="2858">
        <v>0.2</v>
      </c>
      <c r="F90" s="2858">
        <v>25</v>
      </c>
    </row>
    <row r="91" spans="1:6" ht="24">
      <c r="A91" s="2858">
        <v>19</v>
      </c>
      <c r="B91" s="3472"/>
      <c r="C91" s="2832" t="s">
        <v>2689</v>
      </c>
      <c r="D91" s="2832" t="s">
        <v>2690</v>
      </c>
      <c r="E91" s="2858">
        <v>0.2</v>
      </c>
      <c r="F91" s="2858">
        <v>25</v>
      </c>
    </row>
    <row r="92" spans="1:6" ht="14.4">
      <c r="A92" s="2858">
        <v>20</v>
      </c>
      <c r="B92" s="3472"/>
      <c r="C92" s="2832" t="s">
        <v>2691</v>
      </c>
      <c r="D92" s="2832" t="s">
        <v>2692</v>
      </c>
      <c r="E92" s="2858">
        <v>0.15</v>
      </c>
      <c r="F92" s="2858">
        <v>20</v>
      </c>
    </row>
    <row r="93" spans="1:6" ht="24">
      <c r="A93" s="2858">
        <v>21</v>
      </c>
      <c r="B93" s="3472"/>
      <c r="C93" s="2832" t="s">
        <v>2693</v>
      </c>
      <c r="D93" s="2832" t="s">
        <v>2694</v>
      </c>
      <c r="E93" s="2858">
        <v>0.15</v>
      </c>
      <c r="F93" s="2858">
        <v>20</v>
      </c>
    </row>
    <row r="94" spans="1:6" ht="24">
      <c r="A94" s="2858">
        <v>22</v>
      </c>
      <c r="B94" s="3472"/>
      <c r="C94" s="2832" t="s">
        <v>2695</v>
      </c>
      <c r="D94" s="2832" t="s">
        <v>2696</v>
      </c>
      <c r="E94" s="2858">
        <v>0.15</v>
      </c>
      <c r="F94" s="2858">
        <v>20</v>
      </c>
    </row>
    <row r="95" spans="1:6" ht="36">
      <c r="A95" s="2858">
        <v>23</v>
      </c>
      <c r="B95" s="3472"/>
      <c r="C95" s="2832" t="s">
        <v>2697</v>
      </c>
      <c r="D95" s="2832" t="s">
        <v>2698</v>
      </c>
      <c r="E95" s="2858">
        <v>0.15</v>
      </c>
      <c r="F95" s="2858">
        <v>20</v>
      </c>
    </row>
    <row r="96" spans="1:6" ht="24">
      <c r="A96" s="2858">
        <v>24</v>
      </c>
      <c r="B96" s="3472"/>
      <c r="C96" s="2832" t="s">
        <v>2699</v>
      </c>
      <c r="D96" s="2832" t="s">
        <v>2700</v>
      </c>
      <c r="E96" s="2858">
        <v>0.1</v>
      </c>
      <c r="F96" s="2858">
        <v>15</v>
      </c>
    </row>
    <row r="97" spans="1:6" ht="24">
      <c r="A97" s="2858">
        <v>25</v>
      </c>
      <c r="B97" s="3472"/>
      <c r="C97" s="2832" t="s">
        <v>2701</v>
      </c>
      <c r="D97" s="2832" t="s">
        <v>2702</v>
      </c>
      <c r="E97" s="2858">
        <v>0.1</v>
      </c>
      <c r="F97" s="2858">
        <v>15</v>
      </c>
    </row>
    <row r="98" spans="1:6" ht="24">
      <c r="A98" s="2858">
        <v>26</v>
      </c>
      <c r="B98" s="3472"/>
      <c r="C98" s="2832" t="s">
        <v>2703</v>
      </c>
      <c r="D98" s="2832" t="s">
        <v>2704</v>
      </c>
      <c r="E98" s="2858">
        <v>0.1</v>
      </c>
      <c r="F98" s="2858">
        <v>15</v>
      </c>
    </row>
    <row r="99" spans="1:6" ht="24">
      <c r="A99" s="2858">
        <v>27</v>
      </c>
      <c r="B99" s="3472"/>
      <c r="C99" s="2832" t="s">
        <v>2705</v>
      </c>
      <c r="D99" s="2832" t="s">
        <v>2706</v>
      </c>
      <c r="E99" s="2858">
        <v>0.1</v>
      </c>
      <c r="F99" s="2858">
        <v>15</v>
      </c>
    </row>
    <row r="100" spans="1:6" ht="24">
      <c r="A100" s="2858">
        <v>28</v>
      </c>
      <c r="B100" s="3472"/>
      <c r="C100" s="2832" t="s">
        <v>2707</v>
      </c>
      <c r="D100" s="2832" t="s">
        <v>2708</v>
      </c>
      <c r="E100" s="2858">
        <v>0.1</v>
      </c>
      <c r="F100" s="2858">
        <v>15</v>
      </c>
    </row>
    <row r="101" spans="1:6" ht="24">
      <c r="A101" s="2858">
        <v>29</v>
      </c>
      <c r="B101" s="3472"/>
      <c r="C101" s="2832" t="s">
        <v>2709</v>
      </c>
      <c r="D101" s="2832" t="s">
        <v>2710</v>
      </c>
      <c r="E101" s="2858">
        <v>0.1</v>
      </c>
      <c r="F101" s="2858">
        <v>15</v>
      </c>
    </row>
    <row r="102" spans="1:6" ht="24">
      <c r="A102" s="2858">
        <v>30</v>
      </c>
      <c r="B102" s="3472"/>
      <c r="C102" s="2832" t="s">
        <v>2711</v>
      </c>
      <c r="D102" s="2832" t="s">
        <v>2712</v>
      </c>
      <c r="E102" s="2858">
        <v>0.1</v>
      </c>
      <c r="F102" s="2858">
        <v>15</v>
      </c>
    </row>
    <row r="103" spans="1:6" ht="24">
      <c r="A103" s="2858">
        <v>31</v>
      </c>
      <c r="B103" s="3472"/>
      <c r="C103" s="2832" t="s">
        <v>2713</v>
      </c>
      <c r="D103" s="2832" t="s">
        <v>2714</v>
      </c>
      <c r="E103" s="2858">
        <v>0.1</v>
      </c>
      <c r="F103" s="2858">
        <v>15</v>
      </c>
    </row>
    <row r="104" spans="1:6" ht="24">
      <c r="A104" s="2858">
        <v>32</v>
      </c>
      <c r="B104" s="3472"/>
      <c r="C104" s="2832" t="s">
        <v>2715</v>
      </c>
      <c r="D104" s="2832" t="s">
        <v>2716</v>
      </c>
      <c r="E104" s="2858">
        <v>0.1</v>
      </c>
      <c r="F104" s="2858">
        <v>15</v>
      </c>
    </row>
    <row r="105" spans="1:6" ht="24">
      <c r="A105" s="2858">
        <v>33</v>
      </c>
      <c r="B105" s="3472"/>
      <c r="C105" s="2832" t="s">
        <v>2717</v>
      </c>
      <c r="D105" s="2832" t="s">
        <v>2718</v>
      </c>
      <c r="E105" s="2858">
        <v>0.1</v>
      </c>
      <c r="F105" s="2858">
        <v>15</v>
      </c>
    </row>
    <row r="106" spans="1:6" ht="24">
      <c r="A106" s="2858">
        <v>34</v>
      </c>
      <c r="B106" s="3471"/>
      <c r="C106" s="2832" t="s">
        <v>2719</v>
      </c>
      <c r="D106" s="2832" t="s">
        <v>2720</v>
      </c>
      <c r="E106" s="2858">
        <v>0.1</v>
      </c>
      <c r="F106" s="2858">
        <v>15</v>
      </c>
    </row>
    <row r="107" spans="1:6" ht="36">
      <c r="A107" s="2858">
        <v>35</v>
      </c>
      <c r="B107" s="3470" t="s">
        <v>2721</v>
      </c>
      <c r="C107" s="2858" t="s">
        <v>2722</v>
      </c>
      <c r="D107" s="2832" t="s">
        <v>2723</v>
      </c>
      <c r="E107" s="2858">
        <v>0.15</v>
      </c>
      <c r="F107" s="2858">
        <v>20</v>
      </c>
    </row>
    <row r="108" spans="1:6" ht="24">
      <c r="A108" s="2858">
        <v>36</v>
      </c>
      <c r="B108" s="3472"/>
      <c r="C108" s="2858" t="s">
        <v>2724</v>
      </c>
      <c r="D108" s="2832" t="s">
        <v>2725</v>
      </c>
      <c r="E108" s="2858">
        <v>0.15</v>
      </c>
      <c r="F108" s="2858">
        <v>20</v>
      </c>
    </row>
    <row r="109" spans="1:6" ht="24">
      <c r="A109" s="2858">
        <v>37</v>
      </c>
      <c r="B109" s="3472"/>
      <c r="C109" s="2858" t="s">
        <v>2726</v>
      </c>
      <c r="D109" s="2832" t="s">
        <v>2727</v>
      </c>
      <c r="E109" s="2858">
        <v>0.15</v>
      </c>
      <c r="F109" s="2858">
        <v>20</v>
      </c>
    </row>
    <row r="110" spans="1:6" ht="24">
      <c r="A110" s="2858">
        <v>38</v>
      </c>
      <c r="B110" s="3472"/>
      <c r="C110" s="2858" t="s">
        <v>2728</v>
      </c>
      <c r="D110" s="2832" t="s">
        <v>2729</v>
      </c>
      <c r="E110" s="2858">
        <v>0.1</v>
      </c>
      <c r="F110" s="2858">
        <v>15</v>
      </c>
    </row>
    <row r="111" spans="1:6" ht="24">
      <c r="A111" s="2858">
        <v>39</v>
      </c>
      <c r="B111" s="3472"/>
      <c r="C111" s="2858" t="s">
        <v>2730</v>
      </c>
      <c r="D111" s="2832" t="s">
        <v>2731</v>
      </c>
      <c r="E111" s="2858">
        <v>0.1</v>
      </c>
      <c r="F111" s="2858">
        <v>15</v>
      </c>
    </row>
    <row r="112" spans="1:6" ht="24">
      <c r="A112" s="2858">
        <v>40</v>
      </c>
      <c r="B112" s="3471"/>
      <c r="C112" s="2858" t="s">
        <v>2732</v>
      </c>
      <c r="D112" s="2832" t="s">
        <v>2733</v>
      </c>
      <c r="E112" s="2858">
        <v>0.1</v>
      </c>
      <c r="F112" s="2858">
        <v>15</v>
      </c>
    </row>
    <row r="113" spans="1:6" ht="24">
      <c r="A113" s="2858">
        <v>41</v>
      </c>
      <c r="B113" s="3469" t="s">
        <v>2734</v>
      </c>
      <c r="C113" s="2858" t="s">
        <v>2735</v>
      </c>
      <c r="D113" s="2832" t="s">
        <v>2736</v>
      </c>
      <c r="E113" s="2858">
        <v>0.1</v>
      </c>
      <c r="F113" s="2858">
        <v>15</v>
      </c>
    </row>
    <row r="114" spans="1:6" ht="24">
      <c r="A114" s="2858">
        <v>42</v>
      </c>
      <c r="B114" s="3469"/>
      <c r="C114" s="2858" t="s">
        <v>2737</v>
      </c>
      <c r="D114" s="2832" t="s">
        <v>2738</v>
      </c>
      <c r="E114" s="2858">
        <v>0.1</v>
      </c>
      <c r="F114" s="2858">
        <v>15</v>
      </c>
    </row>
    <row r="115" spans="1:6" ht="24">
      <c r="A115" s="2858">
        <v>43</v>
      </c>
      <c r="B115" s="3469"/>
      <c r="C115" s="2858" t="s">
        <v>2739</v>
      </c>
      <c r="D115" s="2832" t="s">
        <v>2740</v>
      </c>
      <c r="E115" s="2858">
        <v>0.1</v>
      </c>
      <c r="F115" s="2858">
        <v>15</v>
      </c>
    </row>
    <row r="116" spans="1:6" ht="24">
      <c r="A116" s="2858">
        <v>44</v>
      </c>
      <c r="B116" s="3470" t="s">
        <v>2741</v>
      </c>
      <c r="C116" s="2858" t="s">
        <v>2742</v>
      </c>
      <c r="D116" s="2832" t="s">
        <v>2743</v>
      </c>
      <c r="E116" s="2858">
        <v>0.1</v>
      </c>
      <c r="F116" s="2858">
        <v>15</v>
      </c>
    </row>
    <row r="117" spans="1:6" ht="24">
      <c r="A117" s="2858">
        <v>45</v>
      </c>
      <c r="B117" s="3471"/>
      <c r="C117" s="2832" t="s">
        <v>2744</v>
      </c>
      <c r="D117" s="2832" t="s">
        <v>2745</v>
      </c>
      <c r="E117" s="2858">
        <v>0.1</v>
      </c>
      <c r="F117" s="2858">
        <v>15</v>
      </c>
    </row>
    <row r="118" spans="1:6" ht="24">
      <c r="A118" s="2858">
        <v>46</v>
      </c>
      <c r="B118" s="3470" t="s">
        <v>2746</v>
      </c>
      <c r="C118" s="2858" t="s">
        <v>2747</v>
      </c>
      <c r="D118" s="2832" t="s">
        <v>2748</v>
      </c>
      <c r="E118" s="2858">
        <v>0.1</v>
      </c>
      <c r="F118" s="2858">
        <v>15</v>
      </c>
    </row>
    <row r="119" spans="1:6" ht="24">
      <c r="A119" s="2858">
        <v>47</v>
      </c>
      <c r="B119" s="3471"/>
      <c r="C119" s="2858" t="s">
        <v>2749</v>
      </c>
      <c r="D119" s="2832" t="s">
        <v>2750</v>
      </c>
      <c r="E119" s="2858">
        <v>0.1</v>
      </c>
      <c r="F119" s="2858">
        <v>15</v>
      </c>
    </row>
    <row r="120" spans="1:6" ht="24">
      <c r="A120" s="2858">
        <v>48</v>
      </c>
      <c r="B120" s="3470" t="s">
        <v>2751</v>
      </c>
      <c r="C120" s="2858" t="s">
        <v>2752</v>
      </c>
      <c r="D120" s="2832" t="s">
        <v>2753</v>
      </c>
      <c r="E120" s="2858">
        <v>0.1</v>
      </c>
      <c r="F120" s="2858">
        <v>15</v>
      </c>
    </row>
    <row r="121" spans="1:6" ht="24">
      <c r="A121" s="2858">
        <v>49</v>
      </c>
      <c r="B121" s="3471"/>
      <c r="C121" s="2858" t="s">
        <v>2754</v>
      </c>
      <c r="D121" s="2832" t="s">
        <v>2755</v>
      </c>
      <c r="E121" s="2858">
        <v>0.1</v>
      </c>
      <c r="F121" s="2858">
        <v>15</v>
      </c>
    </row>
    <row r="122" spans="1:6" ht="24">
      <c r="A122" s="2858">
        <v>50</v>
      </c>
      <c r="B122" s="3469" t="s">
        <v>2756</v>
      </c>
      <c r="C122" s="2858" t="s">
        <v>2757</v>
      </c>
      <c r="D122" s="2832" t="s">
        <v>2758</v>
      </c>
      <c r="E122" s="2858">
        <v>0.1</v>
      </c>
      <c r="F122" s="2858">
        <v>15</v>
      </c>
    </row>
    <row r="123" spans="1:6" ht="24">
      <c r="A123" s="2858">
        <v>51</v>
      </c>
      <c r="B123" s="3469"/>
      <c r="C123" s="2858" t="s">
        <v>2759</v>
      </c>
      <c r="D123" s="2832" t="s">
        <v>2760</v>
      </c>
      <c r="E123" s="2858">
        <v>0.1</v>
      </c>
      <c r="F123" s="2858">
        <v>15</v>
      </c>
    </row>
    <row r="124" spans="1:6" ht="24">
      <c r="A124" s="2858">
        <v>52</v>
      </c>
      <c r="B124" s="3469" t="s">
        <v>2761</v>
      </c>
      <c r="C124" s="2858" t="s">
        <v>2762</v>
      </c>
      <c r="D124" s="2832" t="s">
        <v>2763</v>
      </c>
      <c r="E124" s="2858">
        <v>0.1</v>
      </c>
      <c r="F124" s="2858">
        <v>15</v>
      </c>
    </row>
    <row r="125" spans="1:6" ht="24">
      <c r="A125" s="2858">
        <v>53</v>
      </c>
      <c r="B125" s="3469"/>
      <c r="C125" s="2858" t="s">
        <v>2764</v>
      </c>
      <c r="D125" s="2832" t="s">
        <v>2765</v>
      </c>
      <c r="E125" s="2858">
        <v>0.1</v>
      </c>
      <c r="F125" s="2858">
        <v>15</v>
      </c>
    </row>
    <row r="126" spans="1:6" ht="24">
      <c r="A126" s="2858">
        <v>54</v>
      </c>
      <c r="B126" s="2858" t="s">
        <v>2766</v>
      </c>
      <c r="C126" s="2858" t="s">
        <v>2767</v>
      </c>
      <c r="D126" s="2832" t="s">
        <v>2768</v>
      </c>
      <c r="E126" s="2858">
        <v>0.1</v>
      </c>
      <c r="F126" s="2858">
        <v>15</v>
      </c>
    </row>
    <row r="127" spans="1:6" ht="24">
      <c r="A127" s="2858">
        <v>55</v>
      </c>
      <c r="B127" s="3469" t="s">
        <v>2769</v>
      </c>
      <c r="C127" s="2858" t="s">
        <v>2770</v>
      </c>
      <c r="D127" s="2832" t="s">
        <v>2771</v>
      </c>
      <c r="E127" s="2858">
        <v>0.1</v>
      </c>
      <c r="F127" s="2858">
        <v>15</v>
      </c>
    </row>
    <row r="128" spans="1:6" ht="24">
      <c r="A128" s="2858">
        <v>56</v>
      </c>
      <c r="B128" s="3469"/>
      <c r="C128" s="2858" t="s">
        <v>2772</v>
      </c>
      <c r="D128" s="2832" t="s">
        <v>2773</v>
      </c>
      <c r="E128" s="2858">
        <v>0.1</v>
      </c>
      <c r="F128" s="2858">
        <v>15</v>
      </c>
    </row>
    <row r="129" spans="1:6" ht="24">
      <c r="A129" s="2858">
        <v>57</v>
      </c>
      <c r="B129" s="3469"/>
      <c r="C129" s="2858" t="s">
        <v>2774</v>
      </c>
      <c r="D129" s="2832" t="s">
        <v>2775</v>
      </c>
      <c r="E129" s="2858">
        <v>0.1</v>
      </c>
      <c r="F129" s="2858">
        <v>15</v>
      </c>
    </row>
    <row r="130" spans="1:6" ht="24">
      <c r="A130" s="2858">
        <v>58</v>
      </c>
      <c r="B130" s="3469" t="s">
        <v>2776</v>
      </c>
      <c r="C130" s="2858" t="s">
        <v>2777</v>
      </c>
      <c r="D130" s="2832" t="s">
        <v>2778</v>
      </c>
      <c r="E130" s="2858">
        <v>0.1</v>
      </c>
      <c r="F130" s="2858">
        <v>15</v>
      </c>
    </row>
    <row r="131" spans="1:6" ht="24">
      <c r="A131" s="2858">
        <v>59</v>
      </c>
      <c r="B131" s="3469"/>
      <c r="C131" s="2858" t="s">
        <v>2779</v>
      </c>
      <c r="D131" s="2832" t="s">
        <v>2780</v>
      </c>
      <c r="E131" s="2858">
        <v>0.1</v>
      </c>
      <c r="F131" s="2858">
        <v>15</v>
      </c>
    </row>
    <row r="132" spans="1:6" ht="24">
      <c r="A132" s="2858">
        <v>60</v>
      </c>
      <c r="B132" s="3470" t="s">
        <v>2781</v>
      </c>
      <c r="C132" s="2858" t="s">
        <v>2782</v>
      </c>
      <c r="D132" s="2832" t="s">
        <v>2783</v>
      </c>
      <c r="E132" s="2858">
        <v>0.1</v>
      </c>
      <c r="F132" s="2858">
        <v>15</v>
      </c>
    </row>
    <row r="133" spans="1:6" ht="24">
      <c r="A133" s="2858">
        <v>61</v>
      </c>
      <c r="B133" s="347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24">
      <c r="A135" s="2858">
        <v>63</v>
      </c>
      <c r="B135" s="3469" t="s">
        <v>2789</v>
      </c>
      <c r="C135" s="2858" t="s">
        <v>2790</v>
      </c>
      <c r="D135" s="2832" t="s">
        <v>2791</v>
      </c>
      <c r="E135" s="2858">
        <v>0.1</v>
      </c>
      <c r="F135" s="2858">
        <v>15</v>
      </c>
    </row>
    <row r="136" spans="1:6" ht="24">
      <c r="A136" s="2858">
        <v>64</v>
      </c>
      <c r="B136" s="3469"/>
      <c r="C136" s="2858" t="s">
        <v>2792</v>
      </c>
      <c r="D136" s="2832" t="s">
        <v>2793</v>
      </c>
      <c r="E136" s="2858">
        <v>0.1</v>
      </c>
      <c r="F136" s="2858">
        <v>15</v>
      </c>
    </row>
    <row r="137" spans="1:6" ht="24">
      <c r="A137" s="2858">
        <v>65</v>
      </c>
      <c r="B137" s="2858" t="s">
        <v>2794</v>
      </c>
      <c r="C137" s="2858" t="s">
        <v>2795</v>
      </c>
      <c r="D137" s="2832" t="s">
        <v>2796</v>
      </c>
      <c r="E137" s="2858">
        <v>0.1</v>
      </c>
      <c r="F137" s="2858">
        <v>15</v>
      </c>
    </row>
    <row r="138" spans="1:6" ht="14.4">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522.67000000000007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522.67000000000007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522.67000000000007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6" t="s">
        <v>94</v>
      </c>
    </row>
    <row r="43" spans="1:7" ht="13.5" customHeight="1">
      <c r="A43" s="734" t="s">
        <v>347</v>
      </c>
      <c r="B43" s="207" t="s">
        <v>426</v>
      </c>
      <c r="C43" s="230" t="e">
        <f ca="1">ROUND(IF('数据-取费表'!B22&lt;=1,C39*F22*'数据-取费表'!B21/2,C39*(POWER((1+F22),'数据-取费表'!B21/2)-1)),0)</f>
        <v>#VALUE!</v>
      </c>
      <c r="D43" s="230"/>
      <c r="E43" s="230"/>
      <c r="F43" s="231"/>
      <c r="G43" s="3347"/>
    </row>
    <row r="44" spans="1:7" ht="13.5" customHeight="1">
      <c r="A44" s="734" t="s">
        <v>348</v>
      </c>
      <c r="B44" s="207" t="s">
        <v>428</v>
      </c>
      <c r="C44" s="230" t="e">
        <f ca="1">ROUND(IF('数据-取费表'!B22&lt;=1,C40*F22*'数据-取费表'!B21/2,C40*(POWER((1+F22),'数据-取费表'!B21/2)-1)),4)</f>
        <v>#VALUE!</v>
      </c>
      <c r="D44" s="230"/>
      <c r="E44" s="230"/>
      <c r="F44" s="231"/>
      <c r="G44" s="3348"/>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20"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t="e">
        <f ca="1">结果表!H101</f>
        <v>#REF!</v>
      </c>
    </row>
    <row r="6" spans="1:5" ht="15.6">
      <c r="B6" s="3166"/>
      <c r="C6" s="1392" t="s">
        <v>911</v>
      </c>
      <c r="D6" s="797" t="e">
        <f ca="1">NUMBERSTRING(INT(D5*10000),2)&amp;"元整"</f>
        <v>#REF!</v>
      </c>
    </row>
    <row r="7" spans="1:5" ht="15.6">
      <c r="B7" s="3171"/>
      <c r="C7" s="1393" t="s">
        <v>912</v>
      </c>
      <c r="D7" s="798" t="e">
        <f ca="1">结果表!H102</f>
        <v>#REF!</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t="e">
        <f ca="1">结果表!H107</f>
        <v>#REF!</v>
      </c>
    </row>
    <row r="14" spans="1:5" ht="15.6">
      <c r="B14" s="3166"/>
      <c r="C14" s="1392" t="s">
        <v>911</v>
      </c>
      <c r="D14" s="797" t="e">
        <f ca="1">NUMBERSTRING(INT(D13*10000),2)&amp;"元整"</f>
        <v>#REF!</v>
      </c>
    </row>
    <row r="15" spans="1:5" ht="15.6">
      <c r="B15" s="3171"/>
      <c r="C15" s="1393" t="s">
        <v>921</v>
      </c>
      <c r="D15" s="806" t="e">
        <f ca="1">结果表!H108</f>
        <v>#REF!</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v>
      </c>
      <c r="C19" s="1397" t="s">
        <v>910</v>
      </c>
      <c r="D19" s="798" t="str">
        <f>结果表!H111</f>
        <v>——</v>
      </c>
    </row>
    <row r="20" spans="1:5" ht="15.6">
      <c r="B20" s="3166"/>
      <c r="C20" s="1392" t="s">
        <v>923</v>
      </c>
      <c r="D20" s="797" t="e">
        <f>NUMBERSTRING(INT(D19*10000),2)&amp;"元整"</f>
        <v>#VALUE!</v>
      </c>
    </row>
    <row r="21" spans="1:5" ht="16.2" thickBot="1">
      <c r="B21" s="316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81" t="s">
        <v>3181</v>
      </c>
      <c r="B1" s="3481"/>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82" t="s">
        <v>3232</v>
      </c>
      <c r="B1" s="3482"/>
      <c r="C1" s="3482"/>
      <c r="D1" s="3482"/>
      <c r="E1" s="3482"/>
      <c r="F1" s="3483"/>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8">
        <f>基准地价修正!G23</f>
        <v>45828</v>
      </c>
      <c r="B1" s="2930" t="s">
        <v>3378</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84" t="s">
        <v>2827</v>
      </c>
      <c r="S29" s="3485"/>
      <c r="T29" s="3485"/>
      <c r="U29" s="3485"/>
      <c r="V29" s="3485"/>
      <c r="W29" s="3485"/>
      <c r="X29" s="2897"/>
      <c r="Y29" s="3484" t="s">
        <v>2828</v>
      </c>
      <c r="Z29" s="3485"/>
      <c r="AA29" s="3485"/>
      <c r="AB29" s="3485"/>
      <c r="AC29" s="3485"/>
      <c r="AD29" s="3485"/>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497" t="s">
        <v>2839</v>
      </c>
      <c r="B1" s="3497"/>
      <c r="C1" s="3497"/>
      <c r="D1" s="3497"/>
      <c r="E1" s="3497"/>
      <c r="F1" s="3497"/>
      <c r="G1" s="3498"/>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5"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496"/>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522.67000000000007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6">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6">
      <c r="A8" s="3177" t="str">
        <f>结果表!A122</f>
        <v>房地产抵押价值</v>
      </c>
      <c r="B8" s="3177"/>
      <c r="C8" s="3177"/>
      <c r="D8" s="3177" t="e">
        <f ca="1">结果表!D122</f>
        <v>#REF!</v>
      </c>
      <c r="E8" s="3177"/>
      <c r="F8" s="3177"/>
      <c r="G8" s="3177"/>
      <c r="H8" s="3177"/>
      <c r="I8" s="3177"/>
    </row>
    <row r="9" spans="1:9" ht="15">
      <c r="A9" s="3178" t="s">
        <v>927</v>
      </c>
      <c r="B9" s="3178"/>
      <c r="C9" s="3178"/>
      <c r="D9" s="3178" t="e">
        <f ca="1">结果表!D123</f>
        <v>#REF!</v>
      </c>
      <c r="E9" s="3178"/>
      <c r="F9" s="3178"/>
      <c r="G9" s="3178"/>
      <c r="H9" s="3178"/>
      <c r="I9" s="3178"/>
    </row>
    <row r="10" spans="1:9" ht="15.6">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6">
      <c r="A12" s="3177" t="str">
        <f>结果表!A126</f>
        <v/>
      </c>
      <c r="B12" s="3177"/>
      <c r="C12" s="3177"/>
      <c r="D12" s="3177" t="str">
        <f>结果表!D126</f>
        <v>——</v>
      </c>
      <c r="E12" s="3177"/>
      <c r="F12" s="3177"/>
      <c r="G12" s="3177"/>
      <c r="H12" s="3177"/>
      <c r="I12" s="3177"/>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45828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2025-06-20T01:58:54Z</dcterms:modified>
</cp:coreProperties>
</file>