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64" yWindow="108" windowWidth="11184" windowHeight="954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办公" sheetId="34"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N14" i="1"/>
  <c r="L14" i="1"/>
  <c r="AL16" i="3" l="1"/>
  <c r="N18" i="1" l="1"/>
  <c r="C37" i="34" l="1"/>
  <c r="D3" i="4"/>
  <c r="E7" i="1" l="1"/>
  <c r="E8" i="1"/>
  <c r="E9" i="1"/>
  <c r="E10" i="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B1" i="4"/>
  <c r="B50" i="43"/>
  <c r="B86" i="43"/>
  <c r="B85" i="43"/>
  <c r="B74" i="43"/>
  <c r="B63" i="43"/>
  <c r="B52" i="43"/>
  <c r="M90" i="43"/>
  <c r="N90" i="43" s="1"/>
  <c r="K90" i="43"/>
  <c r="D90" i="43" s="1"/>
  <c r="M89" i="43"/>
  <c r="N89" i="43" s="1"/>
  <c r="K89" i="43"/>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M22" i="15"/>
  <c r="F37" i="67"/>
  <c r="M28" i="67"/>
  <c r="C76" i="15"/>
  <c r="F36" i="15"/>
  <c r="M9" i="67"/>
  <c r="L47" i="15"/>
  <c r="M22" i="67"/>
  <c r="F37" i="15"/>
  <c r="F38" i="15"/>
  <c r="F6" i="73"/>
  <c r="E2" i="69"/>
  <c r="F9" i="15"/>
  <c r="F42" i="15"/>
  <c r="E9" i="76"/>
  <c r="F16" i="67"/>
  <c r="M28" i="15"/>
  <c r="F7" i="15"/>
  <c r="J15" i="67"/>
  <c r="F20" i="31"/>
  <c r="M23" i="15"/>
  <c r="F16" i="15"/>
  <c r="E13" i="76"/>
  <c r="D4" i="73"/>
  <c r="M8" i="67"/>
  <c r="F43" i="15"/>
  <c r="F26" i="67"/>
  <c r="F4" i="73"/>
  <c r="M24" i="15"/>
  <c r="M26" i="15"/>
  <c r="M29" i="15"/>
  <c r="F40" i="67"/>
  <c r="J15" i="15"/>
  <c r="F38" i="67"/>
  <c r="AO13" i="1"/>
  <c r="B9" i="76"/>
  <c r="D5" i="73"/>
  <c r="F3" i="73"/>
  <c r="M6" i="67"/>
  <c r="B7" i="76"/>
  <c r="B11" i="76"/>
  <c r="F7" i="73"/>
  <c r="D6" i="73"/>
  <c r="C76" i="67"/>
  <c r="F8" i="67"/>
  <c r="F9" i="67"/>
  <c r="M23" i="67"/>
  <c r="F13" i="67"/>
  <c r="B13" i="76"/>
  <c r="F8" i="15"/>
  <c r="M26" i="67"/>
  <c r="E2" i="68"/>
  <c r="M6" i="15"/>
  <c r="F36" i="67"/>
  <c r="M9" i="15"/>
  <c r="F42" i="67"/>
  <c r="F13" i="15"/>
  <c r="L47" i="67"/>
  <c r="E11" i="76"/>
  <c r="F5" i="73"/>
  <c r="E8" i="76"/>
  <c r="F6" i="67"/>
  <c r="F26" i="15"/>
  <c r="M8" i="15"/>
  <c r="M24" i="67"/>
  <c r="B12" i="76"/>
  <c r="E7" i="76"/>
  <c r="F6" i="15"/>
  <c r="F40" i="15"/>
  <c r="D7" i="73"/>
  <c r="B10" i="76"/>
  <c r="E10" i="76"/>
  <c r="B8" i="76"/>
  <c r="E12" i="76"/>
  <c r="D22" i="15" l="1"/>
  <c r="D50" i="43"/>
  <c r="D52" i="43"/>
  <c r="D55" i="43"/>
  <c r="D58" i="43"/>
  <c r="D86" i="43"/>
  <c r="H50" i="43"/>
  <c r="F34" i="15"/>
  <c r="F62" i="15" s="1"/>
  <c r="M20" i="67"/>
  <c r="D68" i="9"/>
  <c r="M18" i="15"/>
  <c r="F30" i="69"/>
  <c r="F48" i="69" s="1"/>
  <c r="M18" i="67"/>
  <c r="F31" i="12"/>
  <c r="F30" i="11"/>
  <c r="C48" i="11" s="1"/>
  <c r="AZ14" i="3"/>
  <c r="BL15" i="3"/>
  <c r="AZ15" i="3" s="1"/>
  <c r="AZ18" i="3"/>
  <c r="AZ19" i="3"/>
  <c r="G21" i="3"/>
  <c r="AZ23" i="3"/>
  <c r="G5" i="3"/>
  <c r="B3" i="3" s="1"/>
  <c r="E539" i="3" s="1"/>
  <c r="AZ22" i="3"/>
  <c r="BL5" i="3"/>
  <c r="BA5" i="3"/>
  <c r="F6" i="1"/>
  <c r="A13" i="51"/>
  <c r="B11" i="72" s="1"/>
  <c r="K56" i="9"/>
  <c r="G23" i="43"/>
  <c r="C7" i="40"/>
  <c r="C63" i="40" s="1"/>
  <c r="C65" i="40" s="1"/>
  <c r="C7" i="33"/>
  <c r="C7" i="39"/>
  <c r="C67" i="39" s="1"/>
  <c r="C69" i="39" s="1"/>
  <c r="C42" i="1"/>
  <c r="C24" i="12" s="1"/>
  <c r="AC21" i="34"/>
  <c r="U21" i="34"/>
  <c r="C18" i="9"/>
  <c r="D18" i="9" s="1"/>
  <c r="I24" i="43"/>
  <c r="C34" i="34"/>
  <c r="K6" i="1"/>
  <c r="M6" i="1" s="1"/>
  <c r="O6" i="1" s="1"/>
  <c r="P6" i="1" s="1"/>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8" i="67"/>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4" i="3"/>
  <c r="E497" i="3"/>
  <c r="E360" i="3"/>
  <c r="E408" i="3"/>
  <c r="E469" i="3"/>
  <c r="E405" i="3"/>
  <c r="E534" i="3"/>
  <c r="E369" i="3"/>
  <c r="E197" i="3"/>
  <c r="E296" i="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D89" i="43" s="1"/>
  <c r="J90" i="43"/>
  <c r="D83" i="43"/>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N59" i="15"/>
  <c r="M59" i="15"/>
  <c r="L59" i="15" s="1"/>
  <c r="F66" i="15"/>
  <c r="Q71" i="67"/>
  <c r="F64" i="15"/>
  <c r="C27" i="67"/>
  <c r="C27" i="15"/>
  <c r="F65" i="15"/>
  <c r="N59" i="67"/>
  <c r="L59" i="67"/>
  <c r="M59" i="67"/>
  <c r="B13" i="70"/>
  <c r="F68" i="67"/>
  <c r="F64" i="67"/>
  <c r="F68" i="15"/>
  <c r="D9" i="69"/>
  <c r="D9" i="68"/>
  <c r="C13" i="12"/>
  <c r="D19" i="12"/>
  <c r="F7" i="67"/>
  <c r="L48" i="15"/>
  <c r="L48" i="67"/>
  <c r="M29" i="67"/>
  <c r="C16" i="15"/>
  <c r="G1" i="73"/>
  <c r="F43" i="67"/>
  <c r="E83" i="43" l="1"/>
  <c r="B81" i="43" s="1"/>
  <c r="C19" i="12"/>
  <c r="J57" i="15"/>
  <c r="J55" i="15" s="1"/>
  <c r="J58" i="15" s="1"/>
  <c r="Q50" i="15" s="1"/>
  <c r="J53" i="15"/>
  <c r="L56" i="15" s="1"/>
  <c r="I54" i="15"/>
  <c r="L58" i="15"/>
  <c r="Q60" i="15" s="1"/>
  <c r="G6" i="1"/>
  <c r="G16" i="1" s="1"/>
  <c r="K16" i="1"/>
  <c r="H16" i="1"/>
  <c r="Q16" i="1"/>
  <c r="F27" i="69" s="1"/>
  <c r="C47" i="69" s="1"/>
  <c r="D45" i="69" s="1"/>
  <c r="E205" i="3"/>
  <c r="E140" i="3"/>
  <c r="E173" i="3"/>
  <c r="E525" i="3"/>
  <c r="T6" i="3"/>
  <c r="E456" i="3"/>
  <c r="E512" i="3"/>
  <c r="E451" i="3"/>
  <c r="E556" i="3"/>
  <c r="E13" i="3"/>
  <c r="E452" i="3"/>
  <c r="E26" i="3"/>
  <c r="E198" i="3"/>
  <c r="E243" i="3"/>
  <c r="AL6" i="3"/>
  <c r="E428" i="3"/>
  <c r="E79" i="3"/>
  <c r="E100" i="3"/>
  <c r="E137" i="3"/>
  <c r="E234" i="3"/>
  <c r="E299" i="3"/>
  <c r="E325" i="3"/>
  <c r="AQ6" i="3"/>
  <c r="E36" i="3"/>
  <c r="E123" i="3"/>
  <c r="E289" i="3"/>
  <c r="E364" i="3"/>
  <c r="E20" i="3"/>
  <c r="E176" i="3"/>
  <c r="E265" i="3"/>
  <c r="E524" i="3"/>
  <c r="E467" i="3"/>
  <c r="E484" i="3"/>
  <c r="E59" i="3"/>
  <c r="E544" i="3"/>
  <c r="E349" i="3"/>
  <c r="E292" i="3"/>
  <c r="E258" i="3"/>
  <c r="E132" i="3"/>
  <c r="E95" i="3"/>
  <c r="E56" i="3"/>
  <c r="E417" i="3"/>
  <c r="E435" i="3"/>
  <c r="E554" i="3"/>
  <c r="I3" i="6"/>
  <c r="E449" i="3"/>
  <c r="E541" i="3"/>
  <c r="E442" i="3"/>
  <c r="R6" i="3"/>
  <c r="E575" i="3"/>
  <c r="E199" i="3"/>
  <c r="E14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84" i="3"/>
  <c r="E67" i="3"/>
  <c r="E33" i="3"/>
  <c r="E144" i="3"/>
  <c r="E184" i="3"/>
  <c r="E233" i="3"/>
  <c r="E355" i="3"/>
  <c r="E381" i="3"/>
  <c r="E68" i="3"/>
  <c r="E63" i="3"/>
  <c r="E81" i="3"/>
  <c r="E118" i="3"/>
  <c r="E264" i="3"/>
  <c r="E283" i="3"/>
  <c r="E309" i="3"/>
  <c r="E513" i="3"/>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63" i="3"/>
  <c r="E248" i="3"/>
  <c r="E209" i="3"/>
  <c r="E266" i="3"/>
  <c r="E307" i="3"/>
  <c r="E386" i="3"/>
  <c r="E354" i="3"/>
  <c r="E584" i="3"/>
  <c r="E66" i="3"/>
  <c r="E24" i="3"/>
  <c r="E48" i="3"/>
  <c r="E87" i="3"/>
  <c r="E127" i="3"/>
  <c r="E250" i="3"/>
  <c r="E284" i="3"/>
  <c r="E341" i="3"/>
  <c r="Y6" i="3"/>
  <c r="H6" i="3" s="1"/>
  <c r="E51" i="3"/>
  <c r="E154" i="3"/>
  <c r="E179" i="3"/>
  <c r="E222" i="3"/>
  <c r="E323" i="3"/>
  <c r="E373" i="3"/>
  <c r="E82" i="3"/>
  <c r="E23" i="3"/>
  <c r="E21" i="3"/>
  <c r="E19" i="3"/>
  <c r="J53" i="67"/>
  <c r="Q52" i="67" s="1"/>
  <c r="L56" i="67"/>
  <c r="L58" i="67"/>
  <c r="Q60" i="67" s="1"/>
  <c r="J57" i="67"/>
  <c r="J55" i="67" s="1"/>
  <c r="J58" i="67" s="1"/>
  <c r="Q50" i="67" s="1"/>
  <c r="I54" i="67"/>
  <c r="F7" i="36"/>
  <c r="J7" i="37"/>
  <c r="AC7" i="37" s="1"/>
  <c r="V42" i="37" s="1"/>
  <c r="I42" i="37" s="1"/>
  <c r="H7" i="36"/>
  <c r="C6" i="67"/>
  <c r="C32" i="67" s="1"/>
  <c r="M7" i="67"/>
  <c r="J6" i="67" s="1"/>
  <c r="J18" i="67" s="1"/>
  <c r="F31" i="67"/>
  <c r="F50" i="67"/>
  <c r="F59" i="67" s="1"/>
  <c r="F71" i="67"/>
  <c r="AP6" i="1"/>
  <c r="C36" i="69" s="1"/>
  <c r="C8" i="68"/>
  <c r="H34" i="34"/>
  <c r="J34" i="34"/>
  <c r="F34" i="34"/>
  <c r="W40" i="34"/>
  <c r="AC40" i="34"/>
  <c r="U40" i="34"/>
  <c r="AB40" i="34"/>
  <c r="AA37" i="34"/>
  <c r="S37" i="34"/>
  <c r="W27" i="34"/>
  <c r="AC27" i="34"/>
  <c r="AA27" i="34"/>
  <c r="S27" i="34"/>
  <c r="D18" i="53"/>
  <c r="B35" i="72" s="1"/>
  <c r="C7" i="74"/>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45" i="69"/>
  <c r="E60" i="40"/>
  <c r="E27" i="6"/>
  <c r="K26" i="6" s="1"/>
  <c r="M26" i="6" s="1"/>
  <c r="I26" i="6" s="1"/>
  <c r="S26" i="6" s="1"/>
  <c r="F31" i="6"/>
  <c r="E51" i="40"/>
  <c r="E16" i="6"/>
  <c r="AC6" i="3"/>
  <c r="E58" i="40"/>
  <c r="E62" i="39"/>
  <c r="E65" i="39" s="1"/>
  <c r="AY6" i="3"/>
  <c r="E3" i="6"/>
  <c r="M14" i="1"/>
  <c r="D5" i="43"/>
  <c r="D26" i="43"/>
  <c r="C25" i="43" s="1"/>
  <c r="C7" i="43"/>
  <c r="C5" i="43" s="1"/>
  <c r="D10" i="52"/>
  <c r="D125" i="9"/>
  <c r="D11" i="52" s="1"/>
  <c r="B7" i="74"/>
  <c r="F67" i="39"/>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61" i="67"/>
  <c r="Q74" i="67"/>
  <c r="Q74" i="15"/>
  <c r="Q61" i="15"/>
  <c r="AE11" i="1"/>
  <c r="AE9" i="1"/>
  <c r="F27" i="68"/>
  <c r="AE7" i="1"/>
  <c r="AE8" i="1"/>
  <c r="AE12" i="1"/>
  <c r="AE10" i="1"/>
  <c r="C16" i="67"/>
  <c r="F28" i="12" l="1"/>
  <c r="C29" i="12" s="1"/>
  <c r="D28" i="12" s="1"/>
  <c r="F27" i="11"/>
  <c r="C29" i="11" s="1"/>
  <c r="D27" i="11" s="1"/>
  <c r="Q73" i="15"/>
  <c r="F1" i="15"/>
  <c r="Q52" i="15"/>
  <c r="C29" i="69"/>
  <c r="D27" i="69" s="1"/>
  <c r="F10" i="39"/>
  <c r="F10" i="40"/>
  <c r="S10" i="40" s="1"/>
  <c r="J10" i="40"/>
  <c r="AC10" i="40" s="1"/>
  <c r="H10" i="40"/>
  <c r="AB10" i="40" s="1"/>
  <c r="J10" i="39"/>
  <c r="W10" i="39" s="1"/>
  <c r="H10" i="39"/>
  <c r="U10" i="39" s="1"/>
  <c r="F1" i="67"/>
  <c r="Q73" i="67"/>
  <c r="M17" i="67"/>
  <c r="J5" i="67"/>
  <c r="J24" i="67" s="1"/>
  <c r="C49" i="67"/>
  <c r="AA34" i="34"/>
  <c r="S34" i="34"/>
  <c r="AB34" i="34"/>
  <c r="T49" i="34" s="1"/>
  <c r="G49" i="34" s="1"/>
  <c r="G53" i="34" s="1"/>
  <c r="H53" i="34" s="1"/>
  <c r="U34" i="34"/>
  <c r="AC34" i="34"/>
  <c r="W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D14" i="12"/>
  <c r="M27" i="67"/>
  <c r="M27" i="15"/>
  <c r="AE6" i="1"/>
  <c r="F41" i="15" s="1"/>
  <c r="F41" i="67"/>
  <c r="C47" i="11" l="1"/>
  <c r="D45" i="11" s="1"/>
  <c r="S10" i="39"/>
  <c r="AA10" i="39"/>
  <c r="D116" i="43"/>
  <c r="V5" i="43"/>
  <c r="C6" i="69"/>
  <c r="C7" i="69" s="1"/>
  <c r="C48" i="67"/>
  <c r="C60" i="67" s="1"/>
  <c r="B14" i="74"/>
  <c r="B1" i="74" s="1"/>
  <c r="F69" i="67"/>
  <c r="R50" i="34"/>
  <c r="C49" i="34" s="1"/>
  <c r="G54" i="34"/>
  <c r="H54" i="34" s="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D10" i="69"/>
  <c r="C34" i="69"/>
  <c r="D10" i="68"/>
  <c r="C11" i="12"/>
  <c r="D20" i="12"/>
  <c r="C14" i="67"/>
  <c r="C17" i="15"/>
  <c r="C17" i="67"/>
  <c r="C7" i="68" l="1"/>
  <c r="C5" i="68" s="1"/>
  <c r="C23" i="68" s="1"/>
  <c r="C20" i="12"/>
  <c r="C18" i="12" s="1"/>
  <c r="C66" i="67"/>
  <c r="C25" i="1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14" i="12"/>
  <c r="C16" i="12" s="1"/>
  <c r="C21"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2" i="12" l="1"/>
  <c r="F7" i="2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D2" i="37"/>
  <c r="D2" i="36"/>
  <c r="L51" i="15"/>
  <c r="Q75" i="67" l="1"/>
  <c r="Q62" i="67"/>
  <c r="B3" i="67"/>
  <c r="L57" i="15"/>
  <c r="L60" i="15" s="1"/>
  <c r="Q57" i="15" s="1"/>
  <c r="Q67" i="15"/>
  <c r="B2" i="36"/>
  <c r="B3" i="36" s="1"/>
  <c r="B2" i="35"/>
  <c r="B3" i="35" s="1"/>
  <c r="M3" i="35"/>
  <c r="B2" i="37"/>
  <c r="B3" i="37" s="1"/>
  <c r="B2" i="34"/>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10" i="1"/>
  <c r="C19" i="9"/>
  <c r="AO8" i="1"/>
  <c r="AO12" i="1"/>
  <c r="AO9" i="1"/>
  <c r="AO6" i="1"/>
  <c r="AO11" i="1"/>
  <c r="AO7" i="1"/>
  <c r="C31" i="12" l="1"/>
  <c r="C23" i="12"/>
  <c r="C27" i="12" s="1"/>
  <c r="C102" i="9"/>
  <c r="C21" i="9"/>
  <c r="B3" i="34"/>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4" i="9"/>
  <c r="D35" i="9"/>
  <c r="C25" i="12" l="1"/>
  <c r="C30" i="12"/>
  <c r="C28" i="12" s="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19" i="9"/>
  <c r="D20" i="9"/>
  <c r="G19" i="9" l="1"/>
  <c r="G21" i="9" s="1"/>
  <c r="D22" i="9"/>
  <c r="D21" i="9"/>
  <c r="D102" i="9"/>
  <c r="G20"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F118" i="9" l="1"/>
  <c r="F119" i="9" s="1"/>
  <c r="F5" i="52" s="1"/>
  <c r="B53" i="72" s="1"/>
  <c r="G118" i="9" l="1"/>
  <c r="G4" i="52" s="1"/>
  <c r="B52" i="72" s="1"/>
  <c r="F4" i="52"/>
  <c r="B51" i="72" s="1"/>
  <c r="D118" i="9"/>
  <c r="D4" i="52" s="1"/>
  <c r="B47" i="72" s="1"/>
  <c r="H118" i="9"/>
  <c r="I118" i="9" s="1"/>
  <c r="C104" i="9" l="1"/>
  <c r="D14" i="74"/>
  <c r="B5" i="74" s="1"/>
  <c r="D5" i="74" s="1"/>
  <c r="H101" i="9"/>
  <c r="H107" i="9" s="1"/>
  <c r="G14" i="74" s="1"/>
  <c r="B6" i="74" s="1"/>
  <c r="D119" i="9"/>
  <c r="D5" i="52" s="1"/>
  <c r="B49" i="72" s="1"/>
  <c r="M48" i="9"/>
  <c r="E118" i="9"/>
  <c r="E4" i="52" s="1"/>
  <c r="B48" i="72" s="1"/>
  <c r="H102" i="9"/>
  <c r="D7" i="53" s="1"/>
  <c r="B21" i="72" s="1"/>
  <c r="C105" i="9"/>
  <c r="H119" i="9"/>
  <c r="H5" i="52" s="1"/>
  <c r="H4" i="52"/>
  <c r="I4" i="52"/>
  <c r="H108" i="9" l="1"/>
  <c r="D15" i="53" s="1"/>
  <c r="B31" i="72" s="1"/>
  <c r="D13" i="53"/>
  <c r="B30" i="72" s="1"/>
  <c r="M49" i="9"/>
  <c r="L65" i="9" s="1"/>
  <c r="M65" i="9" s="1"/>
  <c r="C5" i="74"/>
  <c r="D45" i="9"/>
  <c r="D55" i="9" s="1"/>
  <c r="M53" i="9" s="1"/>
  <c r="F14" i="74"/>
  <c r="D122" i="9"/>
  <c r="D123" i="9" s="1"/>
  <c r="D9" i="52" s="1"/>
  <c r="D5" i="53"/>
  <c r="E14" i="74"/>
  <c r="D14" i="53"/>
  <c r="B32" i="72" s="1"/>
  <c r="C6" i="74"/>
  <c r="D6" i="74"/>
  <c r="L64" i="9"/>
  <c r="M64" i="9" s="1"/>
  <c r="L63" i="9" l="1"/>
  <c r="M63" i="9" s="1"/>
  <c r="L66" i="9"/>
  <c r="M66" i="9" s="1"/>
  <c r="C78" i="9"/>
  <c r="C73" i="9" s="1"/>
  <c r="D8" i="52"/>
  <c r="C85" i="9"/>
  <c r="D52" i="9"/>
  <c r="C93" i="9"/>
  <c r="C86" i="9" s="1"/>
  <c r="L67" i="9"/>
  <c r="M67" i="9" s="1"/>
  <c r="L68" i="9"/>
  <c r="M68" i="9" s="1"/>
  <c r="D53" i="9"/>
  <c r="C64" i="9"/>
  <c r="C63" i="9" s="1"/>
  <c r="C67" i="9" s="1"/>
  <c r="D59" i="9" s="1"/>
  <c r="M55" i="9" s="1"/>
  <c r="C72" i="9"/>
  <c r="B20" i="72"/>
  <c r="D6" i="53"/>
  <c r="B22" i="72" s="1"/>
  <c r="C95" i="9" l="1"/>
  <c r="C96" i="9" s="1"/>
  <c r="E96" i="9" s="1"/>
  <c r="E97" i="9" s="1"/>
  <c r="C68" i="9"/>
  <c r="D54" i="9" s="1"/>
  <c r="C79" i="9"/>
  <c r="C80" i="9" s="1"/>
  <c r="E80" i="9" s="1"/>
  <c r="E81" i="9" s="1"/>
  <c r="M69" i="9"/>
  <c r="N69" i="9" s="1"/>
  <c r="C97" i="9"/>
  <c r="D58" i="9" s="1"/>
  <c r="D56" i="9" s="1"/>
  <c r="M54" i="9" s="1"/>
  <c r="N57" i="9" s="1"/>
  <c r="P57" i="9" s="1"/>
  <c r="N58"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<sst xmlns="http://schemas.openxmlformats.org/spreadsheetml/2006/main" count="7959" uniqueCount="3472">
  <si>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</si>
  <si>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</si>
  <si>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</si>
  <si>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</si>
  <si>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</si>
  <si>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</si>
  <si>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</si>
  <si>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</si>
  <si>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</si>
  <si>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</si>
  <si>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</si>
  <si>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</si>
  <si>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</si>
  <si>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</si>
  <si>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</si>
  <si>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</si>
  <si>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</si>
  <si>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</si>
  <si>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</si>
  <si>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</si>
  <si>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</si>
  <si>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</si>
  <si>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</si>
  <si>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</si>
  <si>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</si>
  <si>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</si>
  <si>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</si>
  <si>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</si>
  <si>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</si>
  <si>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</si>
  <si>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</si>
  <si>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</si>
  <si>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</si>
  <si>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</si>
  <si>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</si>
  <si>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</si>
  <si>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</si>
  <si>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</si>
  <si>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</si>
  <si>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</si>
  <si>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</si>
  <si>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</si>
  <si>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</si>
  <si>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</si>
  <si>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</si>
  <si>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</si>
  <si>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</si>
  <si>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</si>
  <si>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</si>
  <si>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</si>
  <si>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</si>
  <si>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</si>
  <si>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</si>
  <si>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</si>
  <si>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</si>
  <si>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</si>
  <si>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</si>
  <si>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</si>
  <si>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</si>
  <si>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</si>
  <si>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</si>
  <si>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</si>
  <si>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</si>
  <si>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</si>
  <si>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</si>
  <si>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</si>
  <si>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</si>
  <si>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</si>
  <si>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</si>
  <si>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</si>
  <si>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</si>
  <si>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</si>
  <si>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</si>
  <si>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</si>
  <si>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</si>
  <si>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</si>
  <si>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</si>
  <si>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</si>
  <si>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</si>
  <si>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</si>
  <si>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</si>
  <si>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</si>
  <si>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</si>
  <si>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</si>
  <si>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</si>
  <si>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</si>
  <si>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</si>
  <si>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</si>
  <si>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</si>
  <si>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</si>
  <si>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</si>
  <si>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</si>
  <si>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</si>
  <si>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</si>
  <si>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</si>
  <si>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</si>
  <si>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</si>
  <si>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</si>
  <si>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</si>
  <si>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</si>
  <si>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</si>
  <si>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</si>
  <si>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</si>
  <si>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</si>
  <si>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</si>
  <si>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</si>
  <si>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</si>
  <si>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</si>
  <si>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</si>
  <si>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</si>
  <si>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</si>
  <si>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</si>
  <si>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</si>
  <si>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</si>
  <si>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</si>
  <si>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</si>
  <si>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</si>
  <si>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</si>
  <si>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</si>
  <si>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</si>
  <si>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</si>
  <si>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</si>
  <si>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</si>
  <si>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</si>
  <si>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</si>
  <si>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</si>
  <si>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</si>
  <si>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</si>
  <si>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</si>
  <si>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</si>
  <si>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</si>
  <si>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</si>
  <si>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</si>
  <si>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</si>
  <si>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</si>
  <si>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</si>
  <si>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</si>
  <si>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</si>
  <si>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</si>
  <si>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</si>
  <si>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</si>
  <si>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</si>
  <si>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</si>
  <si>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</si>
  <si>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</si>
  <si>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</si>
  <si>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</si>
  <si>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</si>
  <si>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</si>
  <si>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</si>
  <si>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</si>
  <si>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</si>
  <si>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</si>
  <si>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</si>
  <si>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</si>
  <si>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</si>
  <si>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</si>
  <si>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</si>
  <si>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</si>
  <si>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</si>
  <si>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</si>
  <si>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</si>
  <si>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</si>
  <si>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</si>
  <si>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</si>
  <si>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</si>
  <si>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</si>
  <si>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</si>
  <si>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</si>
  <si>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</si>
  <si>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</si>
  <si>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</si>
  <si>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</si>
  <si>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</si>
  <si>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</si>
  <si>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</si>
  <si>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</si>
  <si>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</si>
  <si>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</si>
  <si>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</si>
  <si>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</si>
  <si>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</si>
  <si>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</si>
  <si>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</si>
  <si>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</si>
  <si>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</si>
  <si>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</si>
  <si>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</si>
  <si>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</si>
  <si>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</si>
  <si>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</si>
  <si>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</si>
  <si>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</si>
  <si>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</si>
  <si>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</si>
  <si>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</si>
  <si>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</si>
  <si>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</si>
  <si>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</si>
  <si>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</si>
  <si>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</si>
  <si>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</si>
  <si>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</si>
  <si>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</si>
  <si>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</si>
  <si>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</si>
  <si>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</si>
  <si>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</si>
  <si>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</si>
  <si>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</si>
  <si>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</si>
  <si>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</si>
  <si>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</si>
  <si>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</si>
  <si>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</si>
  <si>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</si>
  <si>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</si>
  <si>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</si>
  <si>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</si>
  <si>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</si>
  <si>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</si>
  <si>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</si>
  <si>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</si>
  <si>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</si>
  <si>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</si>
  <si>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</si>
  <si>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</si>
  <si>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</si>
  <si>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</si>
  <si>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</si>
  <si>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</si>
  <si>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</si>
  <si>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</si>
  <si>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</si>
  <si>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</si>
  <si>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</si>
  <si>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</si>
  <si>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</si>
  <si>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</si>
  <si>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</si>
  <si>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</si>
  <si>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</si>
  <si>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</si>
  <si>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</si>
  <si>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</si>
  <si>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</si>
  <si>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</si>
  <si>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</si>
  <si>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</si>
  <si>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</si>
  <si>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</si>
  <si>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</si>
  <si>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</si>
  <si>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</si>
  <si>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</si>
  <si>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</si>
  <si>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</si>
  <si>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</si>
  <si>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</si>
  <si>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</si>
  <si>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</si>
  <si>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</si>
  <si>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</si>
  <si>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</si>
  <si>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</si>
  <si>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</si>
  <si>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</si>
  <si>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</si>
  <si>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</si>
  <si>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</si>
  <si>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</si>
  <si>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</si>
  <si>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</si>
  <si>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</si>
  <si>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</si>
  <si>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</si>
  <si>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</si>
  <si>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</si>
  <si>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</si>
  <si>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</si>
  <si>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</si>
  <si>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</si>
  <si>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</si>
  <si>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</si>
  <si>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</si>
  <si>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</si>
  <si>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</si>
  <si>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</si>
  <si>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</si>
  <si>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</si>
  <si>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</si>
  <si>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</si>
  <si>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</si>
  <si>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</si>
  <si>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</si>
  <si>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</si>
  <si>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</si>
  <si>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</si>
  <si>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</si>
  <si>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</si>
  <si>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</si>
  <si>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</si>
  <si>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</si>
  <si>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</si>
  <si>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</si>
  <si>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</si>
  <si>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</si>
  <si>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</si>
  <si>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</si>
  <si>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</si>
  <si>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</si>
  <si>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</si>
  <si>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</si>
  <si>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</si>
  <si>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</si>
  <si>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</si>
  <si>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</si>
  <si>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</si>
  <si>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</si>
  <si>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</si>
  <si>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</si>
  <si>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</si>
  <si>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</si>
  <si>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</si>
  <si>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</si>
  <si>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</si>
  <si>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</si>
  <si>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</si>
  <si>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</si>
  <si>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</si>
  <si>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</si>
  <si>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</si>
  <si>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</si>
  <si>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</si>
  <si>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</si>
  <si>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</si>
  <si>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</si>
  <si>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</si>
  <si>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</si>
  <si>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</si>
  <si>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</si>
  <si>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</si>
  <si>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</si>
  <si>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</si>
  <si>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</si>
  <si>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</si>
  <si>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</si>
  <si>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</si>
  <si>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</si>
  <si>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</si>
  <si>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</si>
  <si>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</si>
  <si>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</si>
  <si>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</si>
  <si>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</si>
  <si>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</si>
  <si>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</si>
  <si>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</si>
  <si>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</si>
  <si>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</si>
  <si>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</si>
  <si>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</si>
  <si>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</si>
  <si>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</si>
  <si>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</si>
  <si>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</si>
  <si>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</si>
  <si>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</si>
  <si>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</si>
  <si>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</si>
  <si>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</si>
  <si>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</si>
  <si>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</si>
  <si>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</si>
  <si>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</si>
  <si>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</si>
  <si>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</si>
  <si>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</si>
  <si>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</si>
  <si>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</si>
  <si>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</si>
  <si>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</si>
  <si>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</si>
  <si>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</si>
  <si>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</si>
  <si>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</si>
  <si>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</si>
  <si>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</si>
  <si>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</si>
  <si>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</si>
  <si>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</si>
  <si>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</si>
  <si>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</si>
  <si>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</si>
  <si>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</si>
  <si>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</si>
  <si>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</si>
  <si>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</si>
  <si>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</si>
  <si>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</si>
  <si>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</si>
  <si>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</si>
  <si>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</si>
  <si>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</si>
  <si>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</si>
  <si>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</si>
  <si>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</si>
  <si>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</si>
  <si>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</si>
  <si>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</si>
  <si>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</si>
  <si>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</si>
  <si>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</si>
  <si>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</si>
  <si>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</si>
  <si>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</si>
  <si>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</si>
  <si>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</si>
  <si>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</si>
  <si>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</si>
  <si>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</si>
  <si>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</si>
  <si>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</si>
  <si>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</si>
  <si>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</si>
  <si>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</si>
  <si>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</si>
  <si>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</si>
  <si>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</si>
  <si>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</si>
  <si>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</si>
  <si>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</si>
  <si>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</si>
  <si>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</si>
  <si>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</si>
  <si>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</si>
  <si>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</si>
  <si>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</si>
  <si>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</si>
  <si>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</si>
  <si>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</si>
  <si>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</si>
  <si>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</si>
  <si>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</si>
  <si>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</si>
  <si>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</si>
  <si>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</si>
  <si>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</si>
  <si>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</si>
  <si>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</si>
  <si>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</si>
  <si>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</si>
  <si>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</si>
  <si>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</si>
  <si>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</si>
  <si>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</si>
  <si>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</si>
  <si>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</si>
  <si>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</si>
  <si>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</si>
  <si>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</si>
  <si>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</si>
  <si>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</si>
  <si>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</si>
  <si>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</si>
  <si>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</si>
  <si>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</si>
  <si>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</si>
  <si>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</si>
  <si>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</si>
  <si>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</si>
  <si>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</si>
  <si>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</si>
  <si>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</si>
  <si>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</si>
  <si>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</si>
  <si>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</si>
  <si>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</si>
  <si>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</si>
  <si>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</si>
  <si>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</si>
  <si>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</si>
  <si>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</si>
  <si>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</si>
  <si>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</si>
  <si>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</si>
  <si>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</si>
  <si>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</si>
  <si>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</si>
  <si>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</si>
  <si>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</si>
  <si>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</si>
  <si>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</si>
  <si>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</si>
  <si>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</si>
  <si>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</si>
  <si>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</si>
  <si>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</si>
  <si>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</si>
  <si>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</si>
  <si>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</si>
  <si>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</si>
  <si>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</si>
  <si>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</si>
  <si>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</si>
  <si>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</si>
  <si>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</si>
  <si>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</si>
  <si>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</si>
  <si>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</si>
  <si>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</si>
  <si>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</si>
  <si>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</si>
  <si>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</si>
  <si>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</si>
  <si>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</si>
  <si>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</si>
  <si>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</si>
  <si>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</si>
  <si>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</si>
  <si>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</si>
  <si>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</si>
  <si>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</si>
  <si>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</si>
  <si>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</si>
  <si>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</si>
  <si>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</si>
  <si>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</si>
  <si>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</si>
  <si>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</si>
  <si>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</si>
  <si>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</si>
  <si>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</si>
  <si>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</si>
  <si>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</si>
  <si>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</si>
  <si>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</si>
  <si>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</si>
  <si>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</si>
  <si>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</si>
  <si>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</si>
  <si>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</si>
  <si>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</si>
  <si>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</si>
  <si>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</si>
  <si>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</si>
  <si>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</si>
  <si>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</si>
  <si>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</si>
  <si>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</si>
  <si>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</si>
  <si>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</si>
  <si>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</si>
  <si>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</si>
  <si>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</si>
  <si>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</si>
  <si>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</si>
  <si>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</si>
  <si>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</si>
  <si>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</si>
  <si>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</si>
  <si>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</si>
  <si>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</si>
  <si>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</si>
  <si>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</si>
  <si>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</si>
  <si>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</si>
  <si>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</si>
  <si>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</si>
  <si>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</si>
  <si>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</si>
  <si>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</si>
  <si>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</si>
  <si>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</si>
  <si>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</si>
  <si>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</si>
  <si>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</si>
  <si>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</si>
  <si>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</si>
  <si>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</si>
  <si>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</si>
  <si>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</si>
  <si>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</si>
  <si>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</si>
  <si>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</si>
  <si>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</si>
  <si>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</si>
  <si>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</si>
  <si>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</si>
  <si>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</si>
  <si>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</si>
  <si>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</si>
  <si>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</si>
  <si>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</si>
  <si>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</si>
  <si>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</si>
  <si>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</si>
  <si>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</si>
  <si>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</si>
  <si>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</si>
  <si>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</si>
  <si>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</si>
  <si>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</si>
  <si>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</si>
  <si>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</si>
  <si>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</si>
  <si>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</si>
  <si>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</si>
  <si>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</si>
  <si>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</si>
  <si>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</si>
  <si>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</si>
  <si>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</si>
  <si>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</si>
  <si>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</si>
  <si>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</si>
  <si>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</si>
  <si>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</si>
  <si>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</si>
  <si>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</si>
  <si>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</si>
  <si>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</si>
  <si>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</si>
  <si>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</si>
  <si>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</si>
  <si>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</si>
  <si>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</si>
  <si>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</si>
  <si>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</si>
  <si>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</si>
  <si>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</si>
  <si>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</si>
  <si>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</si>
  <si>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</si>
  <si>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</si>
  <si>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</si>
  <si>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</si>
  <si>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</si>
  <si>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</si>
  <si>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</si>
  <si>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</si>
  <si>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</si>
  <si>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</si>
  <si>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</si>
  <si>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</si>
  <si>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</si>
  <si>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</si>
  <si>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</si>
  <si>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</si>
  <si>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</si>
  <si>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</si>
  <si>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</si>
  <si>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</si>
  <si>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</si>
  <si>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</si>
  <si>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</si>
  <si>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</si>
  <si>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</si>
  <si>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</si>
  <si>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</si>
  <si>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</si>
  <si>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</si>
  <si>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</si>
  <si>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</si>
  <si>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</si>
  <si>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</si>
  <si>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</si>
  <si>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</si>
  <si>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</si>
  <si>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</si>
  <si>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</si>
  <si>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</si>
  <si>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</si>
  <si>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</si>
  <si>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</si>
  <si>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</si>
  <si>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</si>
  <si>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</si>
  <si>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</si>
  <si>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</si>
  <si>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</si>
  <si>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</si>
  <si>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</si>
  <si>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</si>
  <si>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</si>
  <si>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</si>
  <si>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</si>
  <si>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</si>
  <si>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</si>
  <si>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</si>
  <si>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</si>
  <si>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</si>
  <si>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</si>
  <si>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</si>
  <si>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</si>
  <si>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</si>
  <si>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</si>
  <si>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</si>
  <si>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</si>
  <si>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</si>
  <si>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</si>
  <si>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</si>
  <si>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</si>
  <si>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</si>
  <si>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</si>
  <si>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</si>
  <si>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</si>
  <si>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</si>
  <si>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</si>
  <si>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</si>
  <si>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</si>
  <si>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</si>
  <si>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</si>
  <si>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</si>
  <si>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</si>
  <si>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</si>
  <si>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</si>
  <si>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</si>
  <si>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</si>
  <si>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</si>
  <si>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</si>
  <si>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</si>
  <si>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</si>
  <si>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</si>
  <si>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</si>
  <si>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</si>
  <si>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</si>
  <si>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</si>
  <si>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</si>
  <si>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</si>
  <si>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</si>
  <si>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</si>
  <si>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</si>
  <si>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</si>
  <si>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</si>
  <si>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</si>
  <si>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</si>
  <si>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</si>
  <si>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</si>
  <si>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</si>
  <si>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</si>
  <si>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</si>
  <si>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</si>
  <si>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</si>
  <si>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</si>
  <si>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</si>
  <si>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</si>
  <si>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</si>
  <si>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</si>
  <si>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</si>
  <si>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</si>
  <si>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</si>
  <si>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</si>
  <si>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</si>
  <si>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</si>
  <si>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</si>
  <si>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</si>
  <si>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</si>
  <si>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</si>
  <si>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</si>
  <si>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</si>
  <si>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</si>
  <si>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</si>
  <si>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</si>
  <si>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</si>
  <si>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</si>
  <si>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</si>
  <si>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</si>
  <si>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</si>
  <si>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</si>
  <si>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</si>
  <si>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</si>
  <si>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</si>
  <si>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</si>
  <si>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</si>
  <si>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</si>
  <si>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</si>
  <si>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</si>
  <si>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</si>
  <si>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</si>
  <si>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</si>
  <si>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</si>
  <si>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</si>
  <si>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</si>
  <si>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</si>
  <si>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</si>
  <si>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</si>
  <si>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</si>
  <si>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</si>
  <si>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</si>
  <si>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</si>
  <si>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</si>
  <si>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</si>
  <si>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</si>
  <si>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</si>
  <si>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</si>
  <si>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</si>
  <si>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</si>
  <si>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</si>
  <si>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</si>
  <si>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</si>
  <si>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</si>
  <si>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</si>
  <si>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</si>
  <si>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</si>
  <si>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</si>
  <si>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</si>
  <si>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</si>
  <si>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</si>
  <si>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</si>
  <si>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</si>
  <si>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</si>
  <si>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</si>
  <si>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</si>
  <si>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</si>
  <si>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</si>
  <si>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</si>
  <si>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</si>
  <si>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</si>
  <si>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</si>
  <si>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</si>
  <si>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</si>
  <si>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</si>
  <si>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</si>
  <si>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</si>
  <si>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</si>
  <si>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</si>
  <si>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</si>
  <si>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</si>
  <si>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</si>
  <si>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</si>
  <si>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</si>
  <si>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</si>
  <si>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</si>
  <si>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</si>
  <si>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</si>
  <si>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</si>
  <si>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</si>
  <si>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</si>
  <si>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</si>
  <si>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</si>
  <si>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</si>
  <si>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</si>
  <si>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</si>
  <si>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</si>
  <si>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</si>
  <si>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</si>
  <si>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</si>
  <si>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</si>
  <si>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</si>
  <si>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</si>
  <si>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</si>
  <si>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</si>
  <si>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</si>
  <si>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</si>
  <si>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</si>
  <si>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</si>
  <si>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</si>
  <si>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</si>
  <si>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</si>
  <si>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</si>
  <si>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</si>
  <si>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</si>
  <si>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</si>
  <si>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</si>
  <si>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</si>
  <si>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</si>
  <si>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</si>
  <si>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</si>
  <si>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</si>
  <si>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</si>
  <si>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</si>
  <si>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</si>
  <si>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</si>
  <si>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</si>
  <si>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</si>
  <si>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</si>
  <si>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</si>
  <si>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</si>
  <si>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</si>
  <si>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</si>
  <si>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</si>
  <si>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</si>
  <si>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</si>
  <si>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</si>
  <si>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</si>
  <si>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</si>
  <si>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</si>
  <si>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</si>
  <si>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</si>
  <si>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</si>
  <si>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</si>
  <si>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</si>
  <si>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</si>
  <si>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</si>
  <si>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</si>
  <si>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</si>
  <si>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</si>
  <si>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</si>
  <si>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</si>
  <si>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</si>
  <si>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</si>
  <si>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</si>
  <si>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</si>
  <si>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</si>
  <si>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</si>
  <si>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</si>
  <si>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</si>
  <si>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</si>
  <si>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</si>
  <si>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</si>
  <si>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</si>
  <si>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</si>
  <si>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</si>
  <si>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</si>
  <si>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</si>
  <si>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</si>
  <si>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</si>
  <si>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</si>
  <si>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</si>
  <si>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</si>
  <si>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</si>
  <si>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</si>
  <si>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</si>
  <si>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</si>
  <si>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</si>
  <si>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</si>
  <si>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</si>
  <si>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</si>
  <si>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</si>
  <si>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</si>
  <si>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</si>
  <si>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</si>
  <si>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</si>
  <si>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</si>
  <si>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</si>
  <si>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</si>
  <si>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</si>
  <si>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</si>
  <si>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</si>
  <si>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</si>
  <si>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</si>
  <si>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</si>
  <si>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</si>
  <si>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</si>
  <si>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</si>
  <si>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</si>
  <si>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</si>
  <si>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</si>
  <si>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</si>
  <si>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</si>
  <si>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</si>
  <si>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</si>
  <si>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</si>
  <si>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</si>
  <si>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</si>
  <si>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</si>
  <si>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</si>
  <si>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</si>
  <si>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</si>
  <si>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</si>
  <si>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</si>
  <si>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</si>
  <si>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</si>
  <si>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</si>
  <si>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</si>
  <si>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</si>
  <si>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</si>
  <si>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</si>
  <si>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</si>
  <si>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</si>
  <si>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</si>
  <si>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</si>
  <si>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</si>
  <si>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</si>
  <si>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</si>
  <si>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</si>
  <si>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</si>
  <si>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</si>
  <si>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</si>
  <si>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</si>
  <si>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</si>
  <si>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</si>
  <si>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</si>
  <si>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</si>
  <si>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</si>
  <si>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</si>
  <si>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</si>
  <si>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</si>
  <si>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</si>
  <si>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</si>
  <si>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</si>
  <si>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</si>
  <si>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</si>
  <si>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</si>
  <si>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</si>
  <si>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</si>
  <si>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</si>
  <si>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</si>
  <si>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</si>
  <si>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</si>
  <si>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</si>
  <si>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</si>
  <si>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</si>
  <si>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</si>
  <si>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</si>
  <si>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</si>
  <si>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</si>
  <si>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</si>
  <si>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</si>
  <si>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</si>
  <si>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</si>
  <si>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</si>
  <si>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</si>
  <si>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</si>
  <si>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</si>
  <si>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</si>
  <si>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</si>
  <si>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</si>
  <si>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</si>
  <si>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</si>
  <si>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</si>
  <si>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</si>
  <si>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</si>
  <si>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</si>
  <si>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</si>
  <si>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</si>
  <si>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</si>
  <si>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</si>
  <si>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</si>
  <si>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</si>
  <si>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</si>
  <si>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</si>
  <si>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</si>
  <si>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</si>
  <si>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</si>
  <si>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</si>
  <si>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</si>
  <si>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</si>
  <si>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</si>
  <si>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</si>
  <si>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</si>
  <si>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</si>
  <si>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</si>
  <si>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</si>
  <si>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</si>
  <si>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</si>
  <si>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</si>
  <si>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</si>
  <si>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</si>
  <si>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</si>
  <si>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</si>
  <si>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</si>
  <si>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</si>
  <si>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</si>
  <si>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</si>
  <si>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</si>
  <si>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</si>
  <si>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</si>
  <si>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</si>
  <si>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</si>
  <si>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</si>
  <si>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</si>
  <si>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</si>
  <si>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</si>
  <si>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</si>
  <si>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</si>
  <si>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</si>
  <si>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</si>
  <si>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</si>
  <si>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</si>
  <si>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</si>
  <si>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</si>
  <si>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</si>
  <si>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</si>
  <si>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</si>
  <si>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</si>
  <si>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</si>
  <si>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</si>
  <si>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</si>
  <si>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</si>
  <si>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</si>
  <si>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</si>
  <si>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</si>
  <si>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</si>
  <si>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</si>
  <si>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</si>
  <si>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</si>
  <si>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</si>
  <si>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</si>
  <si>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</si>
  <si>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</si>
  <si>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</si>
  <si>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</si>
  <si>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</si>
  <si>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</si>
  <si>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</si>
  <si>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</si>
  <si>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</si>
  <si>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</si>
  <si>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</si>
  <si>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</si>
  <si>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</si>
  <si>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</si>
  <si>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</si>
  <si>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</si>
  <si>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</si>
  <si>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</si>
  <si>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</si>
  <si>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</si>
  <si>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</si>
  <si>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</si>
  <si>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</si>
  <si>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</si>
  <si>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</si>
  <si>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</si>
  <si>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</si>
  <si>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</si>
  <si>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</si>
  <si>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</si>
  <si>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</si>
  <si>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</si>
  <si>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</si>
  <si>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</si>
  <si>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</si>
  <si>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</si>
  <si>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</si>
  <si>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</si>
  <si>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</si>
  <si>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</si>
  <si>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</si>
  <si>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</si>
  <si>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</si>
  <si>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</si>
  <si>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</si>
  <si>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</si>
  <si>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</si>
  <si>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</si>
  <si>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</si>
  <si>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</si>
  <si>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</si>
  <si>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</si>
  <si>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</si>
  <si>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</si>
  <si>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</si>
  <si>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</si>
  <si>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</si>
  <si>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</si>
  <si>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</si>
  <si>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</si>
  <si>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</si>
  <si>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</si>
  <si>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</si>
  <si>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</si>
  <si>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</si>
  <si>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</si>
  <si>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</si>
  <si>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</si>
  <si>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</si>
  <si>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</si>
  <si>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</si>
  <si>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</si>
  <si>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</si>
  <si>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</si>
  <si>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</si>
  <si>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</si>
  <si>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</si>
  <si>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</si>
  <si>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</si>
  <si>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</si>
  <si>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</si>
  <si>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</si>
  <si>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</si>
  <si>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</si>
  <si>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</si>
  <si>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</si>
  <si>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</si>
  <si>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</si>
  <si>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</si>
  <si>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</si>
  <si>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</si>
  <si>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</si>
  <si>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</si>
  <si>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</si>
  <si>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</si>
  <si>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</si>
  <si>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</si>
  <si>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</si>
  <si>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</si>
  <si>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</si>
  <si>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</si>
  <si>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</si>
  <si>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</si>
  <si>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</si>
  <si>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</si>
  <si>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</si>
  <si>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</si>
  <si>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</si>
  <si>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</si>
  <si>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</si>
  <si>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</si>
  <si>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</si>
  <si>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</si>
  <si>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</si>
  <si>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</si>
  <si>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</si>
  <si>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</si>
  <si>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</si>
  <si>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</si>
  <si>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</si>
  <si>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</si>
  <si>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</si>
  <si>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</si>
  <si>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</si>
  <si>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</si>
  <si>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</si>
  <si>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</si>
  <si>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</si>
  <si>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</si>
  <si>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</si>
  <si>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</si>
  <si>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</si>
  <si>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</si>
  <si>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</si>
  <si>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</si>
  <si>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</si>
  <si>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</si>
  <si>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</si>
  <si>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</si>
  <si>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</si>
  <si>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</si>
  <si>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</si>
  <si>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</si>
  <si>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</si>
  <si>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</si>
  <si>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</si>
  <si>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</si>
  <si>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</si>
  <si>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</si>
  <si>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</si>
  <si>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</si>
  <si>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</si>
  <si>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</si>
  <si>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</si>
  <si>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</si>
  <si>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</si>
  <si>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</si>
  <si>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</si>
  <si>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</si>
  <si>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</si>
  <si>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</si>
  <si>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</si>
  <si>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</si>
  <si>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</si>
  <si>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</si>
  <si>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</si>
  <si>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</si>
  <si>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</si>
  <si>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</si>
  <si>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</si>
  <si>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</si>
  <si>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</si>
  <si>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</si>
  <si>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</si>
  <si>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</si>
  <si>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</si>
  <si>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</si>
  <si>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</si>
  <si>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</si>
  <si>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</si>
  <si>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</si>
  <si>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</si>
  <si>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</si>
  <si>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</si>
  <si>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</si>
  <si>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</si>
  <si>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</si>
  <si>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</si>
  <si>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</si>
  <si>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</si>
  <si>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</si>
  <si>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</si>
  <si>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</si>
  <si>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</si>
  <si>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</si>
  <si>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</si>
  <si>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</si>
  <si>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</si>
  <si>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</si>
  <si>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</si>
  <si>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</si>
  <si>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</si>
  <si>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</si>
  <si>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</si>
  <si>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</si>
  <si>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</si>
  <si>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</si>
  <si>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</si>
  <si>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</si>
  <si>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</si>
  <si>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</si>
  <si>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</si>
  <si>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</si>
  <si>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</si>
  <si>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</si>
  <si>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</si>
  <si>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</si>
  <si>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</si>
  <si>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</si>
  <si>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</si>
  <si>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</si>
  <si>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</si>
  <si>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</si>
  <si>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</si>
  <si>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</si>
  <si>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</si>
  <si>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</si>
  <si>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</si>
  <si>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</si>
  <si>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</si>
  <si>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</si>
  <si>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</si>
  <si>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</si>
  <si>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</si>
  <si>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</si>
  <si>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</si>
  <si>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</si>
  <si>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</si>
  <si>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</si>
  <si>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</si>
  <si>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</si>
  <si>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</si>
  <si>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</si>
  <si>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</si>
  <si>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</si>
  <si>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</si>
  <si>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</si>
  <si>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</si>
  <si>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</si>
  <si>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</si>
  <si>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</si>
  <si>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</si>
  <si>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</si>
  <si>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</si>
  <si>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</si>
  <si>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</si>
  <si>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</si>
  <si>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</si>
  <si>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</si>
  <si>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</si>
  <si>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</si>
  <si>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</si>
  <si>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</si>
  <si>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</si>
  <si>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</si>
  <si>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</si>
  <si>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</si>
  <si>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</si>
  <si>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</si>
  <si>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</si>
  <si>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</si>
  <si>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</si>
  <si>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</si>
  <si>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</si>
  <si>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</si>
  <si>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</si>
  <si>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</si>
  <si>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</si>
  <si>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</si>
  <si>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</si>
  <si>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</si>
  <si>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</si>
  <si>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</si>
  <si>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</si>
  <si>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</si>
  <si>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</si>
  <si>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</si>
  <si>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</si>
  <si>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</si>
  <si>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</si>
  <si>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</si>
  <si>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</si>
  <si>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</si>
  <si>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</si>
  <si>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</si>
  <si>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</si>
  <si>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</si>
  <si>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</si>
  <si>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</si>
  <si>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</si>
  <si>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</si>
  <si>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</si>
  <si>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</si>
  <si>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</si>
  <si>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</si>
  <si>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</si>
  <si>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</si>
  <si>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</si>
  <si>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</si>
  <si>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</si>
  <si>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</si>
  <si>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</si>
  <si>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</si>
  <si>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</si>
  <si>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</si>
  <si>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</si>
  <si>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</si>
  <si>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</si>
  <si>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</si>
  <si>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</si>
  <si>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</si>
  <si>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</si>
  <si>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</si>
  <si>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</si>
  <si>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</si>
  <si>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</si>
  <si>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</si>
  <si>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</si>
  <si>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</si>
  <si>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</si>
  <si>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</si>
  <si>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</si>
  <si>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</si>
  <si>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</si>
  <si>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</si>
  <si>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</si>
  <si>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</si>
  <si>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</si>
  <si>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</si>
  <si>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</si>
  <si>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</si>
  <si>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</si>
  <si>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</si>
  <si>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</si>
  <si>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</si>
  <si>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</si>
  <si>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</si>
  <si>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</si>
  <si>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</si>
  <si>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</si>
  <si>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</si>
  <si>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</si>
  <si>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</si>
  <si>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</si>
  <si>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</si>
  <si>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</si>
  <si>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</si>
  <si>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</si>
  <si>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</si>
  <si>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</si>
  <si>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</si>
  <si>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</si>
  <si>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</si>
  <si>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</si>
  <si>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</si>
  <si>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</si>
  <si>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</si>
  <si>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</si>
  <si>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</si>
  <si>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</si>
  <si>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</si>
  <si>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</si>
  <si>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</si>
  <si>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</si>
  <si>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</si>
  <si>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</si>
  <si>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</si>
  <si>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</si>
  <si>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</si>
  <si>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</si>
  <si>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</si>
  <si>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</si>
  <si>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</si>
  <si>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</si>
  <si>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</si>
  <si>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</si>
  <si>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</si>
  <si>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</si>
  <si>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</si>
  <si>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</si>
  <si>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</si>
  <si>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</si>
  <si>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</si>
  <si>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</si>
  <si>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</si>
  <si>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</si>
  <si>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</si>
  <si>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</si>
  <si>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</si>
  <si>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</si>
  <si>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</si>
  <si>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</si>
  <si>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</si>
  <si>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</si>
  <si>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</si>
  <si>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</si>
  <si>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</si>
  <si>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</si>
  <si>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</si>
  <si>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</si>
  <si>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</si>
  <si>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</si>
  <si>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</si>
  <si>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</si>
  <si>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</si>
  <si>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</si>
  <si>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</si>
  <si>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</si>
  <si>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</si>
  <si>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</si>
  <si>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</si>
  <si>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</si>
  <si>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</si>
  <si>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</si>
  <si>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</si>
  <si>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</si>
  <si>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</si>
  <si>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</si>
  <si>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</si>
  <si>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</si>
  <si>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</si>
  <si>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</si>
  <si>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</si>
  <si>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</si>
  <si>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</si>
  <si>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</si>
  <si>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</si>
  <si>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</si>
  <si>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</si>
  <si>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</si>
  <si>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</si>
  <si>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</si>
  <si>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</si>
  <si>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</si>
  <si>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</si>
  <si>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</si>
  <si>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</si>
  <si>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</si>
  <si>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</si>
  <si>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</si>
  <si>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</si>
  <si>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</si>
  <si>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</si>
  <si>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</si>
  <si>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</si>
  <si>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</si>
  <si>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</si>
  <si>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</si>
  <si>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</si>
  <si>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</si>
  <si>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</si>
  <si>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</si>
  <si>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</si>
  <si>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</si>
  <si>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</si>
  <si>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</si>
  <si>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</si>
  <si>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</si>
  <si>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</si>
  <si>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</si>
  <si>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</si>
  <si>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</si>
  <si>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</si>
  <si>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</si>
  <si>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</si>
  <si>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</si>
  <si>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</si>
  <si>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</si>
  <si>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</si>
  <si>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</si>
  <si>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</si>
  <si>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</si>
  <si>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</si>
  <si>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</si>
  <si>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</si>
  <si>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</si>
  <si>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</si>
  <si>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</si>
  <si>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</si>
  <si>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</si>
  <si>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</si>
  <si>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</si>
  <si>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</si>
  <si>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</si>
  <si>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</si>
  <si>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</si>
  <si>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</si>
  <si>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</si>
  <si>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</si>
  <si>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</si>
  <si>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</si>
  <si>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</si>
  <si>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</si>
  <si>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</si>
  <si>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</si>
  <si>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</si>
  <si>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</si>
  <si>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</si>
  <si>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</si>
  <si>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</si>
  <si>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</si>
  <si>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</si>
  <si>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</si>
  <si>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</si>
  <si>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</si>
  <si>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</si>
  <si>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</si>
  <si>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</si>
  <si>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</si>
  <si>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</si>
  <si>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</si>
  <si>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</si>
  <si>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</si>
  <si>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</si>
  <si>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</si>
  <si>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</si>
  <si>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</si>
  <si>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</si>
  <si>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</si>
  <si>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</si>
  <si>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</si>
  <si>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</si>
  <si>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</si>
  <si>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</si>
  <si>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</si>
  <si>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</si>
  <si>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</si>
  <si>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</si>
  <si>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</si>
  <si>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</si>
  <si>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</si>
  <si>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</si>
  <si>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</si>
  <si>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</si>
  <si>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</si>
  <si>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</si>
  <si>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</si>
  <si>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</si>
  <si>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</si>
  <si>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</si>
  <si>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</si>
  <si>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</si>
  <si>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</si>
  <si>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</si>
  <si>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</si>
  <si>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</si>
  <si>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</si>
  <si>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</si>
  <si>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</si>
  <si>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</si>
  <si>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</si>
  <si>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</si>
  <si>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</si>
  <si>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</si>
  <si>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</si>
  <si>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</si>
  <si>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</si>
  <si>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</si>
  <si>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</si>
  <si>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</si>
  <si>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</si>
  <si>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</si>
  <si>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</si>
  <si>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</si>
  <si>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</si>
  <si>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</si>
  <si>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</si>
  <si>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</si>
  <si>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</si>
  <si>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</si>
  <si>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</si>
  <si>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</si>
  <si>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</si>
  <si>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</si>
  <si>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</si>
  <si>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</si>
  <si>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</si>
  <si>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</si>
  <si>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</si>
  <si>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</si>
  <si>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</si>
  <si>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</si>
  <si>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</si>
  <si>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</si>
  <si>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</si>
  <si>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</si>
  <si>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</si>
  <si>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</si>
  <si>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</si>
  <si>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</si>
  <si>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</si>
  <si>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</si>
  <si>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</si>
  <si>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</si>
  <si>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</si>
  <si>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</si>
  <si>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</si>
  <si>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</si>
  <si>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</si>
  <si>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</si>
  <si>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</si>
  <si>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</si>
  <si>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</si>
  <si>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</si>
  <si>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</si>
  <si>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</si>
  <si>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</si>
  <si>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</si>
  <si>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</si>
  <si>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</si>
  <si>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</si>
  <si>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</si>
  <si>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</si>
  <si>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</si>
  <si>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</si>
  <si>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</si>
  <si>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</si>
  <si>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</si>
  <si>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</si>
  <si>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</si>
  <si>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</si>
  <si>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</si>
  <si>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</si>
  <si>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</si>
  <si>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</si>
  <si>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</si>
  <si>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</si>
  <si>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</si>
  <si>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</si>
  <si>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</si>
  <si>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</si>
  <si>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</si>
  <si>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</si>
  <si>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</si>
  <si>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</si>
  <si>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</si>
  <si>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</si>
  <si>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</si>
  <si>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</si>
  <si>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</si>
  <si>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</si>
  <si>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</si>
  <si>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</si>
  <si>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</si>
  <si>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</si>
  <si>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</si>
  <si>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</si>
  <si>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</si>
  <si>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</si>
  <si>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</si>
  <si>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</si>
  <si>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</si>
  <si>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</si>
  <si>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</si>
  <si>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</si>
  <si>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</si>
  <si>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</si>
  <si>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</si>
  <si>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</si>
  <si>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</si>
  <si>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</si>
  <si>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</si>
  <si>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</si>
  <si>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</si>
  <si>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</si>
  <si>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</si>
  <si>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</si>
  <si>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</si>
  <si>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</si>
  <si>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</si>
  <si>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</si>
  <si>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</si>
  <si>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</si>
  <si>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</si>
  <si>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</si>
  <si>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</si>
  <si>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</si>
  <si>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</si>
  <si>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</si>
  <si>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</si>
  <si>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</si>
  <si>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</si>
  <si>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</si>
  <si>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</si>
  <si>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</si>
  <si>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</si>
  <si>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</si>
  <si>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</si>
  <si>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</si>
  <si>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</si>
  <si>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</si>
  <si>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</si>
  <si>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</si>
  <si>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</si>
  <si>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</si>
  <si>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</si>
  <si>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</si>
  <si>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</si>
  <si>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</si>
  <si>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</si>
  <si>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</si>
  <si>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</si>
  <si>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</si>
  <si>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</si>
  <si>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</si>
  <si>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</si>
  <si>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</si>
  <si>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</si>
  <si>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</si>
  <si>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</si>
  <si>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</si>
  <si>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</si>
  <si>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</si>
  <si>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</si>
  <si>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</si>
  <si>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</si>
  <si>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</si>
  <si>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</si>
  <si>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</si>
  <si>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</si>
  <si>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</si>
  <si>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</si>
  <si>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</si>
  <si>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</si>
  <si>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</si>
  <si>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</si>
  <si>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</si>
  <si>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</si>
  <si>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</si>
  <si>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</si>
  <si>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</si>
  <si>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</si>
  <si>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</si>
  <si>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</si>
  <si>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</si>
  <si>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</si>
  <si>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</si>
  <si>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</si>
  <si>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</si>
  <si>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</si>
  <si>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</si>
  <si>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</si>
  <si>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</si>
  <si>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</si>
  <si>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</si>
  <si>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</si>
  <si>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</si>
  <si>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</si>
  <si>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</si>
  <si>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</si>
  <si>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</si>
  <si>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</si>
  <si>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</si>
  <si>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</si>
  <si>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</si>
  <si>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</si>
  <si>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</si>
  <si>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</si>
  <si>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</si>
  <si>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</si>
  <si>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</si>
  <si>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</si>
  <si>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</si>
  <si>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</si>
  <si>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</si>
  <si>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</si>
  <si>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</si>
  <si>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</si>
  <si>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</si>
  <si>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</si>
  <si>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</si>
  <si>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</si>
  <si>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</si>
  <si>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</si>
  <si>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</si>
  <si>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</si>
  <si>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</si>
  <si>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</si>
  <si>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</si>
  <si>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</si>
  <si>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</si>
  <si>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</si>
  <si>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</si>
  <si>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</si>
  <si>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</si>
  <si>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</si>
  <si>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</si>
  <si>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</si>
  <si>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</si>
  <si>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</si>
  <si>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</si>
  <si>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</si>
  <si>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</si>
  <si>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</si>
  <si>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</si>
  <si>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</si>
  <si>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</si>
  <si>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</si>
  <si>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</si>
  <si>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</si>
  <si>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</si>
  <si>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</si>
  <si>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</si>
  <si>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</si>
  <si>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</si>
  <si>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</si>
  <si>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</si>
  <si>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</si>
  <si>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</si>
  <si>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</si>
  <si>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</si>
  <si>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</si>
  <si>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</si>
  <si>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</si>
  <si>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</si>
  <si>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</si>
  <si>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</si>
  <si>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</si>
  <si>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</si>
  <si>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</si>
  <si>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</si>
  <si>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</si>
  <si>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</si>
  <si>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</si>
  <si>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</si>
  <si>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</si>
  <si>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</si>
  <si>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</si>
  <si>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</si>
  <si>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</si>
  <si>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</si>
  <si>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</si>
  <si>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</si>
  <si>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</si>
  <si>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</si>
  <si>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</si>
  <si>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</si>
  <si>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</si>
  <si>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</si>
  <si>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</si>
  <si>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</si>
  <si>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</si>
  <si>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</si>
  <si>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</si>
  <si>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</si>
  <si>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</si>
  <si>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</si>
  <si>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</si>
  <si>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</si>
  <si>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</si>
  <si>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</si>
  <si>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</si>
  <si>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</si>
  <si>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</si>
  <si>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</si>
  <si>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</si>
  <si>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</si>
  <si>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</si>
  <si>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</si>
  <si>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</si>
  <si>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</si>
  <si>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</si>
  <si>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</si>
  <si>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</si>
  <si>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</si>
  <si>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</si>
  <si>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</si>
  <si>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</si>
  <si>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</si>
  <si>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</si>
  <si>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</si>
  <si>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</si>
  <si>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</si>
  <si>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</si>
  <si>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</si>
  <si>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</si>
  <si>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</si>
  <si>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</si>
  <si>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</si>
  <si>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</si>
  <si>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</si>
  <si>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</si>
  <si>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</si>
  <si>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</si>
  <si>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</si>
  <si>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</si>
  <si>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</si>
  <si>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</si>
  <si>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</si>
  <si>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</si>
  <si>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</si>
  <si>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</si>
  <si>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</si>
  <si>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</si>
  <si>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</si>
  <si>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</si>
  <si>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</si>
  <si>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</si>
  <si>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</si>
  <si>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</si>
  <si>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</si>
  <si>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</si>
  <si>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</si>
  <si>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</si>
  <si>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</si>
  <si>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</si>
  <si>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</si>
  <si>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</si>
  <si>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</si>
  <si>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</si>
  <si>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</si>
  <si>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</si>
  <si>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</si>
  <si>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</si>
  <si>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</si>
  <si>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</si>
  <si>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</si>
  <si>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</si>
  <si>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</si>
  <si>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</si>
  <si>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</si>
  <si>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</si>
  <si>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</si>
  <si>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</si>
  <si>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</si>
  <si>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</si>
  <si>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</si>
  <si>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</si>
  <si>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</si>
  <si>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</si>
  <si>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</si>
  <si>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</si>
  <si>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</si>
  <si>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</si>
  <si>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</si>
  <si>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</si>
  <si>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</si>
  <si>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</si>
  <si>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</si>
  <si>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</si>
  <si>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</si>
  <si>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</si>
  <si>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</si>
  <si>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</si>
  <si>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</si>
  <si>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</si>
  <si>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</si>
  <si>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</si>
  <si>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</si>
  <si>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</si>
  <si>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</si>
  <si>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</si>
  <si>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</si>
  <si>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</si>
  <si>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</si>
  <si>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</si>
  <si>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</si>
  <si>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</si>
  <si>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</si>
  <si>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</si>
  <si>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</si>
  <si>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</si>
  <si>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</si>
  <si>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</si>
  <si>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</si>
  <si>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</si>
  <si>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</si>
  <si>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</si>
  <si>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</si>
  <si>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</si>
  <si>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</si>
  <si>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</si>
  <si>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</si>
  <si>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</si>
  <si>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</si>
  <si>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</si>
  <si>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</si>
  <si>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</si>
  <si>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</si>
  <si>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</si>
  <si>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</si>
  <si>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</si>
  <si>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</si>
  <si>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</si>
  <si>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</si>
  <si>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</si>
  <si>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</si>
  <si>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</si>
  <si>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</si>
  <si>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</si>
  <si>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</si>
  <si>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</si>
  <si>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</si>
  <si>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</si>
  <si>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</si>
  <si>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</si>
  <si>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</si>
  <si>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</si>
  <si>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</si>
  <si>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</si>
  <si>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</si>
  <si>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</si>
  <si>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</si>
  <si>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</si>
  <si>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</si>
  <si>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</si>
  <si>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</si>
  <si>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</si>
  <si>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</si>
  <si>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</si>
  <si>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</si>
  <si>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</si>
  <si>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</si>
  <si>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</si>
  <si>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</si>
  <si>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</si>
  <si>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</si>
  <si>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</si>
  <si>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</si>
  <si>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</si>
  <si>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</si>
  <si>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</si>
  <si>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</si>
  <si>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</si>
  <si>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</si>
  <si>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</si>
  <si>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</si>
  <si>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</si>
  <si>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</si>
  <si>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</si>
  <si>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</si>
  <si>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</si>
  <si>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</si>
  <si>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</si>
  <si>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</si>
  <si>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</si>
  <si>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</si>
  <si>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</si>
  <si>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</si>
  <si>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</si>
  <si>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</si>
  <si>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</si>
  <si>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</si>
  <si>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</si>
  <si>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</si>
  <si>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</si>
  <si>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</si>
  <si>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</si>
  <si>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</si>
  <si>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</si>
  <si>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</si>
  <si>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</si>
  <si>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</si>
  <si>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</si>
  <si>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</si>
  <si>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</si>
  <si>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</si>
  <si>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</si>
  <si>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</si>
  <si>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</si>
  <si>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</si>
  <si>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</si>
  <si>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</si>
  <si>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</si>
  <si>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</si>
  <si>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</si>
  <si>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</si>
  <si>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</si>
  <si>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</si>
  <si>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</si>
  <si>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</si>
  <si>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</si>
  <si>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</si>
  <si>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</si>
  <si>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</si>
  <si>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</si>
  <si>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</si>
  <si>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</si>
  <si>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</si>
  <si>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</si>
  <si>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</si>
  <si>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</si>
  <si>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</si>
  <si>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</si>
  <si>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</si>
  <si>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</si>
  <si>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</si>
  <si>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</si>
  <si>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</si>
  <si>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</si>
  <si>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</si>
  <si>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</si>
  <si>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</si>
  <si>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</si>
  <si>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</si>
  <si>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</si>
  <si>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</si>
  <si>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</si>
  <si>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</si>
  <si>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</si>
  <si>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</si>
  <si>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</si>
  <si>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</si>
  <si>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</si>
  <si>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</si>
  <si>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</si>
  <si>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</si>
  <si>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</si>
  <si>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</si>
  <si>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</si>
  <si>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</si>
  <si>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</si>
  <si>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</si>
  <si>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</si>
  <si>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</si>
  <si>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</si>
  <si>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</si>
  <si>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</si>
  <si>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</si>
  <si>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</si>
  <si>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</si>
  <si>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</si>
  <si>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</si>
  <si>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</si>
  <si>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</si>
  <si>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</si>
  <si>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</si>
  <si>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</si>
  <si>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</si>
  <si>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</si>
  <si>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</si>
  <si>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</si>
  <si>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</si>
  <si>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</si>
  <si>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</si>
  <si>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</si>
  <si>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</si>
  <si>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</si>
  <si>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</si>
  <si>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</si>
  <si>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</si>
  <si>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</si>
  <si>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</si>
  <si>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</si>
  <si>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</si>
  <si>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</si>
  <si>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</si>
  <si>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</si>
  <si>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</si>
  <si>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</si>
  <si>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</si>
  <si>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</si>
  <si>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</si>
  <si>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</si>
  <si>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</si>
  <si>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</si>
  <si>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</si>
  <si>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</si>
  <si>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</si>
  <si>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</si>
  <si>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</si>
  <si>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</si>
  <si>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</si>
  <si>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</si>
  <si>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</si>
  <si>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</si>
  <si>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</si>
  <si>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</si>
  <si>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</si>
  <si>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</si>
  <si>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</si>
  <si>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</si>
  <si>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</si>
  <si>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</si>
  <si>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</si>
  <si>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</si>
  <si>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</si>
  <si>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</si>
  <si>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</si>
  <si>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</si>
  <si>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</si>
  <si>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</si>
  <si>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</si>
  <si>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</si>
  <si>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</si>
  <si>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</si>
  <si>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</si>
  <si>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</si>
  <si>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</si>
  <si>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</si>
  <si>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</si>
  <si>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</si>
  <si>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</si>
  <si>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</si>
  <si>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</si>
  <si>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</si>
  <si>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</si>
  <si>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</si>
  <si>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</si>
  <si>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</si>
  <si>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</si>
  <si>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</si>
  <si>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</si>
  <si>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</si>
  <si>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</si>
  <si>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</si>
  <si>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</si>
  <si>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</si>
  <si>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</si>
  <si>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</si>
  <si>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</si>
  <si>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</si>
  <si>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</si>
  <si>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</si>
  <si>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</si>
  <si>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</si>
  <si>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</si>
  <si>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</si>
  <si>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</si>
  <si>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</si>
  <si>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</si>
  <si>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</si>
  <si>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</si>
  <si>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</si>
  <si>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</si>
  <si>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</si>
  <si>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</si>
  <si>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</si>
  <si>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</si>
  <si>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</si>
  <si>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</si>
  <si>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</si>
  <si>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</si>
  <si>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</si>
  <si>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</si>
  <si>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</si>
  <si>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</si>
  <si>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</si>
  <si>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</si>
  <si>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</si>
  <si>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</si>
  <si>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</si>
  <si>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</si>
  <si>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</si>
  <si>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</si>
  <si>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</si>
  <si>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</si>
  <si>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</si>
  <si>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</si>
  <si>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</si>
  <si>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</si>
  <si>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</si>
  <si>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</si>
  <si>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</si>
  <si>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</si>
  <si>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</si>
  <si>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</si>
  <si>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</si>
  <si>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</si>
  <si>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</si>
  <si>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</si>
  <si>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</si>
  <si>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</si>
  <si>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</si>
  <si>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</si>
  <si>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</si>
  <si>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</si>
  <si>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</si>
  <si>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</si>
  <si>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</si>
  <si>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</si>
  <si>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</si>
  <si>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</si>
  <si>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</si>
  <si>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</si>
  <si>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</si>
  <si>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</si>
  <si>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</si>
  <si>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</si>
  <si>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</si>
  <si>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</si>
  <si>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</si>
  <si>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</si>
  <si>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</si>
  <si>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</si>
  <si>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</si>
  <si>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</si>
  <si>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</si>
  <si>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</si>
  <si>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</si>
  <si>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</si>
  <si>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</si>
  <si>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</si>
  <si>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</si>
  <si>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</si>
  <si>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</si>
  <si>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</si>
  <si>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</si>
  <si>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</si>
  <si>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</si>
  <si>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</si>
  <si>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</si>
  <si>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</si>
  <si>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</si>
  <si>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</si>
  <si>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</si>
  <si>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</si>
  <si>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</si>
  <si>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</si>
  <si>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</si>
  <si>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</si>
  <si>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</si>
  <si>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</si>
  <si>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</si>
  <si>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</si>
  <si>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</si>
  <si>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</si>
  <si>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</si>
  <si>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</si>
  <si>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</si>
  <si>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</si>
  <si>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</si>
  <si>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</si>
  <si>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</si>
  <si>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</si>
  <si>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</si>
  <si>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</si>
  <si>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</si>
  <si>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</si>
  <si>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</si>
  <si>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</si>
  <si>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</si>
  <si>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</si>
  <si>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</si>
  <si>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</si>
  <si>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</si>
  <si>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</si>
  <si>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</si>
  <si>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</si>
  <si>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</si>
  <si>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</si>
  <si>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</si>
  <si>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</si>
  <si>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</si>
  <si>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</si>
  <si>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</si>
  <si>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</si>
  <si>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</si>
  <si>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</si>
  <si>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</si>
  <si>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</si>
  <si>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</si>
  <si>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</si>
  <si>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</si>
  <si>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</si>
  <si>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</si>
  <si>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</si>
  <si>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</si>
  <si>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</si>
  <si>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</si>
  <si>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</si>
  <si>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</si>
  <si>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</si>
  <si>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</si>
  <si>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</si>
  <si>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</si>
  <si>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</si>
  <si>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</si>
  <si>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</si>
  <si>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</si>
  <si>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</si>
  <si>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</si>
  <si>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</si>
  <si>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</si>
  <si>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</si>
  <si>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</si>
  <si>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</si>
  <si>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</si>
  <si>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</si>
  <si>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</si>
  <si>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</si>
  <si>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</si>
  <si>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</si>
  <si>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</si>
  <si>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</si>
  <si>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</si>
  <si>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</si>
  <si>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</si>
  <si>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</si>
  <si>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</si>
  <si>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</si>
  <si>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</si>
  <si>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</si>
  <si>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</si>
  <si>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</si>
  <si>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</si>
  <si>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</si>
  <si>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</si>
  <si>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</si>
  <si>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</si>
  <si>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</si>
  <si>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</si>
  <si>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</si>
  <si>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</si>
  <si>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</si>
  <si>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</si>
  <si>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</si>
  <si>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</si>
  <si>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</si>
  <si>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</si>
  <si>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</si>
  <si>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</si>
  <si>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</si>
  <si>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</si>
  <si>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</si>
  <si>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</si>
  <si>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</si>
  <si>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</si>
  <si>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</si>
  <si>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</si>
  <si>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</si>
  <si>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</si>
  <si>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</si>
  <si>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</si>
  <si>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</si>
  <si>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</si>
  <si>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</si>
  <si>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</si>
  <si>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</si>
  <si>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</si>
  <si>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</si>
  <si>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</si>
  <si>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</si>
  <si>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</si>
  <si>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</si>
  <si>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</si>
  <si>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</si>
  <si>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</si>
  <si>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</si>
  <si>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</si>
  <si>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</si>
  <si>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</si>
  <si>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</si>
  <si>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</si>
  <si>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</si>
  <si>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</si>
  <si>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</si>
  <si>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</si>
  <si>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</si>
  <si>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</si>
  <si>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</si>
  <si>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</si>
  <si>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</si>
  <si>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</si>
  <si>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</si>
  <si>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</si>
  <si>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</si>
  <si>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</si>
  <si>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</si>
  <si>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</si>
  <si>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</si>
  <si>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</si>
  <si>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</si>
  <si>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</si>
  <si>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</si>
  <si>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</si>
  <si>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</si>
  <si>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</si>
  <si>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</si>
  <si>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</si>
  <si>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</si>
  <si>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</si>
  <si>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</si>
  <si>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</si>
  <si>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</si>
  <si>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</si>
  <si>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</si>
  <si>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</si>
  <si>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</si>
  <si>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</si>
  <si>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</si>
  <si>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</si>
  <si>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</si>
  <si>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</si>
  <si>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</si>
  <si>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</si>
  <si>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</si>
  <si>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</si>
  <si>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</si>
  <si>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</si>
  <si>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</si>
  <si>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</si>
  <si>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</si>
  <si>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</si>
  <si>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</si>
  <si>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</si>
  <si>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</si>
  <si>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</si>
  <si>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</si>
  <si>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</si>
  <si>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</si>
  <si>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</si>
  <si>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</si>
  <si>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</si>
  <si>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</si>
  <si>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</si>
  <si>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</si>
  <si>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</si>
  <si>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</si>
  <si>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</si>
  <si>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</si>
  <si>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</si>
  <si>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</si>
  <si>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</si>
  <si>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</si>
  <si>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</si>
  <si>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</si>
  <si>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</si>
  <si>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</si>
  <si>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</si>
  <si>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</si>
  <si>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</si>
  <si>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</si>
  <si>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</si>
  <si>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</si>
  <si>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</si>
  <si>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</si>
  <si>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</si>
  <si>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</si>
  <si>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</si>
  <si>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</si>
  <si>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</si>
  <si>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</si>
  <si>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</si>
  <si>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</si>
  <si>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</si>
  <si>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</si>
  <si>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</si>
  <si>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</si>
  <si>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</si>
  <si>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</si>
  <si>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</si>
  <si>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</si>
  <si>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</si>
  <si>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</si>
  <si>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</si>
  <si>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</si>
  <si>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</si>
  <si>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</si>
  <si>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</si>
  <si>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</si>
  <si>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</si>
  <si>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</si>
  <si>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</si>
  <si>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</si>
  <si>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</si>
  <si>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</si>
  <si>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</si>
  <si>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</si>
  <si>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</si>
  <si>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</si>
  <si>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</si>
  <si>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</si>
  <si>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</si>
  <si>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</si>
  <si>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</si>
  <si>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</si>
  <si>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</si>
  <si>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</si>
  <si>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</si>
  <si>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</si>
  <si>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</si>
  <si>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</si>
  <si>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</si>
  <si>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</si>
  <si>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</si>
  <si>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</si>
  <si>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</si>
  <si>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</si>
  <si>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</si>
  <si>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</si>
  <si>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</si>
  <si>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</si>
  <si>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</si>
  <si>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</si>
  <si>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</si>
  <si>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</si>
  <si>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</si>
  <si>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</si>
  <si>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</si>
  <si>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</si>
  <si>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</si>
  <si>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</si>
  <si>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</si>
  <si>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</si>
  <si>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</si>
  <si>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</si>
  <si>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</si>
  <si>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</si>
  <si>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</si>
  <si>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</si>
  <si>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</si>
  <si>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</si>
  <si>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</si>
  <si>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</si>
  <si>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</si>
  <si>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</si>
  <si>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</si>
  <si>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</si>
  <si>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</si>
  <si>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</si>
  <si>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</si>
  <si>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</si>
  <si>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</si>
  <si>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</si>
  <si>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</si>
  <si>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</si>
  <si>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</si>
  <si>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</si>
  <si>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</si>
  <si>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</si>
  <si>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</si>
  <si>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</si>
  <si>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</si>
  <si>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</si>
  <si>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</si>
  <si>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</si>
  <si>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</si>
  <si>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</si>
  <si>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</si>
  <si>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</si>
  <si>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</si>
  <si>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</si>
  <si>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</si>
  <si>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</si>
  <si>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</si>
  <si>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</si>
  <si>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</si>
  <si>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</si>
  <si>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</si>
  <si>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</si>
  <si>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</si>
  <si>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</si>
  <si>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</si>
  <si>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</si>
  <si>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</si>
  <si>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</si>
  <si>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</si>
  <si>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</si>
  <si>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</si>
  <si>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</si>
  <si>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</si>
  <si>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</si>
  <si>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</si>
  <si>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</si>
  <si>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</si>
  <si>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</si>
  <si>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</si>
  <si>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</si>
  <si>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</si>
  <si>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</si>
  <si>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</si>
  <si>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</si>
  <si>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</si>
  <si>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</si>
  <si>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</si>
  <si>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</si>
  <si>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</si>
  <si>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</si>
  <si>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</si>
  <si>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</si>
  <si>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</si>
  <si>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</si>
  <si>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</si>
  <si>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</si>
  <si>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</si>
  <si>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</si>
  <si>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</si>
  <si>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</si>
  <si>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</si>
  <si>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</si>
  <si>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</si>
  <si>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</si>
  <si>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</si>
  <si>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</si>
  <si>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</si>
  <si>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</si>
  <si>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</si>
  <si>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</si>
  <si>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</si>
  <si>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</si>
  <si>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</si>
  <si>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</si>
  <si>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</si>
  <si>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</si>
  <si>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</si>
  <si>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</si>
  <si>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</si>
  <si>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</si>
  <si>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</si>
  <si>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</si>
  <si>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</si>
  <si>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</si>
  <si>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</si>
  <si>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</si>
  <si>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</si>
  <si>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</si>
  <si>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</si>
  <si>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</si>
  <si>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</si>
  <si>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</si>
  <si>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</si>
  <si>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</si>
  <si>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</si>
  <si>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</si>
  <si>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</si>
  <si>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</si>
  <si>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</si>
  <si>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</si>
  <si>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</si>
  <si>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</si>
  <si>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</si>
  <si>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</si>
  <si>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</si>
  <si>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</si>
  <si>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</si>
  <si>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</si>
  <si>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</si>
  <si>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</si>
  <si>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</si>
  <si>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</si>
  <si>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</si>
  <si>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</si>
  <si>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</si>
  <si>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</si>
  <si>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</si>
  <si>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</si>
  <si>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</si>
  <si>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</si>
  <si>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</si>
  <si>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</si>
  <si>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</si>
  <si>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</si>
  <si>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</si>
  <si>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</si>
  <si>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</si>
  <si>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</si>
  <si>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</si>
  <si>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</si>
  <si>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</si>
  <si>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</si>
  <si>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</si>
  <si>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</si>
  <si>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</si>
  <si>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</si>
  <si>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</si>
  <si>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</si>
  <si>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</si>
  <si>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</si>
  <si>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</si>
  <si>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</si>
  <si>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</si>
  <si>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</si>
  <si>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</si>
  <si>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</si>
  <si>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</si>
  <si>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</si>
  <si>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</si>
  <si>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</si>
  <si>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</si>
  <si>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</si>
  <si>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</si>
  <si>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</si>
  <si>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</si>
  <si>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</si>
  <si>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</si>
  <si>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</si>
  <si>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</si>
  <si>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</si>
  <si>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</si>
  <si>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</si>
  <si>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</si>
  <si>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</si>
  <si>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</si>
  <si>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</si>
  <si>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</si>
  <si>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</si>
  <si>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</si>
  <si>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</si>
  <si>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</si>
  <si>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</si>
  <si>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</si>
  <si>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</si>
  <si>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</si>
  <si>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</si>
  <si>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</si>
  <si>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</si>
  <si>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</si>
  <si>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</si>
  <si>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</si>
  <si>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</si>
  <si>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</si>
  <si>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</si>
  <si>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</si>
  <si>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</si>
  <si>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</si>
  <si>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</si>
  <si>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</si>
  <si>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</si>
  <si>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</si>
  <si>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</si>
  <si>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</si>
  <si>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</si>
  <si>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</si>
  <si>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</si>
  <si>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</si>
  <si>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</si>
  <si>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</si>
  <si>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</si>
  <si>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</si>
  <si>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</si>
  <si>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</si>
  <si>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</si>
  <si>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</si>
  <si>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</si>
  <si>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</si>
  <si>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</si>
  <si>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</si>
  <si>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</si>
  <si>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</si>
  <si>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</si>
  <si>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</si>
  <si>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</si>
  <si>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</si>
  <si>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</si>
  <si>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</si>
  <si>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</si>
  <si>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</si>
  <si>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</si>
  <si>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</si>
  <si>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</si>
  <si>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</si>
  <si>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</si>
  <si>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</si>
  <si>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</si>
  <si>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</si>
  <si>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</si>
  <si>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</si>
  <si>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</si>
  <si>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</si>
  <si>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</si>
  <si>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</si>
  <si>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</si>
  <si>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</si>
  <si>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</si>
  <si>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</si>
  <si>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</si>
  <si>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</si>
  <si>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</si>
  <si>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</si>
  <si>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</si>
  <si>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</si>
  <si>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</si>
  <si>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</si>
  <si>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</si>
  <si>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</si>
  <si>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</si>
  <si>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</si>
  <si>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</si>
  <si>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</si>
  <si>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</si>
  <si>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</si>
  <si>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</si>
  <si>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</si>
  <si>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</si>
  <si>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</si>
  <si>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</si>
  <si>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</si>
  <si>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</si>
  <si>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</si>
  <si>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</si>
  <si>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</si>
  <si>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</si>
  <si>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</si>
  <si>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</si>
  <si>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</si>
  <si>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</si>
  <si>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</si>
  <si>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</si>
  <si>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</si>
  <si>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</si>
  <si>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</si>
  <si>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</si>
  <si>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</si>
  <si>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</si>
  <si>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</si>
  <si>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</si>
  <si>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</si>
  <si>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</si>
  <si>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</si>
  <si>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</si>
  <si>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</si>
  <si>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</si>
  <si>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</si>
  <si>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</si>
  <si>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</si>
  <si>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</si>
  <si>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</si>
  <si>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</si>
  <si>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</si>
  <si>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</si>
  <si>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</si>
  <si>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</si>
  <si>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</si>
  <si>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</si>
  <si>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</si>
  <si>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</si>
  <si>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</si>
  <si>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</si>
  <si>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</si>
  <si>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</si>
  <si>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</si>
  <si>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</si>
  <si>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</si>
  <si>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</si>
  <si>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</si>
  <si>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</si>
  <si>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</si>
  <si>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</si>
  <si>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</si>
  <si>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</si>
  <si>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</si>
  <si>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</si>
  <si>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</si>
  <si>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</si>
  <si>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</si>
  <si>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</si>
  <si>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</si>
  <si>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</si>
  <si>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</si>
  <si>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</si>
  <si>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</si>
  <si>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</si>
  <si>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</si>
  <si>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</si>
  <si>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</si>
  <si>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</si>
  <si>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</si>
  <si>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</si>
  <si>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</si>
  <si>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</si>
  <si>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</si>
  <si>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</si>
  <si>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</si>
  <si>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</si>
  <si>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</si>
  <si>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</si>
  <si>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</si>
  <si>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</si>
  <si>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</si>
  <si>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</si>
  <si>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</si>
  <si>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</si>
  <si>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</si>
  <si>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</si>
  <si>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</si>
  <si>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</si>
  <si>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</si>
  <si>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</si>
  <si>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</si>
  <si>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</si>
  <si>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</si>
  <si>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</si>
  <si>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</si>
  <si>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</si>
  <si>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</si>
  <si>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</si>
  <si>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</si>
  <si>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</si>
  <si>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</si>
  <si>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</si>
  <si>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</si>
  <si>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</si>
  <si>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</si>
  <si>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</si>
  <si>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</si>
  <si>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</si>
  <si>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</si>
  <si>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</si>
  <si>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</si>
  <si>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</si>
  <si>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</si>
  <si>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</si>
  <si>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</si>
  <si>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</si>
  <si>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</si>
  <si>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</si>
  <si>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</si>
  <si>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</si>
  <si>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</si>
  <si>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</si>
  <si>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</si>
  <si>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</si>
  <si>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</si>
  <si>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</si>
  <si>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</si>
  <si>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</si>
  <si>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</si>
  <si>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</si>
  <si>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</si>
  <si>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</si>
  <si>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</si>
  <si>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</si>
  <si>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</si>
  <si>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</si>
  <si>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</si>
  <si>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</si>
  <si>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</si>
  <si>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</si>
  <si>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</si>
  <si>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</si>
  <si>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</si>
  <si>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</si>
  <si>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</si>
  <si>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</si>
  <si>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</si>
  <si>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</si>
  <si>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</si>
  <si>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</si>
  <si>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</si>
  <si>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</si>
  <si>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</si>
  <si>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</si>
  <si>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</si>
  <si>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</si>
  <si>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</si>
  <si>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</si>
  <si>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</si>
  <si>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</si>
  <si>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</si>
  <si>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</si>
  <si>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</si>
  <si>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</si>
  <si>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</si>
  <si>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</si>
  <si>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</si>
  <si>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</si>
  <si>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</si>
  <si>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</si>
  <si>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</si>
  <si>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</si>
  <si>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</si>
  <si>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</si>
  <si>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</si>
  <si>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</si>
  <si>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</si>
  <si>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</si>
  <si>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</si>
  <si>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</si>
  <si>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</si>
  <si>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</si>
  <si>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</si>
  <si>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</si>
  <si>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</si>
  <si>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</si>
  <si>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</si>
  <si>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</si>
  <si>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</si>
  <si>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</si>
  <si>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</si>
  <si>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</si>
  <si>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</si>
  <si>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</si>
  <si>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</si>
  <si>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</si>
  <si>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</si>
  <si>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</si>
  <si>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</si>
  <si>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</si>
  <si>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</si>
  <si>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</si>
  <si>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</si>
  <si>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</si>
  <si>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</si>
  <si>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</si>
  <si>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</si>
  <si>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</si>
  <si>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</si>
  <si>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</si>
  <si>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</si>
  <si>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</si>
  <si>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</si>
  <si>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</si>
  <si>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</si>
  <si>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</si>
  <si>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</si>
  <si>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</si>
  <si>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</si>
  <si>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</si>
  <si>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</si>
  <si>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</si>
  <si>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</si>
  <si>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</si>
  <si>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</si>
  <si>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</si>
  <si>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</si>
  <si>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</si>
  <si>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</si>
  <si>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</si>
  <si>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</si>
  <si>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</si>
  <si>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</si>
  <si>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</si>
  <si>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</si>
  <si>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</si>
  <si>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</si>
  <si>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</si>
  <si>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</si>
  <si>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</si>
  <si>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</si>
  <si>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</si>
  <si>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</si>
  <si>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</si>
  <si>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</si>
  <si>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</si>
  <si>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</si>
  <si>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</si>
  <si>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</si>
  <si>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</si>
  <si>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</si>
  <si>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</si>
  <si>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</si>
  <si>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</si>
  <si>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</si>
  <si>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</si>
  <si>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</si>
  <si>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</si>
  <si>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</si>
  <si>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</si>
  <si>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</si>
  <si>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</si>
  <si>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</si>
  <si>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</si>
  <si>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</si>
  <si>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</si>
  <si>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</si>
  <si>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</si>
  <si>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</si>
  <si>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</si>
  <si>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</si>
  <si>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</si>
  <si>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</si>
  <si>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</si>
  <si>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</si>
  <si>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</si>
  <si>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</si>
  <si>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</si>
  <si>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</si>
  <si>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</si>
  <si>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</si>
  <si>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</si>
  <si>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</si>
  <si>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</si>
  <si>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</si>
  <si>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</si>
  <si>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</si>
  <si>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</si>
  <si>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</si>
  <si>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</si>
  <si>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</si>
  <si>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</si>
  <si>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</si>
  <si>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</si>
  <si>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</si>
  <si>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</si>
  <si>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</si>
  <si>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</si>
  <si>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</si>
  <si>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</si>
  <si>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</si>
  <si>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</si>
  <si>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</si>
  <si>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</si>
  <si>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</si>
  <si>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</si>
  <si>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</si>
  <si>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</si>
  <si>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</si>
  <si>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</si>
  <si>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</si>
  <si>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</si>
  <si>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</si>
  <si>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</si>
  <si>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</si>
  <si>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</si>
  <si>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</si>
  <si>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</si>
  <si>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</si>
  <si>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</si>
  <si>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</si>
  <si>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</si>
  <si>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</si>
  <si>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</si>
  <si>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</si>
  <si>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</si>
  <si>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</si>
  <si>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</si>
  <si>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</si>
  <si>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</si>
  <si>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</si>
  <si>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</si>
  <si>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</si>
  <si>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</si>
  <si>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</si>
  <si>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</si>
  <si>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</si>
  <si>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</si>
  <si>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</si>
  <si>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</si>
  <si>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</si>
  <si>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</si>
  <si>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</si>
  <si>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</si>
  <si>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</si>
  <si>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</si>
  <si>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</si>
  <si>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</si>
  <si>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</si>
  <si>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</si>
  <si>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</si>
  <si>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</si>
  <si>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</si>
  <si>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</si>
  <si>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</si>
  <si>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</si>
  <si>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</si>
  <si>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</si>
  <si>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</si>
  <si>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</si>
  <si>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</si>
  <si>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</si>
  <si>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</si>
  <si>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</si>
  <si>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</si>
  <si>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</si>
  <si>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</si>
  <si>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</si>
  <si>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</si>
  <si>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</si>
  <si>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</si>
  <si>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</si>
  <si>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</si>
  <si>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</si>
  <si>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</si>
  <si>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</si>
  <si>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</si>
  <si>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</si>
  <si>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</si>
  <si>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</si>
  <si>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</si>
  <si>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</si>
  <si>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</si>
  <si>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</si>
  <si>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</si>
  <si>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</si>
  <si>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</si>
  <si>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</si>
  <si>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</si>
  <si>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</si>
  <si>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</si>
  <si>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</si>
  <si>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</si>
  <si>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</si>
  <si>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</si>
  <si>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</si>
  <si>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</si>
  <si>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</si>
  <si>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</si>
  <si>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</si>
  <si>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</si>
  <si>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</si>
  <si>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</si>
  <si>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</si>
  <si>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</si>
  <si>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</si>
  <si>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</si>
  <si>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</si>
  <si>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</si>
  <si>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</si>
  <si>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</si>
  <si>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</si>
  <si>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押一</t>
  </si>
  <si>
    <t>钢混</t>
  </si>
  <si>
    <t>非生产用房</t>
  </si>
  <si>
    <t>单套模式</t>
  </si>
  <si>
    <t>售价</t>
  </si>
  <si>
    <t>收益法</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</si>
  <si>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</si>
  <si>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</si>
  <si>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</si>
  <si>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</si>
  <si>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</si>
  <si>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</si>
  <si>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</si>
  <si>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</si>
  <si>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</si>
  <si>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</si>
  <si>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</si>
  <si>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</si>
  <si>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</si>
  <si>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</si>
  <si>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</si>
  <si>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</si>
  <si>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</si>
  <si>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</si>
  <si>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</si>
  <si>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</si>
  <si>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</si>
  <si>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</si>
  <si>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</si>
  <si>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</si>
  <si>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</si>
  <si>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</si>
  <si>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</si>
  <si>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</si>
  <si>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</si>
  <si>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</si>
  <si>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不临65条商业街</t>
  </si>
  <si>
    <t>好</t>
  </si>
  <si>
    <t>未包含在土地购买价格中</t>
  </si>
  <si>
    <t>已包含在土地取得成本中</t>
  </si>
  <si>
    <t>企业</t>
  </si>
  <si>
    <t>平整</t>
  </si>
  <si>
    <t>简装</t>
  </si>
  <si>
    <t>多层办公楼</t>
  </si>
  <si>
    <t>多层办公楼</t>
    <phoneticPr fontId="31" type="noConversion"/>
  </si>
  <si>
    <t>金海商富中心</t>
    <phoneticPr fontId="3" type="noConversion"/>
  </si>
  <si>
    <t>金海商富中心</t>
    <phoneticPr fontId="3" type="noConversion"/>
  </si>
  <si>
    <t>金海商富中心</t>
    <phoneticPr fontId="3" type="noConversion"/>
  </si>
  <si>
    <t>上海浦发</t>
    <phoneticPr fontId="6"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</si>
  <si>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</si>
  <si>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</si>
  <si>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</si>
  <si>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</si>
  <si>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</si>
  <si>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</si>
  <si>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</si>
  <si>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</si>
  <si>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</si>
  <si>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</si>
  <si>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</si>
  <si>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</si>
  <si>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工业</t>
    <phoneticPr fontId="7" type="noConversion"/>
  </si>
  <si>
    <t>工程进度</t>
  </si>
  <si>
    <t>生产用房</t>
  </si>
  <si>
    <t>估价对象容积率</t>
  </si>
  <si>
    <t>Ⅸ-密1</t>
  </si>
  <si>
    <t>容积率修正</t>
  </si>
  <si>
    <t>全部缴纳</t>
  </si>
  <si>
    <t>成本比率</t>
  </si>
  <si>
    <t>成本法</t>
  </si>
  <si>
    <t>已全部缴纳</t>
  </si>
  <si>
    <t>假设开发法</t>
  </si>
  <si>
    <t>一般</t>
  </si>
  <si>
    <t>较差</t>
  </si>
  <si>
    <t>总价</t>
  </si>
  <si>
    <t>万元</t>
  </si>
  <si>
    <t>地面单价</t>
  </si>
  <si>
    <r>
      <t>2022</t>
    </r>
    <r>
      <rPr>
        <sz val="10"/>
        <color indexed="8"/>
        <rFont val="宋体"/>
        <family val="3"/>
        <charset val="134"/>
      </rPr>
      <t>年复估价值</t>
    </r>
    <phoneticPr fontId="8" type="noConversion"/>
  </si>
  <si>
    <t>利息：取LPR</t>
  </si>
  <si>
    <t>与级别开发程度一致</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</si>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</sst>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47" fillId="2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179" fontId="46" fillId="6" borderId="0" xfId="0" applyNumberFormat="1" applyFont="1" applyFill="1" applyBorder="1" applyAlignment="1" applyProtection="1">
      <alignment horizontal="center" vertical="center"/>
    </xf>
    <xf numFmtId="10" fontId="98" fillId="18" borderId="1" xfId="0" applyNumberFormat="1" applyFont="1" applyFill="1" applyBorder="1" applyAlignment="1" applyProtection="1">
      <alignment horizontal="center" vertical="center"/>
      <protection locked="0"/>
    </xf>
    <xf numFmtId="10" fontId="98" fillId="18" borderId="24"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7" fontId="99" fillId="0" borderId="1" xfId="1"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98" fillId="18" borderId="1" xfId="0" applyNumberFormat="1" applyFont="1" applyFill="1" applyBorder="1" applyAlignment="1" applyProtection="1">
      <alignment vertical="center"/>
      <protection locked="0"/>
    </xf>
    <xf numFmtId="0" fontId="53" fillId="18" borderId="0"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163830</xdr:rowOff>
    </xdr:from>
    <xdr:to>
      <xdr:col>11</xdr:col>
      <xdr:colOff>228600</xdr:colOff>
      <xdr:row>70</xdr:row>
      <xdr:rowOff>96038</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536180"/>
          <a:ext cx="7772400" cy="4561358"/>
        </a:xfrm>
        <a:prstGeom prst="rect">
          <a:avLst/>
        </a:prstGeom>
      </xdr:spPr>
    </xdr:pic>
    <xdr:clientData/>
  </xdr:twoCellAnchor>
  <xdr:twoCellAnchor editAs="oneCell">
    <xdr:from>
      <xdr:col>0</xdr:col>
      <xdr:colOff>0</xdr:colOff>
      <xdr:row>70</xdr:row>
      <xdr:rowOff>163830</xdr:rowOff>
    </xdr:from>
    <xdr:to>
      <xdr:col>11</xdr:col>
      <xdr:colOff>228600</xdr:colOff>
      <xdr:row>101</xdr:row>
      <xdr:rowOff>166837</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165330"/>
          <a:ext cx="7772400" cy="5317957"/>
        </a:xfrm>
        <a:prstGeom prst="rect">
          <a:avLst/>
        </a:prstGeom>
      </xdr:spPr>
    </xdr:pic>
    <xdr:clientData/>
  </xdr:twoCellAnchor>
  <xdr:twoCellAnchor editAs="oneCell">
    <xdr:from>
      <xdr:col>0</xdr:col>
      <xdr:colOff>38100</xdr:colOff>
      <xdr:row>0</xdr:row>
      <xdr:rowOff>0</xdr:rowOff>
    </xdr:from>
    <xdr:to>
      <xdr:col>15</xdr:col>
      <xdr:colOff>152400</xdr:colOff>
      <xdr:row>24</xdr:row>
      <xdr:rowOff>0</xdr:rowOff>
    </xdr:to>
    <xdr:pic>
      <xdr:nvPicPr>
        <xdr:cNvPr id="9" name="图片 8"/>
        <xdr:cNvPicPr>
          <a:picLocks noChangeAspect="1"/>
        </xdr:cNvPicPr>
      </xdr:nvPicPr>
      <xdr:blipFill>
        <a:blip xmlns:r="http://schemas.openxmlformats.org/officeDocument/2006/relationships" r:embed="rId3"/>
        <a:stretch>
          <a:fillRect/>
        </a:stretch>
      </xdr:blipFill>
      <xdr:spPr>
        <a:xfrm>
          <a:off x="38100" y="0"/>
          <a:ext cx="10401300" cy="4114800"/>
        </a:xfrm>
        <a:prstGeom prst="rect">
          <a:avLst/>
        </a:prstGeom>
        <a:noFill/>
        <a:ln w="9525">
          <a:noFill/>
        </a:ln>
      </xdr:spPr>
    </xdr:pic>
    <xdr:clientData/>
  </xdr:twoCellAnchor>
  <xdr:twoCellAnchor editAs="oneCell">
    <xdr:from>
      <xdr:col>0</xdr:col>
      <xdr:colOff>252095</xdr:colOff>
      <xdr:row>26</xdr:row>
      <xdr:rowOff>0</xdr:rowOff>
    </xdr:from>
    <xdr:to>
      <xdr:col>9</xdr:col>
      <xdr:colOff>503555</xdr:colOff>
      <xdr:row>40</xdr:row>
      <xdr:rowOff>30480</xdr:rowOff>
    </xdr:to>
    <xdr:pic>
      <xdr:nvPicPr>
        <xdr:cNvPr id="10" name="图片 9"/>
        <xdr:cNvPicPr>
          <a:picLocks noChangeAspect="1"/>
        </xdr:cNvPicPr>
      </xdr:nvPicPr>
      <xdr:blipFill>
        <a:blip xmlns:r="http://schemas.openxmlformats.org/officeDocument/2006/relationships" r:embed="rId4"/>
        <a:stretch>
          <a:fillRect/>
        </a:stretch>
      </xdr:blipFill>
      <xdr:spPr>
        <a:xfrm>
          <a:off x="252095" y="4457700"/>
          <a:ext cx="6423660" cy="243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估价对象为北京市房地产，为所有。根据《国有土地使用证》[]，估价对象（分摊）出让国有建设用地使用权面积为18193.39平方米，建筑面积为37711.24平方米。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估价对象为北京市房地产,属开发建设的办公项目，该项目尚在开发建设中。根据《国有土地使用证》[]，估价对象（分摊）出让国有建设用地使用权面积为18193.39平方米，规划建筑面积为37711.24平方米。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为估价委托人在向上海浦发办理贷款手续过程中，确定房地产抵押贷款额度提供参考依据而评估房地产抵押价值。</v>
      </c>
    </row>
    <row r="12" spans="1:2" s="1199" customFormat="1">
      <c r="A12" s="1197" t="s">
        <v>528</v>
      </c>
      <c r="B12" s="1198" t="str">
        <f>'预评函-1'!A15</f>
        <v>2023年7月17日（评估专业人员实地查勘之日）</v>
      </c>
    </row>
    <row r="13" spans="1:2" s="1199" customFormat="1">
      <c r="A13" s="1197" t="s">
        <v>529</v>
      </c>
      <c r="B13" s="1198"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本次评估采用的主估价方法为成本法和假设开发法。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23517</v>
      </c>
    </row>
    <row r="21" spans="1:2" s="1199" customFormat="1">
      <c r="A21" s="1197" t="s">
        <v>537</v>
      </c>
      <c r="B21" s="1198">
        <f ca="1">'预评函-2'!D7</f>
        <v>6236</v>
      </c>
    </row>
    <row r="22" spans="1:2" s="1199" customFormat="1">
      <c r="A22" s="1197" t="s">
        <v>538</v>
      </c>
      <c r="B22" s="1198" t="str">
        <f ca="1">'预评函-2'!D6</f>
        <v>贰亿叁仟伍佰壹拾柒万元整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23517</v>
      </c>
    </row>
    <row r="31" spans="1:2" s="1199" customFormat="1">
      <c r="A31" s="1197" t="s">
        <v>576</v>
      </c>
      <c r="B31" s="1198">
        <f ca="1">'预评函-2'!D15</f>
        <v>6236</v>
      </c>
    </row>
    <row r="32" spans="1:2" s="1199" customFormat="1">
      <c r="A32" s="1197" t="s">
        <v>543</v>
      </c>
      <c r="B32" s="1198" t="str">
        <f ca="1">'预评函-2'!D14</f>
        <v>贰亿叁仟伍佰壹拾柒万元整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ht="31.2">
      <c r="A42" s="1197" t="s">
        <v>590</v>
      </c>
      <c r="B42" s="1198" t="str">
        <f>'预评函-3'!B2</f>
        <v>建筑面积</v>
      </c>
    </row>
    <row r="43" spans="1:2" s="1199" customFormat="1">
      <c r="A43" s="1197" t="s">
        <v>591</v>
      </c>
      <c r="B43" s="1198">
        <f>'预评函-3'!B4</f>
        <v>37711.240000000005</v>
      </c>
    </row>
    <row r="44" spans="1:2" s="1199" customFormat="1" ht="31.2">
      <c r="A44" s="1197" t="s">
        <v>575</v>
      </c>
      <c r="B44" s="1198" t="str">
        <f>'预评函-3'!C2</f>
        <v>(分摊)土地面积</v>
      </c>
    </row>
    <row r="45" spans="1:2" s="1199" customFormat="1">
      <c r="A45" s="1197" t="s">
        <v>547</v>
      </c>
      <c r="B45" s="1198">
        <f>'预评函-3'!C4</f>
        <v>18193.39</v>
      </c>
    </row>
    <row r="46" spans="1:2" s="1199" customFormat="1">
      <c r="A46" s="1197" t="s">
        <v>573</v>
      </c>
      <c r="B46" s="1198" t="str">
        <f>'预评函-3'!D2</f>
        <v>出让国有建设用地使用权价值</v>
      </c>
    </row>
    <row r="47" spans="1:2" s="1199" customFormat="1">
      <c r="A47" s="1197" t="s">
        <v>548</v>
      </c>
      <c r="B47" s="1198">
        <f ca="1">'预评函-3'!D4</f>
        <v>4845</v>
      </c>
    </row>
    <row r="48" spans="1:2" s="1199" customFormat="1">
      <c r="A48" s="1197" t="s">
        <v>549</v>
      </c>
      <c r="B48" s="1198">
        <f ca="1">'预评函-3'!E4</f>
        <v>1285</v>
      </c>
    </row>
    <row r="49" spans="1:2" s="1199" customFormat="1">
      <c r="A49" s="1197" t="s">
        <v>550</v>
      </c>
      <c r="B49" s="1198" t="str">
        <f ca="1">'预评函-3'!D5</f>
        <v>肆仟捌佰肆拾伍万元整</v>
      </c>
    </row>
    <row r="50" spans="1:2" s="1199" customFormat="1">
      <c r="A50" s="1197" t="s">
        <v>574</v>
      </c>
      <c r="B50" s="1198" t="str">
        <f>'预评函-3'!F2</f>
        <v>在建建筑物价值</v>
      </c>
    </row>
    <row r="51" spans="1:2" s="1199" customFormat="1">
      <c r="A51" s="1197" t="s">
        <v>551</v>
      </c>
      <c r="B51" s="1198">
        <f ca="1">'预评函-3'!F4</f>
        <v>18672</v>
      </c>
    </row>
    <row r="52" spans="1:2" s="1199" customFormat="1">
      <c r="A52" s="1197" t="s">
        <v>552</v>
      </c>
      <c r="B52" s="1198">
        <f ca="1">'预评函-3'!G4</f>
        <v>4951</v>
      </c>
    </row>
    <row r="53" spans="1:2" s="1199" customFormat="1">
      <c r="A53" s="1197" t="s">
        <v>580</v>
      </c>
      <c r="B53" s="1198" t="str">
        <f ca="1">'预评函-3'!F5</f>
        <v>壹亿捌仟陆佰柒拾贰万元整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2580</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2581</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2436</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为估价委托人在向上海浦发办理贷款手续过程中，确定房地产抵押贷款额度提供参考依据而评估房地产抵押价值。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上海浦发办理贷款手续。上海浦发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9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0" t="s">
        <v>385</v>
      </c>
      <c r="C54" s="1547" t="s">
        <v>583</v>
      </c>
    </row>
    <row r="55" spans="1:4">
      <c r="A55" s="3495"/>
      <c r="B55" s="1550" t="s">
        <v>386</v>
      </c>
      <c r="C55" s="1547" t="s">
        <v>584</v>
      </c>
    </row>
    <row r="56" spans="1:4">
      <c r="A56" s="3495"/>
      <c r="B56" s="1550" t="s">
        <v>387</v>
      </c>
      <c r="C56" s="1547" t="s">
        <v>588</v>
      </c>
    </row>
    <row r="57" spans="1:4">
      <c r="A57" s="349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1"/>
    <col min="8" max="8" width="5.44140625" style="3011" customWidth="1"/>
    <col min="9" max="13" width="9.44140625" style="3053" customWidth="1"/>
    <col min="14" max="18" width="9.44140625" style="3011" customWidth="1"/>
    <col min="19" max="16384" width="15.21875" style="3011"/>
  </cols>
  <sheetData>
    <row r="1" spans="1:18">
      <c r="A1" s="3008" t="s">
        <v>2503</v>
      </c>
      <c r="B1" s="3009"/>
      <c r="C1" s="3009"/>
      <c r="D1" s="3009"/>
      <c r="E1" s="3009"/>
      <c r="F1" s="3010"/>
      <c r="I1" s="3432" t="s">
        <v>2596</v>
      </c>
      <c r="J1" s="3221"/>
      <c r="K1" s="3221"/>
      <c r="L1" s="3221"/>
      <c r="M1" s="3221"/>
      <c r="N1" s="3433"/>
      <c r="O1" s="3433"/>
      <c r="P1" s="3433"/>
      <c r="Q1" s="3433"/>
      <c r="R1" s="3433"/>
    </row>
    <row r="2" spans="1:18">
      <c r="A2" s="3012"/>
      <c r="B2" s="3013"/>
      <c r="C2" s="3013"/>
      <c r="D2" s="3013"/>
      <c r="E2" s="3013"/>
      <c r="F2" s="3014"/>
      <c r="I2" s="3496" t="s">
        <v>2583</v>
      </c>
      <c r="J2" s="3496"/>
      <c r="K2" s="3496"/>
      <c r="L2" s="3496"/>
      <c r="M2" s="3496"/>
      <c r="N2" s="3496"/>
      <c r="O2" s="3496"/>
      <c r="P2" s="3496"/>
      <c r="Q2" s="3496"/>
      <c r="R2" s="3496"/>
    </row>
    <row r="3" spans="1:18">
      <c r="A3" s="3015" t="s">
        <v>2504</v>
      </c>
      <c r="B3" s="3016">
        <f>项目基本情况!D3</f>
        <v>45124</v>
      </c>
      <c r="C3" s="3018"/>
      <c r="D3" s="3018"/>
      <c r="E3" s="3018"/>
      <c r="F3" s="3014"/>
      <c r="I3" s="3434"/>
      <c r="J3" s="3434" t="s">
        <v>2587</v>
      </c>
      <c r="K3" s="3434" t="s">
        <v>2588</v>
      </c>
      <c r="L3" s="3434" t="s">
        <v>2589</v>
      </c>
      <c r="M3" s="3434" t="s">
        <v>2590</v>
      </c>
      <c r="N3" s="3435" t="s">
        <v>2591</v>
      </c>
      <c r="O3" s="3435" t="s">
        <v>2592</v>
      </c>
      <c r="P3" s="3435" t="s">
        <v>2593</v>
      </c>
      <c r="Q3" s="3435" t="s">
        <v>2594</v>
      </c>
      <c r="R3" s="3435" t="s">
        <v>2595</v>
      </c>
    </row>
    <row r="4" spans="1:18">
      <c r="A4" s="3015" t="s">
        <v>2505</v>
      </c>
      <c r="B4" s="3018" t="s">
        <v>2506</v>
      </c>
      <c r="C4" s="3018" t="s">
        <v>2507</v>
      </c>
      <c r="D4" s="3018" t="s">
        <v>2508</v>
      </c>
      <c r="E4" s="3018" t="s">
        <v>2509</v>
      </c>
      <c r="F4" s="3014"/>
      <c r="I4" s="3434" t="s">
        <v>2584</v>
      </c>
      <c r="J4" s="3434">
        <v>80</v>
      </c>
      <c r="K4" s="3434">
        <v>70</v>
      </c>
      <c r="L4" s="3434">
        <v>20</v>
      </c>
      <c r="M4" s="3434">
        <v>30</v>
      </c>
      <c r="N4" s="3018">
        <v>45</v>
      </c>
      <c r="O4" s="3018">
        <v>60</v>
      </c>
      <c r="P4" s="3018">
        <v>50</v>
      </c>
      <c r="Q4" s="3018">
        <v>20</v>
      </c>
      <c r="R4" s="3018">
        <v>375</v>
      </c>
    </row>
    <row r="5" spans="1:18">
      <c r="A5" s="3019">
        <v>40</v>
      </c>
      <c r="B5" s="3016">
        <v>46375</v>
      </c>
      <c r="C5" s="3018">
        <f>ROUNDDOWN(MIN((B5-B3)/365,A5),2)</f>
        <v>3.42</v>
      </c>
      <c r="D5" s="3020">
        <f>IF(ISERROR(ROUND(POWER(1+E5,A5-C5)*(POWER(1+E5,C5)-1)/(POWER(1+E5,A5)-1),3)),0,ROUND(POWER(1+E5,A5-C5)*(POWER(1+E5,C5)-1)/(POWER(1+E5,A5)-1),4))</f>
        <v>0.15859999999999999</v>
      </c>
      <c r="E5" s="3021">
        <v>0.04</v>
      </c>
      <c r="F5" s="3014"/>
      <c r="I5" s="3434" t="s">
        <v>2585</v>
      </c>
      <c r="J5" s="3434">
        <v>70</v>
      </c>
      <c r="K5" s="3434">
        <v>60</v>
      </c>
      <c r="L5" s="3434">
        <v>15</v>
      </c>
      <c r="M5" s="3434">
        <v>25</v>
      </c>
      <c r="N5" s="3018">
        <v>40</v>
      </c>
      <c r="O5" s="3018">
        <v>50</v>
      </c>
      <c r="P5" s="3018">
        <v>40</v>
      </c>
      <c r="Q5" s="3018">
        <v>15</v>
      </c>
      <c r="R5" s="3018">
        <v>315</v>
      </c>
    </row>
    <row r="6" spans="1:18">
      <c r="A6" s="3019">
        <v>50</v>
      </c>
      <c r="B6" s="3016">
        <v>50028</v>
      </c>
      <c r="C6" s="3018">
        <f>ROUNDDOWN(MIN((B6-B3)/365,A6),2)</f>
        <v>13.43</v>
      </c>
      <c r="D6" s="3020">
        <f>IF(ISERROR(ROUND(POWER(1+E6,A6-C6)*(POWER(1+E6,C6)-1)/(POWER(1+E6,A6)-1),3)),0,ROUND(POWER(1+E6,A6-C6)*(POWER(1+E6,C6)-1)/(POWER(1+E6,A6)-1),4))</f>
        <v>0.47649999999999998</v>
      </c>
      <c r="E6" s="3021">
        <v>0.04</v>
      </c>
      <c r="F6" s="3014"/>
      <c r="I6" s="3434" t="s">
        <v>2586</v>
      </c>
      <c r="J6" s="3434">
        <v>60</v>
      </c>
      <c r="K6" s="3434">
        <v>50</v>
      </c>
      <c r="L6" s="3434">
        <v>10</v>
      </c>
      <c r="M6" s="3434">
        <v>20</v>
      </c>
      <c r="N6" s="3018">
        <v>35</v>
      </c>
      <c r="O6" s="3018">
        <v>40</v>
      </c>
      <c r="P6" s="3018">
        <v>30</v>
      </c>
      <c r="Q6" s="3018">
        <v>10</v>
      </c>
      <c r="R6" s="3018">
        <v>255</v>
      </c>
    </row>
    <row r="7" spans="1:18">
      <c r="A7" s="3019">
        <v>70</v>
      </c>
      <c r="B7" s="3016">
        <v>57333</v>
      </c>
      <c r="C7" s="3018">
        <f>ROUNDDOWN(MIN((B7-B3)/365,A7),2)</f>
        <v>33.44</v>
      </c>
      <c r="D7" s="3020">
        <f>IF(ISERROR(ROUND(POWER(1+E7,A7-C7)*(POWER(1+E7,C7)-1)/(POWER(1+E7,A7)-1),3)),0,ROUND(POWER(1+E7,A7-C7)*(POWER(1+E7,C7)-1)/(POWER(1+E7,A7)-1),4))</f>
        <v>0.78069999999999995</v>
      </c>
      <c r="E7" s="3021">
        <v>0.04</v>
      </c>
      <c r="F7" s="3014"/>
    </row>
    <row r="8" spans="1:18">
      <c r="A8" s="3012"/>
      <c r="B8" s="3013"/>
      <c r="C8" s="3013"/>
      <c r="D8" s="3013"/>
      <c r="E8" s="3013"/>
      <c r="F8" s="3014"/>
    </row>
    <row r="9" spans="1:18">
      <c r="A9" s="3015" t="s">
        <v>2510</v>
      </c>
      <c r="B9" s="3018"/>
      <c r="C9" s="3018"/>
      <c r="D9" s="3018"/>
      <c r="E9" s="3018"/>
      <c r="F9" s="3022"/>
    </row>
    <row r="10" spans="1:18">
      <c r="A10" s="3015" t="s">
        <v>2511</v>
      </c>
      <c r="B10" s="3018"/>
      <c r="C10" s="3018"/>
      <c r="D10" s="3018" t="s">
        <v>2509</v>
      </c>
      <c r="E10" s="3018"/>
      <c r="F10" s="3022" t="s">
        <v>2508</v>
      </c>
    </row>
    <row r="11" spans="1:18">
      <c r="A11" s="3015" t="s">
        <v>2512</v>
      </c>
      <c r="B11" s="3023">
        <v>70</v>
      </c>
      <c r="C11" s="3018" t="s">
        <v>2513</v>
      </c>
      <c r="D11" s="3024">
        <v>4.4999999999999998E-2</v>
      </c>
      <c r="E11" s="3018" t="s">
        <v>2514</v>
      </c>
      <c r="F11" s="3025">
        <f>ROUND(1-(1/(POWER(1+D11,B11))),4)</f>
        <v>0.95409999999999995</v>
      </c>
    </row>
    <row r="12" spans="1:18">
      <c r="A12" s="3015" t="s">
        <v>2515</v>
      </c>
      <c r="B12" s="3023">
        <v>40</v>
      </c>
      <c r="C12" s="3018" t="s">
        <v>2516</v>
      </c>
      <c r="D12" s="3024">
        <v>4.4999999999999998E-2</v>
      </c>
      <c r="E12" s="3018" t="s">
        <v>2517</v>
      </c>
      <c r="F12" s="3025">
        <f>ROUND(1-(1/(POWER(1+D12,B12))),4)</f>
        <v>0.82809999999999995</v>
      </c>
    </row>
    <row r="13" spans="1:18">
      <c r="A13" s="3015" t="s">
        <v>2518</v>
      </c>
      <c r="B13" s="3018"/>
      <c r="C13" s="3018"/>
      <c r="D13" s="3013"/>
      <c r="E13" s="3013"/>
      <c r="F13" s="3014"/>
    </row>
    <row r="14" spans="1:18">
      <c r="A14" s="3015" t="s">
        <v>2519</v>
      </c>
      <c r="B14" s="3023">
        <v>5000</v>
      </c>
      <c r="C14" s="3017"/>
      <c r="D14" s="3013"/>
      <c r="E14" s="3013"/>
      <c r="F14" s="3014"/>
    </row>
    <row r="15" spans="1:18">
      <c r="A15" s="3015" t="s">
        <v>2520</v>
      </c>
      <c r="B15" s="3018">
        <f>ROUND(B14*F12/F11,2)</f>
        <v>4339.6899999999996</v>
      </c>
      <c r="C15" s="3018">
        <f>ROUND(F12/F11,4)</f>
        <v>0.8679</v>
      </c>
      <c r="D15" s="3013"/>
      <c r="E15" s="3013"/>
      <c r="F15" s="3014"/>
    </row>
    <row r="16" spans="1:18">
      <c r="A16" s="3015" t="s">
        <v>2521</v>
      </c>
      <c r="B16" s="3018"/>
      <c r="C16" s="3018"/>
      <c r="D16" s="3013"/>
      <c r="E16" s="3013"/>
      <c r="F16" s="3014"/>
    </row>
    <row r="17" spans="1:13">
      <c r="A17" s="3015" t="s">
        <v>2520</v>
      </c>
      <c r="B17" s="3024">
        <v>4810</v>
      </c>
      <c r="C17" s="3017"/>
      <c r="D17" s="3013"/>
      <c r="E17" s="3013"/>
      <c r="F17" s="3014"/>
    </row>
    <row r="18" spans="1:13" ht="15" thickBot="1">
      <c r="A18" s="3026" t="s">
        <v>2519</v>
      </c>
      <c r="B18" s="3027">
        <f>ROUND(B17*F11/F12,2)</f>
        <v>5541.87</v>
      </c>
      <c r="C18" s="3027">
        <f>ROUND(F11/F12,4)</f>
        <v>1.1521999999999999</v>
      </c>
      <c r="D18" s="3028"/>
      <c r="E18" s="3028"/>
      <c r="F18" s="3029"/>
    </row>
    <row r="19" spans="1:13" ht="15" thickBot="1"/>
    <row r="20" spans="1:13" s="3064" customFormat="1" ht="15" thickTop="1">
      <c r="A20" s="3061" t="s">
        <v>2522</v>
      </c>
      <c r="B20" s="3062"/>
      <c r="C20" s="3062"/>
      <c r="D20" s="3062"/>
      <c r="E20" s="3062"/>
      <c r="F20" s="3062"/>
      <c r="G20" s="3063"/>
      <c r="I20" s="3065" t="s">
        <v>2567</v>
      </c>
      <c r="J20" s="3065" t="s">
        <v>2572</v>
      </c>
      <c r="K20" s="3065"/>
      <c r="L20" s="3065"/>
      <c r="M20" s="3065"/>
    </row>
    <row r="21" spans="1:13">
      <c r="A21" s="3030"/>
      <c r="B21" s="3031" t="s">
        <v>2523</v>
      </c>
      <c r="C21" s="3031" t="s">
        <v>2524</v>
      </c>
      <c r="D21" s="3031" t="s">
        <v>2525</v>
      </c>
      <c r="E21" s="3031" t="s">
        <v>2526</v>
      </c>
      <c r="F21" s="3031" t="s">
        <v>2527</v>
      </c>
      <c r="G21" s="3032" t="s">
        <v>2528</v>
      </c>
      <c r="I21" s="3053">
        <v>5</v>
      </c>
      <c r="J21" s="3053">
        <v>54.2</v>
      </c>
    </row>
    <row r="22" spans="1:13">
      <c r="A22" s="3030" t="s">
        <v>2529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2570</v>
      </c>
      <c r="M23" s="3053" t="s">
        <v>2571</v>
      </c>
    </row>
    <row r="24" spans="1:13">
      <c r="A24" s="3030" t="s">
        <v>2531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2569</v>
      </c>
      <c r="M24" s="3053">
        <v>10</v>
      </c>
    </row>
    <row r="25" spans="1:13">
      <c r="A25" s="3030" t="s">
        <v>2532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2573</v>
      </c>
      <c r="M25" s="3053">
        <v>8</v>
      </c>
    </row>
    <row r="26" spans="1:13">
      <c r="A26" s="3035"/>
      <c r="B26" s="3036"/>
      <c r="C26" s="3036"/>
      <c r="D26" s="3036"/>
      <c r="E26" s="3036"/>
      <c r="F26" s="3036"/>
      <c r="G26" s="3037"/>
      <c r="I26" s="3053">
        <v>30</v>
      </c>
      <c r="J26" s="3053">
        <v>90.5</v>
      </c>
      <c r="K26" s="3053">
        <f t="shared" si="2"/>
        <v>4.2000000000000028</v>
      </c>
      <c r="L26" s="3053" t="s">
        <v>2574</v>
      </c>
      <c r="M26" s="3053">
        <v>5</v>
      </c>
    </row>
    <row r="27" spans="1:13">
      <c r="A27" s="3035" t="s">
        <v>2533</v>
      </c>
      <c r="B27" s="3036"/>
      <c r="C27" s="3036"/>
      <c r="D27" s="3036"/>
      <c r="E27" s="3036"/>
      <c r="F27" s="3036"/>
      <c r="G27" s="3037"/>
      <c r="I27" s="3053">
        <v>35</v>
      </c>
      <c r="J27" s="3053">
        <v>93.8</v>
      </c>
      <c r="K27" s="3053">
        <f t="shared" si="2"/>
        <v>3.2999999999999972</v>
      </c>
      <c r="L27" s="3053" t="s">
        <v>2575</v>
      </c>
      <c r="M27" s="3053">
        <v>3</v>
      </c>
    </row>
    <row r="28" spans="1:13">
      <c r="A28" s="3035" t="s">
        <v>2534</v>
      </c>
      <c r="B28" s="3036"/>
      <c r="C28" s="3036"/>
      <c r="D28" s="3036"/>
      <c r="E28" s="3036"/>
      <c r="F28" s="3036"/>
      <c r="G28" s="3037"/>
      <c r="I28" s="3053">
        <v>40</v>
      </c>
      <c r="J28" s="3053">
        <v>96.4</v>
      </c>
      <c r="K28" s="3053">
        <f t="shared" si="2"/>
        <v>2.6000000000000085</v>
      </c>
      <c r="L28" s="3053" t="s">
        <v>2576</v>
      </c>
      <c r="M28" s="3053">
        <v>2</v>
      </c>
    </row>
    <row r="29" spans="1:13">
      <c r="A29" s="3035" t="s">
        <v>2535</v>
      </c>
      <c r="B29" s="3036"/>
      <c r="C29" s="3036"/>
      <c r="D29" s="3036"/>
      <c r="E29" s="3036"/>
      <c r="F29" s="3036"/>
      <c r="G29" s="3037"/>
      <c r="I29" s="3053">
        <v>45</v>
      </c>
      <c r="J29" s="3053">
        <v>98.4</v>
      </c>
      <c r="K29" s="3053">
        <f t="shared" si="2"/>
        <v>2</v>
      </c>
    </row>
    <row r="30" spans="1:13">
      <c r="A30" s="3035" t="s">
        <v>2536</v>
      </c>
      <c r="B30" s="3036"/>
      <c r="C30" s="3036"/>
      <c r="D30" s="3036"/>
      <c r="E30" s="3036"/>
      <c r="F30" s="3036"/>
      <c r="G30" s="3037"/>
      <c r="I30" s="3053">
        <v>50</v>
      </c>
      <c r="J30" s="3053">
        <v>100</v>
      </c>
      <c r="K30" s="3053">
        <f t="shared" si="2"/>
        <v>1.5999999999999943</v>
      </c>
    </row>
    <row r="31" spans="1:13">
      <c r="A31" s="3035" t="s">
        <v>2537</v>
      </c>
      <c r="B31" s="3036"/>
      <c r="C31" s="3036"/>
      <c r="D31" s="3036"/>
      <c r="E31" s="3036"/>
      <c r="F31" s="3036"/>
      <c r="G31" s="3037"/>
      <c r="I31" s="3053" t="s">
        <v>2568</v>
      </c>
    </row>
    <row r="32" spans="1:13">
      <c r="A32" s="3035" t="s">
        <v>2538</v>
      </c>
      <c r="B32" s="3036"/>
      <c r="C32" s="3036"/>
      <c r="D32" s="3036"/>
      <c r="E32" s="3036"/>
      <c r="F32" s="3036"/>
      <c r="G32" s="3037"/>
    </row>
    <row r="33" spans="1:13">
      <c r="A33" s="3035" t="s">
        <v>2539</v>
      </c>
      <c r="B33" s="3036"/>
      <c r="C33" s="3036"/>
      <c r="D33" s="3036"/>
      <c r="E33" s="3036"/>
      <c r="F33" s="3036"/>
      <c r="G33" s="3037"/>
      <c r="I33" s="3053" t="s">
        <v>2567</v>
      </c>
      <c r="J33" s="3053" t="s">
        <v>2577</v>
      </c>
    </row>
    <row r="34" spans="1:13">
      <c r="A34" s="3035" t="s">
        <v>2540</v>
      </c>
      <c r="B34" s="3036"/>
      <c r="C34" s="3036"/>
      <c r="D34" s="3036"/>
      <c r="E34" s="3036"/>
      <c r="F34" s="3036"/>
      <c r="G34" s="3037"/>
      <c r="I34" s="3053">
        <v>5</v>
      </c>
      <c r="J34" s="3053">
        <v>55.1</v>
      </c>
    </row>
    <row r="35" spans="1:13">
      <c r="A35" s="3035" t="s">
        <v>2541</v>
      </c>
      <c r="B35" s="3036"/>
      <c r="C35" s="3036"/>
      <c r="D35" s="3036"/>
      <c r="E35" s="3036"/>
      <c r="F35" s="3036"/>
      <c r="G35" s="3037"/>
      <c r="I35" s="3053">
        <v>10</v>
      </c>
      <c r="J35" s="3053">
        <v>67</v>
      </c>
      <c r="K35" s="3053">
        <f>J35-J34</f>
        <v>11.899999999999999</v>
      </c>
    </row>
    <row r="36" spans="1:13">
      <c r="A36" s="3035" t="s">
        <v>2542</v>
      </c>
      <c r="B36" s="3036"/>
      <c r="C36" s="3036"/>
      <c r="D36" s="3036"/>
      <c r="E36" s="3036"/>
      <c r="F36" s="3036"/>
      <c r="G36" s="3037"/>
      <c r="I36" s="3053">
        <v>15</v>
      </c>
      <c r="J36" s="3053">
        <v>76.3</v>
      </c>
      <c r="K36" s="3053">
        <f t="shared" ref="K36:K41" si="3">J36-J35</f>
        <v>9.2999999999999972</v>
      </c>
      <c r="L36" s="3053" t="s">
        <v>2570</v>
      </c>
      <c r="M36" s="3053" t="s">
        <v>2571</v>
      </c>
    </row>
    <row r="37" spans="1:13">
      <c r="A37" s="3035" t="s">
        <v>2543</v>
      </c>
      <c r="B37" s="3036"/>
      <c r="C37" s="3036"/>
      <c r="D37" s="3036"/>
      <c r="E37" s="3036"/>
      <c r="F37" s="3036"/>
      <c r="G37" s="3037"/>
      <c r="I37" s="3053">
        <v>20</v>
      </c>
      <c r="J37" s="3053">
        <v>83.6</v>
      </c>
      <c r="K37" s="3053">
        <f t="shared" si="3"/>
        <v>7.2999999999999972</v>
      </c>
      <c r="L37" s="3053" t="s">
        <v>2569</v>
      </c>
      <c r="M37" s="3053">
        <v>10</v>
      </c>
    </row>
    <row r="38" spans="1:13">
      <c r="A38" s="3035" t="s">
        <v>2544</v>
      </c>
      <c r="B38" s="3036"/>
      <c r="C38" s="3036"/>
      <c r="D38" s="3036"/>
      <c r="E38" s="3036"/>
      <c r="F38" s="3036"/>
      <c r="G38" s="3037"/>
      <c r="I38" s="3053">
        <v>25</v>
      </c>
      <c r="J38" s="3053">
        <v>89.3</v>
      </c>
      <c r="K38" s="3053">
        <f t="shared" si="3"/>
        <v>5.7000000000000028</v>
      </c>
      <c r="L38" s="3053" t="s">
        <v>2573</v>
      </c>
      <c r="M38" s="3053">
        <v>8</v>
      </c>
    </row>
    <row r="39" spans="1:13">
      <c r="A39" s="3035"/>
      <c r="B39" s="3036"/>
      <c r="C39" s="3036"/>
      <c r="D39" s="3036"/>
      <c r="E39" s="3036"/>
      <c r="F39" s="3036"/>
      <c r="G39" s="3037"/>
      <c r="I39" s="3053">
        <v>30</v>
      </c>
      <c r="J39" s="3053">
        <v>93.8</v>
      </c>
      <c r="K39" s="3053">
        <f t="shared" si="3"/>
        <v>4.5</v>
      </c>
      <c r="L39" s="3053" t="s">
        <v>2574</v>
      </c>
      <c r="M39" s="3053">
        <v>6</v>
      </c>
    </row>
    <row r="40" spans="1:13">
      <c r="A40" s="3038" t="s">
        <v>2545</v>
      </c>
      <c r="B40" s="3039"/>
      <c r="C40" s="3039"/>
      <c r="D40" s="3039"/>
      <c r="E40" s="3039"/>
      <c r="F40" s="3039"/>
      <c r="G40" s="3040"/>
      <c r="I40" s="3053">
        <v>35</v>
      </c>
      <c r="J40" s="3053">
        <v>97.2</v>
      </c>
      <c r="K40" s="3053">
        <f t="shared" si="3"/>
        <v>3.4000000000000057</v>
      </c>
      <c r="L40" s="3053" t="s">
        <v>2575</v>
      </c>
      <c r="M40" s="3053">
        <v>3</v>
      </c>
    </row>
    <row r="41" spans="1:13">
      <c r="A41" s="3041" t="s">
        <v>2546</v>
      </c>
      <c r="B41" s="3042" t="s">
        <v>2547</v>
      </c>
      <c r="C41" s="3043" t="s">
        <v>2548</v>
      </c>
      <c r="D41" s="3043" t="s">
        <v>2549</v>
      </c>
      <c r="E41" s="3044"/>
      <c r="F41" s="3045"/>
      <c r="G41" s="3046"/>
      <c r="I41" s="3053">
        <v>40</v>
      </c>
      <c r="J41" s="3053">
        <v>100</v>
      </c>
      <c r="K41" s="3053">
        <f t="shared" si="3"/>
        <v>2.7999999999999972</v>
      </c>
    </row>
    <row r="42" spans="1:13">
      <c r="A42" s="3041" t="s">
        <v>2550</v>
      </c>
      <c r="B42" s="3042" t="s">
        <v>2551</v>
      </c>
      <c r="C42" s="3043" t="s">
        <v>2552</v>
      </c>
      <c r="D42" s="3047" t="s">
        <v>2553</v>
      </c>
      <c r="E42" s="3039" t="s">
        <v>2554</v>
      </c>
      <c r="F42" s="3039"/>
      <c r="G42" s="3040"/>
    </row>
    <row r="43" spans="1:13">
      <c r="A43" s="3041" t="s">
        <v>2555</v>
      </c>
      <c r="B43" s="3042" t="s">
        <v>2556</v>
      </c>
      <c r="C43" s="3043" t="s">
        <v>2557</v>
      </c>
      <c r="D43" s="3043" t="s">
        <v>2558</v>
      </c>
      <c r="E43" s="3044" t="s">
        <v>2559</v>
      </c>
      <c r="F43" s="3045"/>
      <c r="G43" s="3046"/>
      <c r="I43" s="3053" t="s">
        <v>2567</v>
      </c>
      <c r="J43" s="3053" t="s">
        <v>2578</v>
      </c>
    </row>
    <row r="44" spans="1:13">
      <c r="A44" s="3041" t="s">
        <v>2560</v>
      </c>
      <c r="B44" s="3042" t="s">
        <v>2561</v>
      </c>
      <c r="C44" s="3043" t="s">
        <v>2562</v>
      </c>
      <c r="D44" s="3047">
        <v>0.5</v>
      </c>
      <c r="E44" s="3044" t="s">
        <v>2563</v>
      </c>
      <c r="F44" s="3045"/>
      <c r="G44" s="3046"/>
      <c r="I44" s="3053">
        <v>30</v>
      </c>
      <c r="J44" s="3053">
        <v>81.7</v>
      </c>
    </row>
    <row r="45" spans="1:13" ht="15" thickBot="1">
      <c r="A45" s="3048" t="s">
        <v>2564</v>
      </c>
      <c r="B45" s="3049" t="s">
        <v>2551</v>
      </c>
      <c r="C45" s="3050" t="s">
        <v>2551</v>
      </c>
      <c r="D45" s="3050" t="s">
        <v>2565</v>
      </c>
      <c r="E45" s="3051" t="s">
        <v>2566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3" customWidth="1"/>
    <col min="12" max="13" width="10" style="2624"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466"/>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2169</v>
      </c>
      <c r="B2" s="2367"/>
      <c r="C2" s="2368"/>
      <c r="D2" s="2665"/>
      <c r="E2" s="2657"/>
      <c r="F2" s="2657"/>
      <c r="G2" s="2658"/>
      <c r="H2" s="2658"/>
      <c r="I2" s="2658"/>
      <c r="J2" s="2466"/>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2170</v>
      </c>
      <c r="B3" s="2369">
        <v>45124</v>
      </c>
      <c r="C3" s="2370" t="s">
        <v>2171</v>
      </c>
      <c r="D3" s="2369">
        <f>B3</f>
        <v>45124</v>
      </c>
      <c r="E3" s="2658"/>
      <c r="F3" s="2658"/>
      <c r="G3" s="2658"/>
      <c r="H3" s="2658"/>
      <c r="I3" s="2658"/>
      <c r="J3" s="2466"/>
      <c r="K3" s="2364"/>
      <c r="L3" s="2365"/>
      <c r="M3" s="2365"/>
      <c r="N3" s="2366"/>
      <c r="O3" s="1572"/>
      <c r="P3" s="2366"/>
      <c r="Q3" s="2366"/>
      <c r="R3" s="2366"/>
      <c r="S3" s="1678"/>
      <c r="T3" s="1741"/>
      <c r="U3" s="1741"/>
      <c r="V3" s="1741"/>
      <c r="W3" s="1741"/>
      <c r="X3" s="1741"/>
      <c r="Y3" s="1741"/>
      <c r="Z3" s="1741"/>
      <c r="AA3" s="1741"/>
      <c r="AB3" s="1741"/>
    </row>
    <row r="4" spans="1:30" ht="13.8" thickBot="1">
      <c r="A4" s="1088"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4"/>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2173</v>
      </c>
      <c r="B5" s="2376"/>
      <c r="C5" s="2377"/>
      <c r="D5" s="2378"/>
      <c r="E5" s="2659"/>
      <c r="F5" s="2659"/>
      <c r="G5" s="2659"/>
      <c r="H5" s="2659"/>
      <c r="I5" s="2659"/>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3451" t="s">
        <v>3439</v>
      </c>
      <c r="C6" s="2380"/>
      <c r="D6" s="2381"/>
      <c r="E6" s="2657"/>
      <c r="F6" s="2659"/>
      <c r="G6" s="2659"/>
      <c r="H6" s="2659"/>
      <c r="I6" s="2659"/>
      <c r="J6" s="2434"/>
      <c r="K6" s="2610" t="str">
        <f>IF(COUNTIF(B6,"*上海银行*"),"上海银行","")</f>
        <v/>
      </c>
      <c r="L6" s="2608"/>
      <c r="M6" s="2608"/>
      <c r="N6" s="2434"/>
      <c r="O6" s="2445"/>
      <c r="P6" s="2434"/>
      <c r="Q6" s="2434"/>
      <c r="R6" s="2434"/>
    </row>
    <row r="7" spans="1:30">
      <c r="A7" s="2379" t="s">
        <v>2175</v>
      </c>
      <c r="B7" s="2382"/>
      <c r="C7" s="2380"/>
      <c r="D7" s="2381"/>
      <c r="E7" s="2657"/>
      <c r="F7" s="2659"/>
      <c r="G7" s="2659"/>
      <c r="H7" s="2659"/>
      <c r="I7" s="2659"/>
      <c r="J7" s="2434"/>
      <c r="K7" s="2611"/>
      <c r="L7" s="2608"/>
      <c r="M7" s="2608"/>
      <c r="N7" s="2434"/>
      <c r="O7" s="2445"/>
      <c r="P7" s="2434"/>
      <c r="Q7" s="2434"/>
      <c r="R7" s="2434"/>
    </row>
    <row r="8" spans="1:30">
      <c r="A8" s="2383" t="s">
        <v>2176</v>
      </c>
      <c r="B8" s="2384" t="s">
        <v>3377</v>
      </c>
      <c r="C8" s="2385"/>
      <c r="D8" s="3500" t="s">
        <v>2177</v>
      </c>
      <c r="E8" s="2386" t="s">
        <v>3378</v>
      </c>
      <c r="F8" s="2387"/>
      <c r="G8" s="2658"/>
      <c r="H8" s="2658"/>
      <c r="I8" s="2658"/>
      <c r="J8" s="2434"/>
      <c r="K8" s="2609"/>
      <c r="L8" s="2608"/>
      <c r="M8" s="2608"/>
      <c r="N8" s="2434"/>
      <c r="O8" s="2445"/>
      <c r="P8" s="2434"/>
      <c r="Q8" s="2434"/>
      <c r="R8" s="2434"/>
    </row>
    <row r="9" spans="1:30" ht="13.8" thickBot="1">
      <c r="A9" s="2388" t="s">
        <v>2178</v>
      </c>
      <c r="B9" s="2389" t="s">
        <v>3378</v>
      </c>
      <c r="C9" s="2390"/>
      <c r="D9" s="3501"/>
      <c r="E9" s="2389"/>
      <c r="F9" s="2391"/>
      <c r="G9" s="2660"/>
      <c r="H9" s="2660"/>
      <c r="I9" s="2660"/>
      <c r="J9" s="2434"/>
      <c r="K9" s="2611"/>
      <c r="L9" s="2608"/>
      <c r="M9" s="2608"/>
      <c r="N9" s="2434"/>
      <c r="O9" s="2445"/>
      <c r="P9" s="2434"/>
      <c r="Q9" s="2434"/>
      <c r="R9" s="2434"/>
    </row>
    <row r="10" spans="1:30" ht="13.8" thickTop="1">
      <c r="A10" s="2392" t="s">
        <v>2179</v>
      </c>
      <c r="B10" s="2393" t="s">
        <v>3379</v>
      </c>
      <c r="C10" s="2394"/>
      <c r="D10" s="2378"/>
      <c r="E10" s="2395" t="s">
        <v>2180</v>
      </c>
      <c r="F10" s="2661"/>
      <c r="G10" s="2662"/>
      <c r="H10" s="2663"/>
      <c r="I10" s="2664"/>
      <c r="J10" s="2434"/>
      <c r="K10" s="2611"/>
      <c r="L10" s="2608"/>
      <c r="M10" s="2608"/>
      <c r="N10" s="2434"/>
      <c r="O10" s="2445"/>
      <c r="P10" s="2434"/>
      <c r="Q10" s="2434"/>
      <c r="R10" s="2434"/>
    </row>
    <row r="11" spans="1:30">
      <c r="A11" s="2396" t="s">
        <v>2181</v>
      </c>
      <c r="B11" s="2397" t="s">
        <v>3431</v>
      </c>
      <c r="C11" s="2398"/>
      <c r="D11" s="2399"/>
      <c r="E11" s="2366"/>
      <c r="F11" s="2366"/>
      <c r="G11" s="2366"/>
      <c r="H11" s="2366"/>
      <c r="I11" s="2366"/>
      <c r="J11" s="3056"/>
      <c r="K11" s="3055"/>
      <c r="L11" s="2608"/>
      <c r="M11" s="2608"/>
      <c r="N11" s="2434"/>
      <c r="O11" s="2445"/>
      <c r="P11" s="2434"/>
      <c r="Q11" s="2434"/>
      <c r="R11" s="2434"/>
    </row>
    <row r="12" spans="1:30">
      <c r="A12" s="2400" t="s">
        <v>2182</v>
      </c>
      <c r="B12" s="322" t="s">
        <v>2183</v>
      </c>
      <c r="C12" s="2401" t="s">
        <v>2184</v>
      </c>
      <c r="D12" s="2401" t="s">
        <v>2185</v>
      </c>
      <c r="E12" s="2401" t="s">
        <v>2186</v>
      </c>
      <c r="F12" s="2401" t="s">
        <v>2187</v>
      </c>
      <c r="G12" s="2401" t="s">
        <v>2188</v>
      </c>
      <c r="H12" s="2401" t="s">
        <v>2189</v>
      </c>
      <c r="I12" s="3054" t="s">
        <v>2579</v>
      </c>
      <c r="J12" s="3057"/>
      <c r="K12" s="2608"/>
      <c r="L12" s="2608"/>
      <c r="M12" s="2434"/>
      <c r="N12" s="2445"/>
      <c r="O12" s="2434"/>
      <c r="P12" s="2434"/>
      <c r="Q12" s="2434"/>
      <c r="AD12" s="1741"/>
    </row>
    <row r="13" spans="1:30">
      <c r="A13" s="3418" t="s">
        <v>3337</v>
      </c>
      <c r="B13" s="2402" t="s">
        <v>2190</v>
      </c>
      <c r="C13" s="854"/>
      <c r="D13" s="854"/>
      <c r="E13" s="854"/>
      <c r="F13" s="854"/>
      <c r="G13" s="854"/>
      <c r="H13" s="854">
        <v>57526</v>
      </c>
      <c r="I13" s="854"/>
      <c r="J13" s="3057"/>
      <c r="K13" s="2608"/>
      <c r="L13" s="2608"/>
      <c r="M13" s="2434"/>
      <c r="N13" s="2445"/>
      <c r="O13" s="2434"/>
      <c r="P13" s="2434"/>
      <c r="Q13" s="2434"/>
      <c r="AD13" s="1741"/>
    </row>
    <row r="14" spans="1:30">
      <c r="A14" s="1079"/>
      <c r="B14" s="2402" t="s">
        <v>2191</v>
      </c>
      <c r="C14" s="2403"/>
      <c r="D14" s="2403"/>
      <c r="E14" s="2403"/>
      <c r="F14" s="2403"/>
      <c r="G14" s="2403"/>
      <c r="H14" s="2403">
        <v>50</v>
      </c>
      <c r="I14" s="2403"/>
      <c r="J14" s="3058"/>
      <c r="K14" s="2608"/>
      <c r="L14" s="2608"/>
      <c r="M14" s="2434"/>
      <c r="N14" s="2445"/>
      <c r="O14" s="2434"/>
      <c r="P14" s="2434"/>
      <c r="Q14" s="2434"/>
      <c r="AD14" s="1741"/>
    </row>
    <row r="15" spans="1:30">
      <c r="A15" s="319"/>
      <c r="B15" s="2404" t="s">
        <v>2192</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f>IF(A13="出让",IF(H13="","",ROUNDDOWN(MIN((H13-$D$3)/365,H14),2)),H14)</f>
        <v>33.97</v>
      </c>
      <c r="I15" s="2405" t="str">
        <f>IF(A13="出让",IF(I13="","",ROUNDDOWN(MIN((I13-$D$3)/365,I14),2)),I14)</f>
        <v/>
      </c>
      <c r="J15" s="3059"/>
      <c r="K15" s="2446"/>
      <c r="L15" s="2446"/>
      <c r="M15" s="2504"/>
      <c r="N15" s="2446"/>
      <c r="O15" s="2504"/>
      <c r="P15" s="2434"/>
      <c r="Q15" s="2434"/>
      <c r="AD15" s="1741"/>
    </row>
    <row r="16" spans="1:30">
      <c r="A16" s="2395" t="s">
        <v>2193</v>
      </c>
      <c r="B16" s="3507"/>
      <c r="C16" s="3508"/>
      <c r="D16" s="3509"/>
      <c r="E16" s="2408" t="s">
        <v>2194</v>
      </c>
      <c r="F16" s="3510"/>
      <c r="G16" s="3511"/>
      <c r="H16" s="3511"/>
      <c r="I16" s="3512"/>
      <c r="J16" s="2434"/>
      <c r="K16" s="2612"/>
      <c r="L16" s="2446"/>
      <c r="M16" s="2446"/>
      <c r="N16" s="2504"/>
      <c r="O16" s="2446"/>
      <c r="P16" s="2504"/>
      <c r="Q16" s="2434"/>
      <c r="R16" s="2434"/>
    </row>
    <row r="17" spans="1:28">
      <c r="A17" s="312" t="s">
        <v>2195</v>
      </c>
      <c r="B17" s="301" t="s">
        <v>2196</v>
      </c>
      <c r="C17" s="8">
        <f>'数据-汇总表'!E3</f>
        <v>37711.240000000005</v>
      </c>
      <c r="D17" s="2318" t="s">
        <v>2197</v>
      </c>
      <c r="E17" s="3513" t="s">
        <v>2198</v>
      </c>
      <c r="F17" s="3514"/>
      <c r="G17" s="3514"/>
      <c r="H17" s="3514"/>
      <c r="I17" s="3515"/>
      <c r="J17" s="2434"/>
      <c r="K17" s="2613"/>
      <c r="L17" s="2446"/>
      <c r="M17" s="2446"/>
      <c r="N17" s="2504"/>
      <c r="O17" s="2446"/>
      <c r="P17" s="2504"/>
      <c r="Q17" s="2434"/>
      <c r="R17" s="2434"/>
      <c r="S17" s="2434"/>
      <c r="T17" s="2434"/>
      <c r="U17" s="2434"/>
      <c r="V17" s="2434"/>
    </row>
    <row r="18" spans="1:28" ht="24.6" thickBot="1">
      <c r="A18" s="2409" t="s">
        <v>2199</v>
      </c>
      <c r="B18" s="1088" t="s">
        <v>2200</v>
      </c>
      <c r="C18" s="2410">
        <f>'数据-汇总表'!D3</f>
        <v>18193.39</v>
      </c>
      <c r="D18" s="1090" t="s">
        <v>2201</v>
      </c>
      <c r="E18" s="3516" t="s">
        <v>2202</v>
      </c>
      <c r="F18" s="3517"/>
      <c r="G18" s="3517"/>
      <c r="H18" s="3517"/>
      <c r="I18" s="3518"/>
      <c r="J18" s="2434"/>
      <c r="K18" s="2613"/>
      <c r="L18" s="2446"/>
      <c r="M18" s="2446"/>
      <c r="N18" s="2504"/>
      <c r="O18" s="2446"/>
      <c r="P18" s="2504"/>
      <c r="Q18" s="2434"/>
      <c r="R18" s="2434"/>
      <c r="S18" s="2434"/>
      <c r="T18" s="2434"/>
      <c r="U18" s="2434"/>
      <c r="V18" s="2434"/>
    </row>
    <row r="19" spans="1:28" ht="37.200000000000003" thickTop="1" thickBot="1">
      <c r="A19" s="326" t="s">
        <v>1055</v>
      </c>
      <c r="B19" s="306" t="s">
        <v>2203</v>
      </c>
      <c r="C19" s="1559" t="s">
        <v>3380</v>
      </c>
      <c r="D19" s="1560" t="s">
        <v>2204</v>
      </c>
      <c r="E19" s="1561"/>
      <c r="F19" s="1562" t="str">
        <f>IF(AND(C19="是",E19="否"),"是否提供他项权证或相关说明","")</f>
        <v/>
      </c>
      <c r="G19" s="1563"/>
      <c r="H19" s="2659"/>
      <c r="I19" s="2659"/>
      <c r="J19" s="2434"/>
      <c r="K19" s="2611"/>
      <c r="L19" s="2608"/>
      <c r="M19" s="2608"/>
      <c r="N19" s="2504"/>
      <c r="O19" s="2446"/>
      <c r="P19" s="2504"/>
      <c r="Q19" s="2434"/>
      <c r="R19" s="2434"/>
      <c r="S19" s="2434"/>
      <c r="T19" s="2434"/>
      <c r="U19" s="2434"/>
      <c r="V19" s="2434"/>
    </row>
    <row r="20" spans="1:28">
      <c r="A20" s="2627" t="s">
        <v>2205</v>
      </c>
      <c r="B20" s="3503" t="s">
        <v>2206</v>
      </c>
      <c r="C20" s="3504"/>
      <c r="D20" s="3505" t="s">
        <v>2207</v>
      </c>
      <c r="E20" s="3506"/>
      <c r="F20" s="2642" t="s">
        <v>1056</v>
      </c>
      <c r="G20" s="2659"/>
      <c r="H20" s="2659"/>
      <c r="I20" s="2659"/>
      <c r="J20" s="2434"/>
      <c r="K20" s="350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36.6" thickBot="1">
      <c r="A21" s="2627"/>
      <c r="B21" s="2628" t="s">
        <v>2209</v>
      </c>
      <c r="C21" s="2629" t="s">
        <v>1057</v>
      </c>
      <c r="D21" s="1564" t="s">
        <v>2210</v>
      </c>
      <c r="E21" s="2630" t="s">
        <v>1057</v>
      </c>
      <c r="F21" s="2643"/>
      <c r="G21" s="2659"/>
      <c r="H21" s="2659"/>
      <c r="I21" s="2659"/>
      <c r="J21" s="2434"/>
      <c r="K21" s="350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7"/>
      <c r="O21" s="2406"/>
      <c r="P21" s="2407"/>
      <c r="Q21" s="2366"/>
      <c r="R21" s="2366"/>
      <c r="S21" s="2366"/>
      <c r="T21" s="2366"/>
      <c r="U21" s="2366"/>
      <c r="V21" s="2366"/>
      <c r="W21" s="1741"/>
      <c r="X21" s="1741"/>
      <c r="Y21" s="1741"/>
      <c r="Z21" s="1741"/>
      <c r="AA21" s="1741"/>
      <c r="AB21" s="1741"/>
    </row>
    <row r="22" spans="1:28" ht="36.6" thickBot="1">
      <c r="A22" s="2627"/>
      <c r="B22" s="2631" t="s">
        <v>2211</v>
      </c>
      <c r="C22" s="2629" t="s">
        <v>1058</v>
      </c>
      <c r="D22" s="2658"/>
      <c r="E22" s="2658"/>
      <c r="F22" s="2658"/>
      <c r="G22" s="2659"/>
      <c r="H22" s="2659"/>
      <c r="I22" s="2659"/>
      <c r="J22" s="2434"/>
      <c r="K22" s="350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8"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8" thickTop="1">
      <c r="A27" s="3520" t="s">
        <v>2214</v>
      </c>
      <c r="B27" s="319" t="s">
        <v>2215</v>
      </c>
      <c r="C27" s="2411" t="s">
        <v>3382</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20"/>
      <c r="B28" s="301" t="s">
        <v>2216</v>
      </c>
      <c r="C28" s="2413" t="s">
        <v>3383</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520"/>
      <c r="B29" s="301" t="s">
        <v>2217</v>
      </c>
      <c r="C29" s="2415" t="s">
        <v>3380</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521"/>
      <c r="B30" s="301" t="s">
        <v>2218</v>
      </c>
      <c r="C30" s="3522"/>
      <c r="D30" s="3523"/>
      <c r="E30" s="2659"/>
      <c r="F30" s="2659"/>
      <c r="G30" s="2659"/>
      <c r="H30" s="2659"/>
      <c r="I30" s="2659"/>
      <c r="J30" s="2434"/>
      <c r="K30" s="2611"/>
      <c r="L30" s="2608"/>
      <c r="M30" s="2608"/>
      <c r="N30" s="2434"/>
      <c r="O30" s="2445"/>
      <c r="P30" s="2434"/>
      <c r="Q30" s="2434"/>
      <c r="R30" s="2434"/>
      <c r="S30" s="2434"/>
      <c r="T30" s="2434"/>
      <c r="U30" s="2434"/>
      <c r="V30" s="2434"/>
    </row>
    <row r="31" spans="1:28">
      <c r="A31" s="3524" t="s">
        <v>2219</v>
      </c>
      <c r="B31" s="2417" t="s">
        <v>3381</v>
      </c>
      <c r="C31" s="2319" t="str">
        <f>IF(B31="现房","成新及维护状况正常否",IF(B31="在建","工程状态是否正常",IF(B31="土地","是否闲置","-")))</f>
        <v>成新及维护状况正常否</v>
      </c>
      <c r="D31" s="1369"/>
      <c r="E31" s="2418"/>
      <c r="F31" s="2659"/>
      <c r="G31" s="2659"/>
      <c r="H31" s="2659"/>
      <c r="I31" s="2659"/>
      <c r="J31" s="2434"/>
      <c r="K31" s="2610"/>
      <c r="L31" s="2608"/>
      <c r="M31" s="2608"/>
      <c r="N31" s="2434"/>
      <c r="O31" s="2445"/>
      <c r="P31" s="2434"/>
      <c r="Q31" s="2434"/>
      <c r="R31" s="2434"/>
      <c r="S31" s="2434"/>
      <c r="T31" s="2434"/>
      <c r="U31" s="2434"/>
      <c r="V31" s="2434"/>
    </row>
    <row r="32" spans="1:28">
      <c r="A32" s="3525"/>
      <c r="B32" s="2417"/>
      <c r="C32" s="2319" t="str">
        <f>IF(B32="现房","成新及维护状况是否正常",IF(B32="在建","工程状态是否正常",IF(B32="土地","是否闲置","-")))</f>
        <v>-</v>
      </c>
      <c r="D32" s="1369"/>
      <c r="E32" s="2418"/>
      <c r="F32" s="2659"/>
      <c r="G32" s="2659"/>
      <c r="H32" s="2659"/>
      <c r="I32" s="2659"/>
      <c r="J32" s="2434"/>
      <c r="K32" s="2611"/>
      <c r="L32" s="2608"/>
      <c r="M32" s="2608"/>
      <c r="N32" s="2434"/>
      <c r="O32" s="2445"/>
      <c r="P32" s="2434"/>
      <c r="Q32" s="2434"/>
      <c r="R32" s="2434"/>
      <c r="S32" s="2434"/>
      <c r="T32" s="2434"/>
      <c r="U32" s="2434"/>
      <c r="V32" s="2434"/>
    </row>
    <row r="33" spans="1:30">
      <c r="A33" s="3525"/>
      <c r="B33" s="2420"/>
      <c r="C33" s="1586" t="str">
        <f>IF(B33="现房","成新及维护状况是否正常",IF(B33="在建","工程状态是否正常",IF(B33="土地","是否闲置","-")))</f>
        <v>-</v>
      </c>
      <c r="D33" s="1361"/>
      <c r="E33" s="2421"/>
      <c r="F33" s="2659"/>
      <c r="G33" s="2659"/>
      <c r="H33" s="2659"/>
      <c r="I33" s="2659"/>
      <c r="J33" s="2434"/>
      <c r="K33" s="2611"/>
      <c r="L33" s="2608"/>
      <c r="M33" s="2608"/>
      <c r="N33" s="2434"/>
      <c r="O33" s="2445"/>
      <c r="P33" s="2434"/>
      <c r="Q33" s="2434"/>
      <c r="R33" s="2434"/>
      <c r="S33" s="2434"/>
      <c r="T33" s="2434"/>
      <c r="U33" s="2434"/>
      <c r="V33" s="2434"/>
    </row>
    <row r="34" spans="1:30">
      <c r="A34" s="301" t="s">
        <v>2220</v>
      </c>
      <c r="B34" s="2022" t="s">
        <v>3384</v>
      </c>
      <c r="C34" s="2022" t="s">
        <v>3385</v>
      </c>
      <c r="D34" s="2022" t="s">
        <v>3386</v>
      </c>
      <c r="E34" s="2022" t="s">
        <v>3387</v>
      </c>
      <c r="F34" s="2022" t="s">
        <v>3388</v>
      </c>
      <c r="G34" s="2022"/>
      <c r="H34" s="2022"/>
      <c r="I34" s="2659"/>
      <c r="J34" s="2434"/>
      <c r="K34" s="2422">
        <f>COUNTIF(B34:H34,"——")</f>
        <v>0</v>
      </c>
      <c r="L34" s="322" t="s">
        <v>2221</v>
      </c>
      <c r="M34" s="322" t="s">
        <v>2222</v>
      </c>
      <c r="N34" s="322" t="s">
        <v>2223</v>
      </c>
      <c r="O34" s="322" t="s">
        <v>2224</v>
      </c>
      <c r="P34" s="322" t="s">
        <v>2225</v>
      </c>
      <c r="Q34" s="322" t="s">
        <v>2226</v>
      </c>
      <c r="R34" s="322" t="s">
        <v>2227</v>
      </c>
      <c r="S34" s="3519" t="s">
        <v>2228</v>
      </c>
      <c r="T34" s="2423" t="str">
        <f>NUMBERSTRING(7-K34,1)&amp;"通"</f>
        <v>七通</v>
      </c>
      <c r="U34" s="2434"/>
      <c r="V34" s="2434"/>
    </row>
    <row r="35" spans="1:30">
      <c r="A35" s="2424"/>
      <c r="B35" s="3526" t="s">
        <v>2229</v>
      </c>
      <c r="C35" s="3526"/>
      <c r="D35" s="3526"/>
      <c r="E35" s="3526"/>
      <c r="F35" s="663">
        <f>C10</f>
        <v>0</v>
      </c>
      <c r="G35" s="2659"/>
      <c r="H35" s="2659"/>
      <c r="I35" s="2659"/>
      <c r="J35" s="2434"/>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v>
      </c>
      <c r="S35" s="3519"/>
      <c r="T35" s="328" t="str">
        <f>IF(T34="一通",L35,IF(T34="二通",M35,IF(T34="三通",N35,IF(T34="四通",O35,IF(T34="五通",P35,IF(T34="六通",Q35,R35))))))</f>
        <v>通路、通电、通讯、通上水、通下水、、</v>
      </c>
      <c r="U35" s="2434"/>
      <c r="V35" s="2434"/>
    </row>
    <row r="36" spans="1:30">
      <c r="A36" s="2425"/>
      <c r="B36" s="663" t="s">
        <v>2185</v>
      </c>
      <c r="C36" s="663" t="s">
        <v>2186</v>
      </c>
      <c r="D36" s="663" t="s">
        <v>2184</v>
      </c>
      <c r="E36" s="663" t="s">
        <v>2189</v>
      </c>
      <c r="F36" s="3060" t="s">
        <v>2582</v>
      </c>
      <c r="G36" s="2659"/>
      <c r="H36" s="2659"/>
      <c r="I36" s="2659"/>
      <c r="J36" s="2434"/>
      <c r="K36" s="2611"/>
      <c r="L36" s="2608"/>
      <c r="M36" s="2608"/>
      <c r="N36" s="2434"/>
      <c r="O36" s="2445"/>
      <c r="P36" s="2434"/>
      <c r="Q36" s="2434"/>
      <c r="R36" s="2434"/>
      <c r="S36" s="2434"/>
      <c r="T36" s="2434"/>
      <c r="U36" s="2434"/>
      <c r="V36" s="2434"/>
    </row>
    <row r="37" spans="1:30">
      <c r="A37" s="2625" t="s">
        <v>2230</v>
      </c>
      <c r="B37" s="2426"/>
      <c r="C37" s="2426"/>
      <c r="D37" s="2426"/>
      <c r="E37" s="2426" t="s">
        <v>306</v>
      </c>
      <c r="F37" s="2426"/>
      <c r="G37" s="2659"/>
      <c r="H37" s="2659"/>
      <c r="I37" s="2659"/>
      <c r="J37" s="2434"/>
      <c r="K37" s="2611"/>
      <c r="L37" s="2608"/>
      <c r="M37" s="2608"/>
      <c r="N37" s="2434"/>
      <c r="O37" s="2445"/>
      <c r="P37" s="2434"/>
      <c r="Q37" s="2434"/>
      <c r="R37" s="2434"/>
      <c r="S37" s="2434"/>
      <c r="T37" s="2434"/>
      <c r="U37" s="2434"/>
      <c r="V37" s="2434"/>
    </row>
    <row r="38" spans="1:30" ht="13.8" thickBot="1">
      <c r="A38" s="2626" t="s">
        <v>2231</v>
      </c>
      <c r="B38" s="2427"/>
      <c r="C38" s="2427"/>
      <c r="D38" s="2427"/>
      <c r="E38" s="2427" t="s">
        <v>3456</v>
      </c>
      <c r="F38" s="2427"/>
      <c r="G38" s="2660"/>
      <c r="H38" s="2660"/>
      <c r="I38" s="2660"/>
      <c r="J38" s="2434"/>
      <c r="K38" s="2611"/>
      <c r="L38" s="2608"/>
      <c r="M38" s="2608"/>
      <c r="N38" s="2434"/>
      <c r="O38" s="2445"/>
      <c r="P38" s="2434"/>
      <c r="Q38" s="2434"/>
      <c r="R38" s="2434"/>
      <c r="S38" s="2434"/>
      <c r="T38" s="2434"/>
      <c r="U38" s="2434"/>
      <c r="V38" s="2434"/>
    </row>
    <row r="39" spans="1:30" s="2430" customFormat="1" ht="14.4"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4"/>
      <c r="J40" s="2504"/>
      <c r="K40" s="2610"/>
      <c r="L40" s="2446"/>
      <c r="M40" s="2446"/>
      <c r="N40" s="2504"/>
      <c r="O40" s="2446"/>
      <c r="P40" s="2434"/>
      <c r="Q40" s="2434"/>
      <c r="R40" s="2434"/>
      <c r="S40" s="2434"/>
      <c r="T40" s="2434"/>
      <c r="U40" s="2434"/>
      <c r="V40" s="2434"/>
    </row>
    <row r="41" spans="1:30">
      <c r="A41" s="2431" t="s">
        <v>2233</v>
      </c>
      <c r="B41" s="1753"/>
      <c r="C41" s="1369"/>
      <c r="D41" s="2366"/>
      <c r="E41" s="2366"/>
      <c r="F41" s="2366"/>
      <c r="G41" s="2366"/>
      <c r="H41" s="2366"/>
      <c r="I41" s="1572"/>
      <c r="J41" s="2434"/>
      <c r="K41" s="2611"/>
      <c r="L41" s="2608"/>
      <c r="M41" s="2608"/>
      <c r="N41" s="2434"/>
      <c r="O41" s="2445"/>
      <c r="P41" s="2434"/>
      <c r="Q41" s="2434"/>
      <c r="R41" s="2434"/>
      <c r="S41" s="2434"/>
      <c r="T41" s="2434"/>
      <c r="U41" s="2434"/>
      <c r="V41" s="2434"/>
    </row>
    <row r="42" spans="1:30" ht="25.2">
      <c r="A42" s="322"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9" customFormat="1">
      <c r="A43" s="1566"/>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39" customFormat="1">
      <c r="A44" s="1566"/>
      <c r="B44" s="1566"/>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39" customFormat="1">
      <c r="A45" s="1566"/>
      <c r="B45" s="1566"/>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39" customFormat="1">
      <c r="A46" s="1566"/>
      <c r="B46" s="1566"/>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39" customFormat="1">
      <c r="A47" s="1566"/>
      <c r="B47" s="1566"/>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39" customFormat="1">
      <c r="A48" s="1566"/>
      <c r="B48" s="1566"/>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39" customFormat="1">
      <c r="A49" s="1566"/>
      <c r="B49" s="1566"/>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39" customFormat="1">
      <c r="A50" s="1566"/>
      <c r="B50" s="1566"/>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39" customFormat="1">
      <c r="A51" s="1566"/>
      <c r="B51" s="1566"/>
      <c r="C51" s="1049"/>
      <c r="D51" s="1049"/>
      <c r="E51" s="1049"/>
      <c r="F51" s="1049"/>
      <c r="G51" s="1049"/>
      <c r="H51" s="1049"/>
      <c r="I51" s="1049"/>
      <c r="J51" s="2432"/>
      <c r="K51" s="2433"/>
      <c r="L51" s="2433"/>
      <c r="M51" s="1049"/>
      <c r="N51" s="1049"/>
      <c r="O51" s="1049"/>
      <c r="P51" s="1049"/>
      <c r="Q51" s="1049"/>
      <c r="R51" s="1049"/>
    </row>
    <row r="52" spans="1:22" s="1739" customFormat="1">
      <c r="A52" s="1566"/>
      <c r="B52" s="1566"/>
      <c r="C52" s="1566"/>
      <c r="D52" s="1566"/>
      <c r="E52" s="1566"/>
      <c r="F52" s="1049"/>
      <c r="G52" s="1566"/>
      <c r="H52" s="1566"/>
      <c r="I52" s="1566"/>
      <c r="J52" s="2435"/>
      <c r="K52" s="2433"/>
      <c r="L52" s="2433"/>
      <c r="M52" s="2433"/>
      <c r="N52" s="1566"/>
      <c r="O52" s="1566"/>
      <c r="P52" s="1566"/>
      <c r="Q52" s="1566"/>
      <c r="R52" s="1566"/>
    </row>
    <row r="53" spans="1:22" s="1739" customFormat="1">
      <c r="A53" s="1566"/>
      <c r="B53" s="1566"/>
      <c r="C53" s="1566"/>
      <c r="D53" s="1566"/>
      <c r="E53" s="1566"/>
      <c r="F53" s="1049"/>
      <c r="G53" s="1566"/>
      <c r="H53" s="1566"/>
      <c r="I53" s="1566"/>
      <c r="J53" s="2435"/>
      <c r="K53" s="2433"/>
      <c r="L53" s="2433"/>
      <c r="M53" s="2433"/>
      <c r="N53" s="1566"/>
      <c r="O53" s="1566"/>
      <c r="P53" s="1566"/>
      <c r="Q53" s="1566"/>
      <c r="R53" s="1566"/>
    </row>
    <row r="54" spans="1:22" s="1739" customFormat="1">
      <c r="A54" s="1566"/>
      <c r="B54" s="1566"/>
      <c r="C54" s="1566"/>
      <c r="D54" s="1566"/>
      <c r="E54" s="1566"/>
      <c r="F54" s="1049"/>
      <c r="G54" s="1566"/>
      <c r="H54" s="1566"/>
      <c r="I54" s="1566"/>
      <c r="J54" s="2435"/>
      <c r="K54" s="2433"/>
      <c r="L54" s="2433"/>
      <c r="M54" s="2433"/>
      <c r="N54" s="1566"/>
      <c r="O54" s="1566"/>
      <c r="P54" s="1566"/>
      <c r="Q54" s="1566"/>
      <c r="R54" s="1566"/>
    </row>
    <row r="55" spans="1:22" s="1739" customFormat="1">
      <c r="A55" s="1566"/>
      <c r="B55" s="1566"/>
      <c r="C55" s="1566"/>
      <c r="D55" s="1566"/>
      <c r="E55" s="1566"/>
      <c r="F55" s="1049"/>
      <c r="G55" s="1566"/>
      <c r="H55" s="1566"/>
      <c r="I55" s="1566"/>
      <c r="J55" s="2435"/>
      <c r="K55" s="2433"/>
      <c r="L55" s="2433"/>
      <c r="M55" s="2433"/>
      <c r="N55" s="1566"/>
      <c r="O55" s="1566"/>
      <c r="P55" s="1566"/>
      <c r="Q55" s="1566"/>
      <c r="R55" s="1566"/>
    </row>
    <row r="56" spans="1:22" s="1739" customFormat="1">
      <c r="A56" s="1566"/>
      <c r="B56" s="1566"/>
      <c r="C56" s="1566"/>
      <c r="D56" s="1566"/>
      <c r="E56" s="1566"/>
      <c r="F56" s="1049"/>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hidden="1" customWidth="1"/>
    <col min="12" max="14" width="9.44140625" style="1569" hidden="1" customWidth="1"/>
    <col min="15" max="15" width="9.88671875" style="1569" hidden="1" customWidth="1"/>
    <col min="16" max="16" width="9.77734375" style="1569" hidden="1" customWidth="1"/>
    <col min="17" max="17" width="9.33203125" style="1569" hidden="1" customWidth="1"/>
    <col min="18" max="18" width="9.21875" style="1569" hidden="1" customWidth="1"/>
    <col min="19" max="19" width="10.88671875" style="1569" hidden="1" customWidth="1"/>
    <col min="20" max="21" width="10.77734375" style="1569" hidden="1" customWidth="1"/>
    <col min="22" max="22" width="10.88671875" style="1569" hidden="1" customWidth="1"/>
    <col min="23" max="27" width="10.77734375" style="1569" hidden="1" customWidth="1"/>
    <col min="28" max="28" width="10.88671875" style="1569" hidden="1"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6" t="s">
        <v>1067</v>
      </c>
      <c r="AZ2" s="1047"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18193.39</v>
      </c>
      <c r="B3" s="11">
        <f>IF(C3="否",G5-AT5,G5)</f>
        <v>37711.240000000005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8"/>
      <c r="AZ3" s="1049"/>
      <c r="BA3" s="1050"/>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37711.240000000005</v>
      </c>
      <c r="H5" s="13">
        <f t="shared" ref="H5:AT5" si="0">SUM(H13:H656)</f>
        <v>36123.300000000003</v>
      </c>
      <c r="I5" s="13">
        <f t="shared" si="0"/>
        <v>36123.300000000003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1587.94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222.11</v>
      </c>
      <c r="AM5" s="13">
        <f t="shared" si="0"/>
        <v>0</v>
      </c>
      <c r="AN5" s="13">
        <f t="shared" si="0"/>
        <v>1365.83</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37711.240000000005</v>
      </c>
      <c r="BA5" s="15">
        <f t="shared" si="1"/>
        <v>36123.300000000003</v>
      </c>
      <c r="BB5" s="15">
        <f t="shared" si="1"/>
        <v>36123.300000000003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1587.94</v>
      </c>
      <c r="BM5" s="15">
        <f t="shared" si="1"/>
        <v>0</v>
      </c>
      <c r="BN5" s="15">
        <f t="shared" si="1"/>
        <v>0</v>
      </c>
      <c r="BO5" s="15">
        <f t="shared" si="1"/>
        <v>0</v>
      </c>
      <c r="BP5" s="15">
        <f t="shared" si="1"/>
        <v>0</v>
      </c>
      <c r="BQ5" s="15">
        <f t="shared" si="1"/>
        <v>222.11</v>
      </c>
      <c r="BR5" s="15">
        <f t="shared" si="1"/>
        <v>1365.83</v>
      </c>
      <c r="BS5" s="15">
        <f t="shared" si="1"/>
        <v>0</v>
      </c>
      <c r="BT5" s="16">
        <f t="shared" si="1"/>
        <v>0</v>
      </c>
    </row>
    <row r="6" spans="1:72" s="1585" customFormat="1" ht="13.2">
      <c r="A6" s="12" t="s">
        <v>1072</v>
      </c>
      <c r="B6" s="1582"/>
      <c r="C6" s="1582"/>
      <c r="D6" s="1583"/>
      <c r="E6" s="13">
        <f>H6+AC6+AT6</f>
        <v>18193.39</v>
      </c>
      <c r="F6" s="13" t="s">
        <v>0</v>
      </c>
      <c r="G6" s="13" t="s">
        <v>1</v>
      </c>
      <c r="H6" s="17">
        <f>SUMIF(I$12:AB$12,"总值",I6:AB6)</f>
        <v>17427.310000000001</v>
      </c>
      <c r="I6" s="13">
        <f t="shared" ref="I6:AB6" si="2">ROUND($A$3*I5/$B$3,2)</f>
        <v>17427.310000000001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766.07999999999993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107.15</v>
      </c>
      <c r="AM6" s="13">
        <f t="shared" si="3"/>
        <v>0</v>
      </c>
      <c r="AN6" s="13">
        <f t="shared" si="3"/>
        <v>658.93</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18193.39</v>
      </c>
      <c r="AZ6" s="13" t="s">
        <v>2</v>
      </c>
      <c r="BA6" s="13">
        <f>ROUND($AY$6*BA5/$AZ$5,2)</f>
        <v>17427.310000000001</v>
      </c>
      <c r="BB6" s="13">
        <f>ROUND($AY$6*BB5/$AZ$5,2)</f>
        <v>17427.310000000001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766.08</v>
      </c>
      <c r="BM6" s="13">
        <f t="shared" si="5"/>
        <v>0</v>
      </c>
      <c r="BN6" s="13">
        <f t="shared" si="5"/>
        <v>0</v>
      </c>
      <c r="BO6" s="13">
        <f t="shared" si="5"/>
        <v>0</v>
      </c>
      <c r="BP6" s="13">
        <f t="shared" si="5"/>
        <v>0</v>
      </c>
      <c r="BQ6" s="13">
        <f t="shared" si="5"/>
        <v>107.15</v>
      </c>
      <c r="BR6" s="13">
        <f t="shared" si="5"/>
        <v>658.93</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8" t="s">
        <v>1087</v>
      </c>
      <c r="AU8" s="1590" t="s">
        <v>1088</v>
      </c>
      <c r="AV8" s="1068"/>
      <c r="AW8" s="1573"/>
      <c r="AX8" s="1068"/>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8"/>
      <c r="H9" s="1598" t="s">
        <v>1091</v>
      </c>
      <c r="I9" s="1599" t="s">
        <v>3390</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1"/>
      <c r="AT9" s="1590"/>
      <c r="AU9" s="1590" t="s">
        <v>1094</v>
      </c>
      <c r="AV9" s="1068"/>
      <c r="AW9" s="1573"/>
      <c r="AX9" s="1068"/>
      <c r="AY9" s="25"/>
      <c r="AZ9" s="25" t="s">
        <v>1084</v>
      </c>
      <c r="BA9" s="1602" t="s">
        <v>1095</v>
      </c>
      <c r="BB9" s="1603"/>
      <c r="BC9" s="1086"/>
      <c r="BD9" s="1086"/>
      <c r="BE9" s="1086"/>
      <c r="BF9" s="1086"/>
      <c r="BG9" s="1086"/>
      <c r="BH9" s="1086"/>
      <c r="BI9" s="1086"/>
      <c r="BJ9" s="1086"/>
      <c r="BK9" s="1604"/>
      <c r="BL9" s="12" t="s">
        <v>1096</v>
      </c>
      <c r="BM9" s="1356"/>
      <c r="BN9" s="1593"/>
      <c r="BO9" s="1356"/>
      <c r="BP9" s="1356"/>
      <c r="BQ9" s="1356"/>
      <c r="BR9" s="1356"/>
      <c r="BS9" s="1356"/>
      <c r="BT9" s="23"/>
    </row>
    <row r="10" spans="1:72" s="1597" customFormat="1" ht="13.2">
      <c r="A10" s="1590"/>
      <c r="B10" s="1590"/>
      <c r="C10" s="1590"/>
      <c r="D10" s="1590"/>
      <c r="E10" s="1590"/>
      <c r="F10" s="1590"/>
      <c r="G10" s="1068"/>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8"/>
      <c r="AD10" s="12" t="s">
        <v>1097</v>
      </c>
      <c r="AE10" s="1606"/>
      <c r="AF10" s="12" t="s">
        <v>1097</v>
      </c>
      <c r="AG10" s="1606"/>
      <c r="AH10" s="12" t="s">
        <v>1098</v>
      </c>
      <c r="AI10" s="1606"/>
      <c r="AJ10" s="12" t="s">
        <v>1098</v>
      </c>
      <c r="AK10" s="1606"/>
      <c r="AL10" s="12" t="s">
        <v>1099</v>
      </c>
      <c r="AM10" s="1074"/>
      <c r="AN10" s="12" t="s">
        <v>1099</v>
      </c>
      <c r="AO10" s="1074"/>
      <c r="AP10" s="12" t="s">
        <v>1100</v>
      </c>
      <c r="AQ10" s="1074"/>
      <c r="AR10" s="12" t="s">
        <v>1100</v>
      </c>
      <c r="AS10" s="1074"/>
      <c r="AT10" s="1590"/>
      <c r="AU10" s="1590"/>
      <c r="AV10" s="1068"/>
      <c r="AW10" s="1573"/>
      <c r="AX10" s="1068"/>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8"/>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8"/>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8"/>
      <c r="AW11" s="1573"/>
      <c r="AX11" s="1068"/>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8"/>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8"/>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26.4">
      <c r="A13" s="1049"/>
      <c r="B13" s="1049"/>
      <c r="C13" s="1049" t="s">
        <v>3440</v>
      </c>
      <c r="D13" s="1621" t="s">
        <v>3389</v>
      </c>
      <c r="E13" s="13">
        <f>IF($C$3="是",ROUND($A$3*G13/$B$3,2),ROUND($A$3*(G13-AT13)/$B$3,2))</f>
        <v>1747.25</v>
      </c>
      <c r="F13" s="29"/>
      <c r="G13" s="30">
        <f>H13+AC13+AT13</f>
        <v>3621.7</v>
      </c>
      <c r="H13" s="17">
        <f>SUMIF(I$12:AB$12,"总值",I13:AB13)</f>
        <v>3621.7</v>
      </c>
      <c r="I13" s="1622">
        <v>3621.7</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1#戊类厂房</v>
      </c>
      <c r="AY13" s="1345">
        <f>ROUND($AY$6*AZ13/$AZ$5,2)</f>
        <v>1747.25</v>
      </c>
      <c r="AZ13" s="13">
        <f>BA13+BL13</f>
        <v>3621.7</v>
      </c>
      <c r="BA13" s="13">
        <f>SUM(BB13:BK13)</f>
        <v>3621.7</v>
      </c>
      <c r="BB13" s="13">
        <f>IF($D13="是",I13-J13,0)</f>
        <v>3621.7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26.4">
      <c r="A14" s="1049"/>
      <c r="B14" s="1049"/>
      <c r="C14" s="1049" t="s">
        <v>3441</v>
      </c>
      <c r="D14" s="1621" t="s">
        <v>3389</v>
      </c>
      <c r="E14" s="13">
        <f>IF($C$3="是",ROUND($A$3*G14/$B$3,2),ROUND($A$3*(G14-AT14)/$B$3,2))</f>
        <v>1365</v>
      </c>
      <c r="F14" s="29"/>
      <c r="G14" s="30">
        <f>H14+AC14+AT14</f>
        <v>2829.38</v>
      </c>
      <c r="H14" s="17">
        <f>SUMIF(I$12:AB$12,"总值",I14:AB14)</f>
        <v>2829.38</v>
      </c>
      <c r="I14" s="1622">
        <v>2829.38</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2-1#戊类厂房</v>
      </c>
      <c r="AY14" s="1345">
        <f>ROUND($AY$6*AZ14/$AZ$5,2)</f>
        <v>1365</v>
      </c>
      <c r="AZ14" s="13">
        <f>BA14+BL14</f>
        <v>2829.38</v>
      </c>
      <c r="BA14" s="13">
        <f>SUM(BB14:BK14)</f>
        <v>2829.38</v>
      </c>
      <c r="BB14" s="13">
        <f>IF($D14="是",I14-J14,0)</f>
        <v>2829.38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26.4">
      <c r="A15" s="1049"/>
      <c r="B15" s="1049"/>
      <c r="C15" s="1049" t="s">
        <v>3442</v>
      </c>
      <c r="D15" s="1621" t="s">
        <v>3389</v>
      </c>
      <c r="E15" s="13">
        <f>IF($C$3="是",ROUND($A$3*G15/$B$3,2),ROUND($A$3*(G15-AT15)/$B$3,2))</f>
        <v>1365</v>
      </c>
      <c r="F15" s="29"/>
      <c r="G15" s="30">
        <f>H15+AC15+AT15</f>
        <v>2829.38</v>
      </c>
      <c r="H15" s="17">
        <f>SUMIF(I$12:AB$12,"总值",I15:AB15)</f>
        <v>2829.38</v>
      </c>
      <c r="I15" s="1622">
        <v>2829.38</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t="str">
        <f t="shared" si="6"/>
        <v>2-2#戊类厂房</v>
      </c>
      <c r="AY15" s="1345">
        <f>ROUND($AY$6*AZ15/$AZ$5,2)</f>
        <v>1365</v>
      </c>
      <c r="AZ15" s="13">
        <f>BA15+BL15</f>
        <v>2829.38</v>
      </c>
      <c r="BA15" s="13">
        <f>SUM(BB15:BK15)</f>
        <v>2829.38</v>
      </c>
      <c r="BB15" s="13">
        <f>IF($D15="是",I15-J15,0)</f>
        <v>2829.38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26.4">
      <c r="A16" s="1049"/>
      <c r="B16" s="1049"/>
      <c r="C16" s="1049" t="s">
        <v>3443</v>
      </c>
      <c r="D16" s="1621" t="s">
        <v>3389</v>
      </c>
      <c r="E16" s="13">
        <f>IF($C$3="是",ROUND($A$3*G16/$B$3,2),ROUND($A$3*(G16-AT16)/$B$3,2))</f>
        <v>1761.75</v>
      </c>
      <c r="F16" s="29"/>
      <c r="G16" s="30">
        <f>H16+AC16+AT16</f>
        <v>3651.75</v>
      </c>
      <c r="H16" s="17">
        <f>SUMIF(I$12:AB$12,"总值",I16:AB16)</f>
        <v>3530.68</v>
      </c>
      <c r="I16" s="1622">
        <v>3530.68</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121.07000000000001</v>
      </c>
      <c r="AD16" s="1623"/>
      <c r="AE16" s="1623"/>
      <c r="AF16" s="1623"/>
      <c r="AG16" s="1623"/>
      <c r="AH16" s="1623"/>
      <c r="AI16" s="1623"/>
      <c r="AJ16" s="1623"/>
      <c r="AK16" s="1623"/>
      <c r="AL16" s="1623">
        <f>85.12+35.95</f>
        <v>121.07000000000001</v>
      </c>
      <c r="AM16" s="1623"/>
      <c r="AN16" s="1623"/>
      <c r="AO16" s="1623"/>
      <c r="AP16" s="1623"/>
      <c r="AQ16" s="1623"/>
      <c r="AR16" s="1623"/>
      <c r="AS16" s="1623"/>
      <c r="AT16" s="1624"/>
      <c r="AU16" s="1625"/>
      <c r="AV16" s="8">
        <f t="shared" si="6"/>
        <v>0</v>
      </c>
      <c r="AW16" s="8">
        <f t="shared" si="6"/>
        <v>0</v>
      </c>
      <c r="AX16" s="8" t="str">
        <f t="shared" si="6"/>
        <v>3-1#戊类厂房</v>
      </c>
      <c r="AY16" s="1345">
        <f>ROUND($AY$6*AZ16/$AZ$5,2)</f>
        <v>1761.75</v>
      </c>
      <c r="AZ16" s="13">
        <f>BA16+BL16</f>
        <v>3651.75</v>
      </c>
      <c r="BA16" s="13">
        <f>SUM(BB16:BK16)</f>
        <v>3530.68</v>
      </c>
      <c r="BB16" s="13">
        <f>IF($D16="是",I16-J16,0)</f>
        <v>3530.68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121.07000000000001</v>
      </c>
      <c r="BM16" s="13">
        <f>IF($D16="是",AD16-AE16,0)</f>
        <v>0</v>
      </c>
      <c r="BN16" s="13">
        <f>IF($D16="是",AF16-AG16,0)</f>
        <v>0</v>
      </c>
      <c r="BO16" s="13">
        <f>IF($D16="是",AH16-AI16,0)</f>
        <v>0</v>
      </c>
      <c r="BP16" s="13">
        <f>IF($D16="是",AJ16-AK16,0)</f>
        <v>0</v>
      </c>
      <c r="BQ16" s="13">
        <f>IF($D16="是",AL16-AM16,0)</f>
        <v>121.07000000000001</v>
      </c>
      <c r="BR16" s="13">
        <f>IF($D16="是",AN16-AO16,0)</f>
        <v>0</v>
      </c>
      <c r="BS16" s="13">
        <f>IF($D16="是",AP16-AQ16,0)</f>
        <v>0</v>
      </c>
      <c r="BT16" s="19">
        <f>IF($D16="是",AR16-AS16,0)</f>
        <v>0</v>
      </c>
    </row>
    <row r="17" spans="1:72" s="1575" customFormat="1" ht="26.4">
      <c r="A17" s="1049"/>
      <c r="B17" s="1049"/>
      <c r="C17" s="1049" t="s">
        <v>3444</v>
      </c>
      <c r="D17" s="1621" t="s">
        <v>3389</v>
      </c>
      <c r="E17" s="13">
        <f>IF($C$3="是",ROUND($A$3*G17/$B$3,2),ROUND($A$3*(G17-AT17)/$B$3,2))</f>
        <v>1703.34</v>
      </c>
      <c r="F17" s="29"/>
      <c r="G17" s="30">
        <f>H17+AC17+AT17</f>
        <v>3530.68</v>
      </c>
      <c r="H17" s="17">
        <f>SUMIF(I$12:AB$12,"总值",I17:AB17)</f>
        <v>3530.68</v>
      </c>
      <c r="I17" s="1622">
        <v>3530.68</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t="str">
        <f t="shared" si="6"/>
        <v>3-2#戊类厂房</v>
      </c>
      <c r="AY17" s="1345">
        <f>ROUND($AY$6*AZ17/$AZ$5,2)</f>
        <v>1703.34</v>
      </c>
      <c r="AZ17" s="13">
        <f>BA17+BL17</f>
        <v>3530.68</v>
      </c>
      <c r="BA17" s="13">
        <f>SUM(BB17:BK17)</f>
        <v>3530.68</v>
      </c>
      <c r="BB17" s="13">
        <f>IF($D17="是",I17-J17,0)</f>
        <v>3530.68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7.6">
      <c r="A18" s="6"/>
      <c r="B18" s="31"/>
      <c r="C18" s="1049" t="s">
        <v>3445</v>
      </c>
      <c r="D18" s="1621" t="s">
        <v>3389</v>
      </c>
      <c r="E18" s="32">
        <f t="shared" ref="E18:E112" si="7">IF($C$3="是",ROUND($A$3*G18/$B$3,2),ROUND($A$3*(G18-AT18)/$B$3,2))</f>
        <v>1365</v>
      </c>
      <c r="F18" s="33"/>
      <c r="G18" s="34">
        <f t="shared" ref="G18:G109" si="8">H18+AC18+AT18</f>
        <v>2829.38</v>
      </c>
      <c r="H18" s="35">
        <f t="shared" ref="H18:H109" si="9">SUMIF(I$12:AB$12,"总值",I18:AB18)</f>
        <v>2829.38</v>
      </c>
      <c r="I18" s="1622">
        <v>2829.38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1623"/>
      <c r="AM18" s="37"/>
      <c r="AN18" s="1623"/>
      <c r="AO18" s="37"/>
      <c r="AP18" s="37"/>
      <c r="AQ18" s="37"/>
      <c r="AR18" s="37"/>
      <c r="AS18" s="37"/>
      <c r="AT18" s="38"/>
      <c r="AU18" s="1627"/>
      <c r="AV18" s="1339">
        <f t="shared" ref="AV18:AV112" si="11">A18</f>
        <v>0</v>
      </c>
      <c r="AW18" s="1339">
        <f t="shared" ref="AW18:AW112" si="12">B18</f>
        <v>0</v>
      </c>
      <c r="AX18" s="1339" t="str">
        <f t="shared" ref="AX18:AX112" si="13">C18</f>
        <v>4-1#戊类厂房</v>
      </c>
      <c r="AY18" s="39">
        <f t="shared" ref="AY18:AY109" si="14">ROUND($AY$6*AZ18/$AZ$5,2)</f>
        <v>1365</v>
      </c>
      <c r="AZ18" s="32">
        <f t="shared" ref="AZ18:AZ109" si="15">BA18+BL18</f>
        <v>2829.38</v>
      </c>
      <c r="BA18" s="32">
        <f t="shared" ref="BA18:BA109" si="16">SUM(BB18:BK18)</f>
        <v>2829.38</v>
      </c>
      <c r="BB18" s="32">
        <f t="shared" ref="BB18:BB109" si="17">IF($D18="是",I18-J18,0)</f>
        <v>2829.38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7.6">
      <c r="A19" s="6"/>
      <c r="B19" s="31"/>
      <c r="C19" s="1049" t="s">
        <v>3446</v>
      </c>
      <c r="D19" s="1621" t="s">
        <v>3389</v>
      </c>
      <c r="E19" s="32">
        <f t="shared" si="7"/>
        <v>1365</v>
      </c>
      <c r="F19" s="33"/>
      <c r="G19" s="34">
        <f t="shared" si="8"/>
        <v>2829.38</v>
      </c>
      <c r="H19" s="35">
        <f t="shared" si="9"/>
        <v>2829.38</v>
      </c>
      <c r="I19" s="1622">
        <v>2829.38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1623"/>
      <c r="AM19" s="37"/>
      <c r="AN19" s="1623"/>
      <c r="AO19" s="37"/>
      <c r="AP19" s="37"/>
      <c r="AQ19" s="37"/>
      <c r="AR19" s="37"/>
      <c r="AS19" s="37"/>
      <c r="AT19" s="38"/>
      <c r="AU19" s="1627"/>
      <c r="AV19" s="1339">
        <f t="shared" si="11"/>
        <v>0</v>
      </c>
      <c r="AW19" s="1339">
        <f t="shared" si="12"/>
        <v>0</v>
      </c>
      <c r="AX19" s="1339" t="str">
        <f t="shared" si="13"/>
        <v>4-2#戊类厂房</v>
      </c>
      <c r="AY19" s="39">
        <f t="shared" si="14"/>
        <v>1365</v>
      </c>
      <c r="AZ19" s="32">
        <f t="shared" si="15"/>
        <v>2829.38</v>
      </c>
      <c r="BA19" s="32">
        <f t="shared" si="16"/>
        <v>2829.38</v>
      </c>
      <c r="BB19" s="32">
        <f t="shared" si="17"/>
        <v>2829.38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7.6">
      <c r="A20" s="6"/>
      <c r="B20" s="31"/>
      <c r="C20" s="1049" t="s">
        <v>3447</v>
      </c>
      <c r="D20" s="1621" t="s">
        <v>3389</v>
      </c>
      <c r="E20" s="32">
        <f t="shared" si="7"/>
        <v>1727.71</v>
      </c>
      <c r="F20" s="33"/>
      <c r="G20" s="34">
        <f t="shared" si="8"/>
        <v>3581.2</v>
      </c>
      <c r="H20" s="35">
        <f t="shared" si="9"/>
        <v>3530.68</v>
      </c>
      <c r="I20" s="1622">
        <v>3530.68</v>
      </c>
      <c r="J20" s="36"/>
      <c r="K20" s="36"/>
      <c r="L20" s="36"/>
      <c r="M20" s="36"/>
      <c r="N20" s="36"/>
      <c r="O20" s="36"/>
      <c r="P20" s="36"/>
      <c r="Q20" s="36"/>
      <c r="R20" s="36"/>
      <c r="S20" s="36"/>
      <c r="T20" s="36"/>
      <c r="U20" s="36"/>
      <c r="V20" s="36"/>
      <c r="W20" s="36"/>
      <c r="X20" s="36"/>
      <c r="Y20" s="36"/>
      <c r="Z20" s="36"/>
      <c r="AA20" s="36"/>
      <c r="AB20" s="36"/>
      <c r="AC20" s="32">
        <f t="shared" si="10"/>
        <v>50.52</v>
      </c>
      <c r="AD20" s="37"/>
      <c r="AE20" s="37"/>
      <c r="AF20" s="37"/>
      <c r="AG20" s="37"/>
      <c r="AH20" s="37"/>
      <c r="AI20" s="37"/>
      <c r="AJ20" s="37"/>
      <c r="AK20" s="37"/>
      <c r="AL20" s="1623">
        <v>50.52</v>
      </c>
      <c r="AM20" s="37"/>
      <c r="AN20" s="1623"/>
      <c r="AO20" s="37"/>
      <c r="AP20" s="37"/>
      <c r="AQ20" s="37"/>
      <c r="AR20" s="37"/>
      <c r="AS20" s="37"/>
      <c r="AT20" s="38"/>
      <c r="AU20" s="1627"/>
      <c r="AV20" s="1339">
        <f t="shared" si="11"/>
        <v>0</v>
      </c>
      <c r="AW20" s="1339">
        <f t="shared" si="12"/>
        <v>0</v>
      </c>
      <c r="AX20" s="1339" t="str">
        <f t="shared" si="13"/>
        <v>5-1#戊类厂房</v>
      </c>
      <c r="AY20" s="39">
        <f t="shared" si="14"/>
        <v>1727.71</v>
      </c>
      <c r="AZ20" s="32">
        <f t="shared" si="15"/>
        <v>3581.2</v>
      </c>
      <c r="BA20" s="32">
        <f t="shared" si="16"/>
        <v>3530.68</v>
      </c>
      <c r="BB20" s="32">
        <f t="shared" si="17"/>
        <v>3530.68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50.52</v>
      </c>
      <c r="BM20" s="32">
        <f t="shared" si="28"/>
        <v>0</v>
      </c>
      <c r="BN20" s="32">
        <f t="shared" si="29"/>
        <v>0</v>
      </c>
      <c r="BO20" s="32">
        <f t="shared" si="30"/>
        <v>0</v>
      </c>
      <c r="BP20" s="32">
        <f t="shared" si="31"/>
        <v>0</v>
      </c>
      <c r="BQ20" s="32">
        <f t="shared" si="32"/>
        <v>50.52</v>
      </c>
      <c r="BR20" s="32">
        <f t="shared" si="33"/>
        <v>0</v>
      </c>
      <c r="BS20" s="32">
        <f t="shared" si="34"/>
        <v>0</v>
      </c>
      <c r="BT20" s="40">
        <f t="shared" si="35"/>
        <v>0</v>
      </c>
    </row>
    <row r="21" spans="1:72" ht="27.6">
      <c r="A21" s="6"/>
      <c r="B21" s="31"/>
      <c r="C21" s="1049" t="s">
        <v>3448</v>
      </c>
      <c r="D21" s="1621" t="s">
        <v>3389</v>
      </c>
      <c r="E21" s="32">
        <f t="shared" si="7"/>
        <v>1703.34</v>
      </c>
      <c r="F21" s="33"/>
      <c r="G21" s="34">
        <f t="shared" si="8"/>
        <v>3530.68</v>
      </c>
      <c r="H21" s="35">
        <f t="shared" si="9"/>
        <v>3530.68</v>
      </c>
      <c r="I21" s="1622">
        <v>3530.68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1623"/>
      <c r="AM21" s="37"/>
      <c r="AN21" s="1623"/>
      <c r="AO21" s="37"/>
      <c r="AP21" s="37"/>
      <c r="AQ21" s="37"/>
      <c r="AR21" s="37"/>
      <c r="AS21" s="37"/>
      <c r="AT21" s="38"/>
      <c r="AU21" s="1627"/>
      <c r="AV21" s="1339">
        <f t="shared" si="11"/>
        <v>0</v>
      </c>
      <c r="AW21" s="1339">
        <f t="shared" si="12"/>
        <v>0</v>
      </c>
      <c r="AX21" s="1339" t="str">
        <f t="shared" si="13"/>
        <v>5-2#戊类厂房</v>
      </c>
      <c r="AY21" s="39">
        <f t="shared" si="14"/>
        <v>1703.34</v>
      </c>
      <c r="AZ21" s="32">
        <f t="shared" si="15"/>
        <v>3530.68</v>
      </c>
      <c r="BA21" s="32">
        <f t="shared" si="16"/>
        <v>3530.68</v>
      </c>
      <c r="BB21" s="32">
        <f t="shared" si="17"/>
        <v>3530.68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27.6">
      <c r="A22" s="6"/>
      <c r="B22" s="31"/>
      <c r="C22" s="1049" t="s">
        <v>3449</v>
      </c>
      <c r="D22" s="1621" t="s">
        <v>3389</v>
      </c>
      <c r="E22" s="32">
        <f t="shared" si="7"/>
        <v>1727.71</v>
      </c>
      <c r="F22" s="33"/>
      <c r="G22" s="34">
        <f t="shared" si="8"/>
        <v>3581.2</v>
      </c>
      <c r="H22" s="35">
        <f t="shared" si="9"/>
        <v>3530.68</v>
      </c>
      <c r="I22" s="1622">
        <v>3530.68</v>
      </c>
      <c r="J22" s="36"/>
      <c r="K22" s="36"/>
      <c r="L22" s="36"/>
      <c r="M22" s="36"/>
      <c r="N22" s="36"/>
      <c r="O22" s="36"/>
      <c r="P22" s="36"/>
      <c r="Q22" s="36"/>
      <c r="R22" s="36"/>
      <c r="S22" s="36"/>
      <c r="T22" s="36"/>
      <c r="U22" s="36"/>
      <c r="V22" s="36"/>
      <c r="W22" s="36"/>
      <c r="X22" s="36"/>
      <c r="Y22" s="36"/>
      <c r="Z22" s="36"/>
      <c r="AA22" s="36"/>
      <c r="AB22" s="36"/>
      <c r="AC22" s="32">
        <f t="shared" si="10"/>
        <v>50.52</v>
      </c>
      <c r="AD22" s="37"/>
      <c r="AE22" s="37"/>
      <c r="AF22" s="37"/>
      <c r="AG22" s="37"/>
      <c r="AH22" s="37"/>
      <c r="AI22" s="37"/>
      <c r="AJ22" s="37"/>
      <c r="AK22" s="37"/>
      <c r="AL22" s="1623">
        <v>50.52</v>
      </c>
      <c r="AM22" s="37"/>
      <c r="AN22" s="1623"/>
      <c r="AO22" s="37"/>
      <c r="AP22" s="37"/>
      <c r="AQ22" s="37"/>
      <c r="AR22" s="37"/>
      <c r="AS22" s="37"/>
      <c r="AT22" s="38"/>
      <c r="AU22" s="1627"/>
      <c r="AV22" s="1339">
        <f t="shared" si="11"/>
        <v>0</v>
      </c>
      <c r="AW22" s="1339">
        <f t="shared" si="12"/>
        <v>0</v>
      </c>
      <c r="AX22" s="1339" t="str">
        <f t="shared" si="13"/>
        <v>6-1#戊类厂房</v>
      </c>
      <c r="AY22" s="39">
        <f t="shared" si="14"/>
        <v>1727.71</v>
      </c>
      <c r="AZ22" s="32">
        <f t="shared" si="15"/>
        <v>3581.2</v>
      </c>
      <c r="BA22" s="32">
        <f t="shared" si="16"/>
        <v>3530.68</v>
      </c>
      <c r="BB22" s="32">
        <f t="shared" si="17"/>
        <v>3530.68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50.52</v>
      </c>
      <c r="BM22" s="32">
        <f t="shared" si="28"/>
        <v>0</v>
      </c>
      <c r="BN22" s="32">
        <f t="shared" si="29"/>
        <v>0</v>
      </c>
      <c r="BO22" s="32">
        <f t="shared" si="30"/>
        <v>0</v>
      </c>
      <c r="BP22" s="32">
        <f t="shared" si="31"/>
        <v>0</v>
      </c>
      <c r="BQ22" s="32">
        <f t="shared" si="32"/>
        <v>50.52</v>
      </c>
      <c r="BR22" s="32">
        <f t="shared" si="33"/>
        <v>0</v>
      </c>
      <c r="BS22" s="32">
        <f t="shared" si="34"/>
        <v>0</v>
      </c>
      <c r="BT22" s="40">
        <f t="shared" si="35"/>
        <v>0</v>
      </c>
    </row>
    <row r="23" spans="1:72" ht="27.6">
      <c r="A23" s="6"/>
      <c r="B23" s="31"/>
      <c r="C23" s="1049" t="s">
        <v>3450</v>
      </c>
      <c r="D23" s="1621" t="s">
        <v>3389</v>
      </c>
      <c r="E23" s="32">
        <f t="shared" si="7"/>
        <v>1703.34</v>
      </c>
      <c r="F23" s="33"/>
      <c r="G23" s="34">
        <f t="shared" si="8"/>
        <v>3530.68</v>
      </c>
      <c r="H23" s="35">
        <f t="shared" si="9"/>
        <v>3530.68</v>
      </c>
      <c r="I23" s="1622">
        <v>3530.68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t="str">
        <f t="shared" si="13"/>
        <v>6-2#戊类厂房</v>
      </c>
      <c r="AY23" s="39">
        <f t="shared" si="14"/>
        <v>1703.34</v>
      </c>
      <c r="AZ23" s="32">
        <f t="shared" si="15"/>
        <v>3530.68</v>
      </c>
      <c r="BA23" s="32">
        <f t="shared" si="16"/>
        <v>3530.68</v>
      </c>
      <c r="BB23" s="32">
        <f t="shared" si="17"/>
        <v>3530.68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52" t="s">
        <v>3451</v>
      </c>
      <c r="D24" s="1621" t="s">
        <v>3389</v>
      </c>
      <c r="E24" s="32">
        <f t="shared" si="7"/>
        <v>658.93</v>
      </c>
      <c r="F24" s="33"/>
      <c r="G24" s="34">
        <f t="shared" si="8"/>
        <v>1365.83</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1365.83</v>
      </c>
      <c r="AD24" s="37"/>
      <c r="AE24" s="37"/>
      <c r="AF24" s="37"/>
      <c r="AG24" s="37"/>
      <c r="AH24" s="37"/>
      <c r="AI24" s="37"/>
      <c r="AJ24" s="37"/>
      <c r="AK24" s="37"/>
      <c r="AL24" s="37"/>
      <c r="AM24" s="37"/>
      <c r="AN24" s="37">
        <v>1365.83</v>
      </c>
      <c r="AO24" s="37"/>
      <c r="AP24" s="37"/>
      <c r="AQ24" s="37"/>
      <c r="AR24" s="37"/>
      <c r="AS24" s="37"/>
      <c r="AT24" s="38"/>
      <c r="AU24" s="1627"/>
      <c r="AV24" s="1339">
        <f t="shared" si="11"/>
        <v>0</v>
      </c>
      <c r="AW24" s="1339">
        <f t="shared" si="12"/>
        <v>0</v>
      </c>
      <c r="AX24" s="1339" t="str">
        <f t="shared" si="13"/>
        <v>地下室</v>
      </c>
      <c r="AY24" s="39">
        <f t="shared" si="14"/>
        <v>658.93</v>
      </c>
      <c r="AZ24" s="32">
        <f t="shared" si="15"/>
        <v>1365.83</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1365.83</v>
      </c>
      <c r="BM24" s="32">
        <f t="shared" si="28"/>
        <v>0</v>
      </c>
      <c r="BN24" s="32">
        <f t="shared" si="29"/>
        <v>0</v>
      </c>
      <c r="BO24" s="32">
        <f t="shared" si="30"/>
        <v>0</v>
      </c>
      <c r="BP24" s="32">
        <f t="shared" si="31"/>
        <v>0</v>
      </c>
      <c r="BQ24" s="32">
        <f t="shared" si="32"/>
        <v>0</v>
      </c>
      <c r="BR24" s="32">
        <f t="shared" si="33"/>
        <v>1365.83</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4"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36" t="s">
        <v>1131</v>
      </c>
      <c r="B2" s="3536"/>
      <c r="C2" s="3536"/>
      <c r="D2" s="794" t="s">
        <v>1107</v>
      </c>
      <c r="E2" s="1635" t="s">
        <v>1108</v>
      </c>
      <c r="F2" s="2654"/>
      <c r="G2" s="2645"/>
      <c r="H2" s="2646"/>
      <c r="I2" s="2321" t="s">
        <v>1132</v>
      </c>
      <c r="J2" s="2654"/>
      <c r="K2" s="2654"/>
      <c r="L2" s="2654"/>
      <c r="M2" s="2654"/>
      <c r="N2" s="2656"/>
      <c r="O2" s="2654"/>
      <c r="P2" s="2654"/>
    </row>
    <row r="3" spans="1:16" ht="15" thickBot="1">
      <c r="A3" s="3537" t="s">
        <v>1105</v>
      </c>
      <c r="B3" s="3537"/>
      <c r="C3" s="3537"/>
      <c r="D3" s="43">
        <f>'数据-基础表'!AY6</f>
        <v>18193.39</v>
      </c>
      <c r="E3" s="43">
        <f>'数据-基础表'!AZ5</f>
        <v>37711.240000000005</v>
      </c>
      <c r="F3" s="2654"/>
      <c r="G3" s="1141"/>
      <c r="H3" s="1024" t="s">
        <v>1106</v>
      </c>
      <c r="I3" s="853">
        <f>ROUND('数据-基础表'!B3/'数据-基础表'!A3,2)</f>
        <v>2.0699999999999998</v>
      </c>
      <c r="J3" s="2654"/>
      <c r="K3" s="2654"/>
      <c r="L3" s="2654"/>
      <c r="M3" s="2654"/>
      <c r="N3" s="2656"/>
      <c r="O3" s="2654"/>
      <c r="P3" s="2654"/>
    </row>
    <row r="4" spans="1:16" ht="14.4">
      <c r="A4" s="3538"/>
      <c r="B4" s="3539"/>
      <c r="C4" s="3540"/>
      <c r="D4" s="1637" t="s">
        <v>1107</v>
      </c>
      <c r="E4" s="1638" t="s">
        <v>1108</v>
      </c>
      <c r="F4" s="2654"/>
      <c r="G4" s="2647" t="s">
        <v>1133</v>
      </c>
      <c r="H4" s="1024" t="s">
        <v>1113</v>
      </c>
      <c r="I4" s="853">
        <f>ROUND(SUMIF('数据-基础表'!I9:AS9,"地上",'数据-基础表'!I5:AS5)/'数据-基础表'!A3,2)</f>
        <v>2</v>
      </c>
      <c r="J4" s="2654"/>
      <c r="K4" s="2654"/>
      <c r="L4" s="2654"/>
      <c r="M4" s="2654"/>
      <c r="N4" s="2656"/>
      <c r="O4" s="2654"/>
      <c r="P4" s="2654"/>
    </row>
    <row r="5" spans="1:16" ht="14.4">
      <c r="A5" s="44" t="s">
        <v>1109</v>
      </c>
      <c r="B5" s="3541" t="s">
        <v>1110</v>
      </c>
      <c r="C5" s="3541"/>
      <c r="D5" s="45">
        <f>ROUND($D$3*E5/$E$3,2)</f>
        <v>0</v>
      </c>
      <c r="E5" s="46">
        <f>SUMIF('数据-基础表'!$11:$11,"住宅",'数据-基础表'!$5:$5)</f>
        <v>0</v>
      </c>
      <c r="F5" s="2654"/>
      <c r="G5" s="1141"/>
      <c r="H5" s="1024" t="s">
        <v>1106</v>
      </c>
      <c r="I5" s="853">
        <f>ROUND(E31/D31,2)</f>
        <v>2.0699999999999998</v>
      </c>
      <c r="J5" s="2654"/>
      <c r="K5" s="2654"/>
      <c r="L5" s="2654"/>
      <c r="M5" s="2654"/>
      <c r="N5" s="2654"/>
      <c r="O5" s="2654"/>
      <c r="P5" s="2654"/>
    </row>
    <row r="6" spans="1:16" ht="15" thickBot="1">
      <c r="A6" s="1640"/>
      <c r="B6" s="3541" t="s">
        <v>1111</v>
      </c>
      <c r="C6" s="3541"/>
      <c r="D6" s="45">
        <f>ROUND($D$3*E6/$E$3,2)</f>
        <v>18193.39</v>
      </c>
      <c r="E6" s="46">
        <f>E3-E5</f>
        <v>37711.240000000005</v>
      </c>
      <c r="F6" s="2654"/>
      <c r="G6" s="2648" t="s">
        <v>1112</v>
      </c>
      <c r="H6" s="1142" t="s">
        <v>1113</v>
      </c>
      <c r="I6" s="2649">
        <f>ROUND(F31/D31,2)</f>
        <v>2</v>
      </c>
      <c r="J6" s="2654"/>
      <c r="K6" s="2654"/>
      <c r="L6" s="2654"/>
      <c r="M6" s="2654"/>
      <c r="N6" s="2654"/>
      <c r="O6" s="2654"/>
      <c r="P6" s="2654"/>
    </row>
    <row r="7" spans="1:16" ht="15" thickBot="1">
      <c r="A7" s="3533"/>
      <c r="B7" s="3534"/>
      <c r="C7" s="3535"/>
      <c r="D7" s="1637" t="s">
        <v>1107</v>
      </c>
      <c r="E7" s="1641" t="s">
        <v>1114</v>
      </c>
      <c r="F7" s="2654"/>
      <c r="G7" s="2650" t="s">
        <v>1115</v>
      </c>
      <c r="H7" s="2651"/>
      <c r="I7" s="2652">
        <v>2.5</v>
      </c>
      <c r="J7" s="2654"/>
      <c r="K7" s="2654"/>
      <c r="L7" s="2654"/>
      <c r="M7" s="2654"/>
      <c r="N7" s="2654"/>
      <c r="O7" s="2654"/>
      <c r="P7" s="2654"/>
    </row>
    <row r="8" spans="1:16" ht="14.4">
      <c r="A8" s="44" t="s">
        <v>1116</v>
      </c>
      <c r="B8" s="47" t="s">
        <v>1117</v>
      </c>
      <c r="C8" s="45" t="s">
        <v>1118</v>
      </c>
      <c r="D8" s="45">
        <f t="shared" ref="D8:D15" si="0">ROUND($D$3*E8/$E$3,2)</f>
        <v>17427.310000000001</v>
      </c>
      <c r="E8" s="48">
        <f>SUMIF('数据-基础表'!BB10:BK10,"地上",'数据-基础表'!BB5:BK5)</f>
        <v>36123.300000000003</v>
      </c>
      <c r="F8" s="2654"/>
      <c r="G8" s="2655"/>
      <c r="H8" s="2655"/>
      <c r="I8" s="2654"/>
      <c r="J8" s="2654"/>
      <c r="K8" s="2654"/>
      <c r="L8" s="2654"/>
      <c r="M8" s="2654"/>
      <c r="N8" s="2654"/>
      <c r="O8" s="2654"/>
      <c r="P8" s="2654"/>
    </row>
    <row r="9" spans="1:16" ht="14.4">
      <c r="A9" s="1642"/>
      <c r="B9" s="1643"/>
      <c r="C9" s="45" t="s">
        <v>1119</v>
      </c>
      <c r="D9" s="45">
        <f t="shared" si="0"/>
        <v>0</v>
      </c>
      <c r="E9" s="49">
        <v>0</v>
      </c>
      <c r="F9" s="2654"/>
      <c r="G9" s="2655"/>
      <c r="H9" s="2655"/>
      <c r="I9" s="2654"/>
      <c r="J9" s="2654"/>
      <c r="K9" s="2654"/>
      <c r="L9" s="2654"/>
      <c r="M9" s="2654"/>
      <c r="N9" s="2654"/>
      <c r="O9" s="2654"/>
      <c r="P9" s="2654"/>
    </row>
    <row r="10" spans="1:16" ht="14.4">
      <c r="A10" s="1642"/>
      <c r="B10" s="1643"/>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ht="14.4">
      <c r="A11" s="1642"/>
      <c r="B11" s="1643"/>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ht="14.4">
      <c r="A12" s="1642"/>
      <c r="B12" s="1643"/>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ht="14.4">
      <c r="A13" s="1642"/>
      <c r="B13" s="1643"/>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ht="14.4">
      <c r="A14" s="1642"/>
      <c r="B14" s="1643"/>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2"/>
      <c r="B15" s="1643"/>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 thickBot="1">
      <c r="A16" s="1640"/>
      <c r="B16" s="1643"/>
      <c r="C16" s="47" t="s">
        <v>1123</v>
      </c>
      <c r="D16" s="47">
        <f>SUM(D8:D15)</f>
        <v>17427.310000000001</v>
      </c>
      <c r="E16" s="50">
        <f>SUM(E8:E15)</f>
        <v>36123.300000000003</v>
      </c>
      <c r="F16" s="2654"/>
      <c r="G16" s="2655"/>
      <c r="H16" s="1644" t="s">
        <v>1135</v>
      </c>
      <c r="I16" s="1645"/>
      <c r="J16" s="1135"/>
      <c r="K16" s="3530" t="s">
        <v>1135</v>
      </c>
      <c r="L16" s="3531"/>
      <c r="M16" s="3531"/>
      <c r="N16" s="3531"/>
      <c r="O16" s="3531"/>
      <c r="P16" s="3532"/>
    </row>
    <row r="17" spans="1:19" ht="14.4">
      <c r="A17" s="1646" t="s">
        <v>1136</v>
      </c>
      <c r="B17" s="1647" t="s">
        <v>1137</v>
      </c>
      <c r="C17" s="1648" t="s">
        <v>1138</v>
      </c>
      <c r="D17" s="1649" t="s">
        <v>1126</v>
      </c>
      <c r="E17" s="1650" t="s">
        <v>1127</v>
      </c>
      <c r="F17" s="1651"/>
      <c r="G17" s="1652"/>
      <c r="H17" s="1653" t="s">
        <v>1139</v>
      </c>
      <c r="I17" s="1654" t="s">
        <v>1124</v>
      </c>
      <c r="J17" s="1135"/>
      <c r="K17" s="3527" t="s">
        <v>1140</v>
      </c>
      <c r="L17" s="3528"/>
      <c r="M17" s="3529"/>
      <c r="N17" s="3527" t="s">
        <v>1141</v>
      </c>
      <c r="O17" s="3528"/>
      <c r="P17" s="3529"/>
      <c r="R17" s="1636" t="s">
        <v>1142</v>
      </c>
      <c r="S17" s="56"/>
    </row>
    <row r="18" spans="1:19" ht="14.4">
      <c r="A18" s="1642"/>
      <c r="B18" s="1655"/>
      <c r="C18" s="1656"/>
      <c r="D18" s="1657"/>
      <c r="E18" s="1658" t="s">
        <v>1143</v>
      </c>
      <c r="F18" s="1659" t="s">
        <v>1144</v>
      </c>
      <c r="G18" s="1660" t="s">
        <v>1145</v>
      </c>
      <c r="H18" s="1039" t="s">
        <v>1146</v>
      </c>
      <c r="I18" s="1661" t="s">
        <v>1147</v>
      </c>
      <c r="J18" s="1135"/>
      <c r="K18" s="1039" t="s">
        <v>1148</v>
      </c>
      <c r="L18" s="1662" t="s">
        <v>1149</v>
      </c>
      <c r="M18" s="853" t="s">
        <v>1150</v>
      </c>
      <c r="N18" s="1039" t="s">
        <v>1148</v>
      </c>
      <c r="O18" s="1662" t="s">
        <v>1149</v>
      </c>
      <c r="P18" s="853" t="s">
        <v>1150</v>
      </c>
      <c r="R18" s="1024" t="s">
        <v>1151</v>
      </c>
      <c r="S18" s="1024" t="s">
        <v>1152</v>
      </c>
    </row>
    <row r="19" spans="1:19" ht="14.4">
      <c r="A19" s="1663"/>
      <c r="B19" s="47" t="s">
        <v>1125</v>
      </c>
      <c r="C19" s="3412" t="s">
        <v>3452</v>
      </c>
      <c r="D19" s="45">
        <f>ROUND($D$3*E19/$E$3,2)</f>
        <v>17427.310000000001</v>
      </c>
      <c r="E19" s="53">
        <f t="shared" ref="E19:E26" si="1">SUM(F19:G19)</f>
        <v>36123.300000000003</v>
      </c>
      <c r="F19" s="2790">
        <f>'数据-基础表'!I5</f>
        <v>36123.300000000003</v>
      </c>
      <c r="G19" s="2791"/>
      <c r="H19" s="669">
        <f>ROUND($D$3*I19/$E$3,2)</f>
        <v>766.08</v>
      </c>
      <c r="I19" s="48">
        <f t="shared" ref="I19:I26" si="2">IF($I$17="自定义",P19,M19)</f>
        <v>1587.94</v>
      </c>
      <c r="J19" s="1135"/>
      <c r="K19" s="1134">
        <f t="shared" ref="K19:K26" si="3">ROUND(E$28*E19/E$27,2)</f>
        <v>1587.94</v>
      </c>
      <c r="L19" s="1024">
        <f t="shared" ref="L19:L26" si="4">ROUND(IF(COUNTIF(C19,"*住宅*")&gt;0,E$29*E19/E$32,0),2)</f>
        <v>0</v>
      </c>
      <c r="M19" s="1146">
        <f>K19+L19</f>
        <v>1587.94</v>
      </c>
      <c r="N19" s="1664"/>
      <c r="O19" s="1665"/>
      <c r="P19" s="1146">
        <f>N19+O19</f>
        <v>0</v>
      </c>
      <c r="R19" s="1024">
        <f t="shared" ref="R19:S26" si="5">D19+H19</f>
        <v>18193.390000000003</v>
      </c>
      <c r="S19" s="1025">
        <f t="shared" si="5"/>
        <v>37711.240000000005</v>
      </c>
    </row>
    <row r="20" spans="1:19" ht="14.4">
      <c r="A20" s="1666"/>
      <c r="B20" s="47" t="s">
        <v>1153</v>
      </c>
      <c r="C20" s="3412"/>
      <c r="D20" s="45">
        <f t="shared" ref="D20:D26" si="6">ROUND($D$3*E20/$E$3,2)</f>
        <v>0</v>
      </c>
      <c r="E20" s="53">
        <f t="shared" si="1"/>
        <v>0</v>
      </c>
      <c r="F20" s="2790"/>
      <c r="G20" s="2791"/>
      <c r="H20" s="669">
        <f t="shared" ref="H20:H26" si="7">ROUND($D$3*I20/$E$3,2)</f>
        <v>0</v>
      </c>
      <c r="I20" s="48">
        <f t="shared" si="2"/>
        <v>0</v>
      </c>
      <c r="J20" s="1135"/>
      <c r="K20" s="1134">
        <f t="shared" si="3"/>
        <v>0</v>
      </c>
      <c r="L20" s="1024">
        <f t="shared" si="4"/>
        <v>0</v>
      </c>
      <c r="M20" s="1146">
        <f t="shared" ref="M20:M26" si="8">K20+L20</f>
        <v>0</v>
      </c>
      <c r="N20" s="1664"/>
      <c r="O20" s="1665"/>
      <c r="P20" s="1146">
        <f t="shared" ref="P20:P26" si="9">N20+O20</f>
        <v>0</v>
      </c>
      <c r="R20" s="1024">
        <f t="shared" si="5"/>
        <v>0</v>
      </c>
      <c r="S20" s="1025">
        <f t="shared" si="5"/>
        <v>0</v>
      </c>
    </row>
    <row r="21" spans="1:19" ht="14.4">
      <c r="A21" s="1666"/>
      <c r="B21" s="47" t="s">
        <v>1153</v>
      </c>
      <c r="C21" s="3412"/>
      <c r="D21" s="45">
        <f t="shared" si="6"/>
        <v>0</v>
      </c>
      <c r="E21" s="53">
        <f t="shared" si="1"/>
        <v>0</v>
      </c>
      <c r="F21" s="2790"/>
      <c r="G21" s="2791"/>
      <c r="H21" s="669">
        <f t="shared" si="7"/>
        <v>0</v>
      </c>
      <c r="I21" s="48">
        <f t="shared" si="2"/>
        <v>0</v>
      </c>
      <c r="J21" s="1135"/>
      <c r="K21" s="1134">
        <f t="shared" si="3"/>
        <v>0</v>
      </c>
      <c r="L21" s="1024">
        <f t="shared" si="4"/>
        <v>0</v>
      </c>
      <c r="M21" s="1146">
        <f t="shared" si="8"/>
        <v>0</v>
      </c>
      <c r="N21" s="1664"/>
      <c r="O21" s="1665"/>
      <c r="P21" s="1146">
        <f t="shared" si="9"/>
        <v>0</v>
      </c>
      <c r="R21" s="1024">
        <f t="shared" si="5"/>
        <v>0</v>
      </c>
      <c r="S21" s="1025">
        <f t="shared" si="5"/>
        <v>0</v>
      </c>
    </row>
    <row r="22" spans="1:19" ht="14.4">
      <c r="A22" s="1666"/>
      <c r="B22" s="47" t="s">
        <v>1153</v>
      </c>
      <c r="C22" s="3413"/>
      <c r="D22" s="45">
        <f t="shared" si="6"/>
        <v>0</v>
      </c>
      <c r="E22" s="53">
        <f t="shared" si="1"/>
        <v>0</v>
      </c>
      <c r="F22" s="2792"/>
      <c r="G22" s="2793"/>
      <c r="H22" s="669">
        <f t="shared" si="7"/>
        <v>0</v>
      </c>
      <c r="I22" s="48">
        <f t="shared" si="2"/>
        <v>0</v>
      </c>
      <c r="J22" s="1135"/>
      <c r="K22" s="1134">
        <f t="shared" si="3"/>
        <v>0</v>
      </c>
      <c r="L22" s="1024">
        <f t="shared" si="4"/>
        <v>0</v>
      </c>
      <c r="M22" s="1146">
        <f t="shared" si="8"/>
        <v>0</v>
      </c>
      <c r="N22" s="1664"/>
      <c r="O22" s="1665"/>
      <c r="P22" s="1146">
        <f t="shared" si="9"/>
        <v>0</v>
      </c>
      <c r="R22" s="1024">
        <f t="shared" si="5"/>
        <v>0</v>
      </c>
      <c r="S22" s="1025">
        <f t="shared" si="5"/>
        <v>0</v>
      </c>
    </row>
    <row r="23" spans="1:19" ht="14.4">
      <c r="A23" s="1666"/>
      <c r="B23" s="47" t="s">
        <v>1153</v>
      </c>
      <c r="C23" s="3413"/>
      <c r="D23" s="45">
        <f>ROUND($D$3*E23/$E$3,2)</f>
        <v>0</v>
      </c>
      <c r="E23" s="53">
        <f>SUM(F23:G23)</f>
        <v>0</v>
      </c>
      <c r="F23" s="2792"/>
      <c r="G23" s="2793"/>
      <c r="H23" s="669">
        <f>ROUND($D$3*I23/$E$3,2)</f>
        <v>0</v>
      </c>
      <c r="I23" s="48">
        <f t="shared" si="2"/>
        <v>0</v>
      </c>
      <c r="J23" s="1135"/>
      <c r="K23" s="1134">
        <f t="shared" si="3"/>
        <v>0</v>
      </c>
      <c r="L23" s="1024">
        <f t="shared" si="4"/>
        <v>0</v>
      </c>
      <c r="M23" s="1146">
        <f t="shared" si="8"/>
        <v>0</v>
      </c>
      <c r="N23" s="1664"/>
      <c r="O23" s="1665"/>
      <c r="P23" s="1146">
        <f t="shared" si="9"/>
        <v>0</v>
      </c>
      <c r="R23" s="1024">
        <f t="shared" si="5"/>
        <v>0</v>
      </c>
      <c r="S23" s="1025">
        <f t="shared" si="5"/>
        <v>0</v>
      </c>
    </row>
    <row r="24" spans="1:19" ht="14.4">
      <c r="A24" s="1666"/>
      <c r="B24" s="47" t="s">
        <v>1153</v>
      </c>
      <c r="C24" s="3413"/>
      <c r="D24" s="45">
        <f>ROUND($D$3*E24/$E$3,2)</f>
        <v>0</v>
      </c>
      <c r="E24" s="53">
        <f>SUM(F24:G24)</f>
        <v>0</v>
      </c>
      <c r="F24" s="2792"/>
      <c r="G24" s="2793"/>
      <c r="H24" s="669">
        <f>ROUND($D$3*I24/$E$3,2)</f>
        <v>0</v>
      </c>
      <c r="I24" s="48">
        <f t="shared" si="2"/>
        <v>0</v>
      </c>
      <c r="J24" s="1135"/>
      <c r="K24" s="1134">
        <f t="shared" si="3"/>
        <v>0</v>
      </c>
      <c r="L24" s="1024">
        <f t="shared" si="4"/>
        <v>0</v>
      </c>
      <c r="M24" s="1146">
        <f t="shared" si="8"/>
        <v>0</v>
      </c>
      <c r="N24" s="1664"/>
      <c r="O24" s="1665"/>
      <c r="P24" s="1146">
        <f t="shared" si="9"/>
        <v>0</v>
      </c>
      <c r="R24" s="1024">
        <f t="shared" si="5"/>
        <v>0</v>
      </c>
      <c r="S24" s="1025">
        <f t="shared" si="5"/>
        <v>0</v>
      </c>
    </row>
    <row r="25" spans="1:19" ht="14.4">
      <c r="A25" s="1666"/>
      <c r="B25" s="47" t="s">
        <v>1153</v>
      </c>
      <c r="C25" s="3413"/>
      <c r="D25" s="45">
        <f t="shared" si="6"/>
        <v>0</v>
      </c>
      <c r="E25" s="53">
        <f t="shared" si="1"/>
        <v>0</v>
      </c>
      <c r="F25" s="2792"/>
      <c r="G25" s="2793"/>
      <c r="H25" s="44">
        <f t="shared" si="7"/>
        <v>0</v>
      </c>
      <c r="I25" s="48">
        <f t="shared" si="2"/>
        <v>0</v>
      </c>
      <c r="J25" s="1135"/>
      <c r="K25" s="1134">
        <f t="shared" si="3"/>
        <v>0</v>
      </c>
      <c r="L25" s="1024">
        <f t="shared" si="4"/>
        <v>0</v>
      </c>
      <c r="M25" s="1146">
        <f t="shared" si="8"/>
        <v>0</v>
      </c>
      <c r="N25" s="1664"/>
      <c r="O25" s="1665"/>
      <c r="P25" s="1146">
        <f t="shared" si="9"/>
        <v>0</v>
      </c>
      <c r="R25" s="1024">
        <f t="shared" si="5"/>
        <v>0</v>
      </c>
      <c r="S25" s="1025">
        <f t="shared" si="5"/>
        <v>0</v>
      </c>
    </row>
    <row r="26" spans="1:19" ht="14.4">
      <c r="A26" s="1666"/>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7"/>
      <c r="O26" s="1668"/>
      <c r="P26" s="59">
        <f t="shared" si="9"/>
        <v>0</v>
      </c>
      <c r="R26" s="1024">
        <f t="shared" si="5"/>
        <v>0</v>
      </c>
      <c r="S26" s="1025">
        <f t="shared" si="5"/>
        <v>0</v>
      </c>
    </row>
    <row r="27" spans="1:19" ht="15" thickBot="1">
      <c r="A27" s="1666"/>
      <c r="B27" s="45"/>
      <c r="C27" s="1669" t="s">
        <v>1154</v>
      </c>
      <c r="D27" s="1136">
        <f>SUM(D19:D26)</f>
        <v>17427.310000000001</v>
      </c>
      <c r="E27" s="1137">
        <f>IF(SUM(E19:E26)='数据-基础表'!BA5,SUM(E19:E26),IF(F27="地上面积有误","面积有误","地下面积有误"))</f>
        <v>36123.300000000003</v>
      </c>
      <c r="F27" s="1136">
        <f>IF(SUM(F19:F26)=E8,SUM(F19:F26),"地上面积有误")</f>
        <v>36123.300000000003</v>
      </c>
      <c r="G27" s="1138">
        <f>SUM(G19:G26)</f>
        <v>0</v>
      </c>
      <c r="H27" s="1139">
        <f>SUM(H19:H26)</f>
        <v>766.08</v>
      </c>
      <c r="I27" s="1140">
        <f>SUM(I19:I26)</f>
        <v>1587.94</v>
      </c>
      <c r="J27" s="1135"/>
      <c r="K27" s="1143">
        <f>SUM(K19:K26)</f>
        <v>1587.94</v>
      </c>
      <c r="L27" s="1144">
        <f>SUM(L19:L26)</f>
        <v>0</v>
      </c>
      <c r="M27" s="1147">
        <f>SUM(M19:M26)</f>
        <v>1587.94</v>
      </c>
      <c r="N27" s="1143">
        <f t="shared" ref="N27:O27" si="10">SUM(N19:N26)</f>
        <v>0</v>
      </c>
      <c r="O27" s="1144">
        <f t="shared" si="10"/>
        <v>0</v>
      </c>
      <c r="P27" s="1145">
        <f>SUM(P19:P26)</f>
        <v>0</v>
      </c>
      <c r="R27" s="1026">
        <f>IF(SUM(R19:R26)=$D$3,SUM(R19:R26),SUM(R19:R26)&amp;"误差"&amp;ROUND(SUM(R19:R26)-$D$3,2))</f>
        <v>18193.390000000003</v>
      </c>
      <c r="S27" s="1024">
        <f>IF(SUM(S19:S26)=$E$3,SUM(S19:S26),SUM(S19:S26)&amp;"误差"&amp;ROUND(SUM(S19:S26)-E3,2))</f>
        <v>37711.240000000005</v>
      </c>
    </row>
    <row r="28" spans="1:19" ht="14.4">
      <c r="A28" s="1666"/>
      <c r="B28" s="47" t="s">
        <v>1155</v>
      </c>
      <c r="C28" s="1036" t="s">
        <v>1156</v>
      </c>
      <c r="D28" s="45">
        <f>ROUND($D$3*E28/$E$3,2)</f>
        <v>766.08</v>
      </c>
      <c r="E28" s="53">
        <f>SUM(F28:G28)</f>
        <v>1587.94</v>
      </c>
      <c r="F28" s="56">
        <f>'数据-基础表'!BQ5+'数据-基础表'!BS5</f>
        <v>222.11</v>
      </c>
      <c r="G28" s="57">
        <f>'数据-基础表'!BR5+'数据-基础表'!BT5</f>
        <v>1365.83</v>
      </c>
      <c r="H28" s="2654"/>
      <c r="I28" s="2654"/>
      <c r="J28" s="2654"/>
      <c r="K28" s="2654"/>
      <c r="L28" s="2654"/>
      <c r="M28" s="2654"/>
      <c r="N28" s="2654"/>
      <c r="O28" s="2654"/>
      <c r="P28" s="2654"/>
    </row>
    <row r="29" spans="1:19" ht="14.4">
      <c r="A29" s="1666"/>
      <c r="B29" s="47" t="s">
        <v>1155</v>
      </c>
      <c r="C29" s="1670"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4.4">
      <c r="A30" s="1666"/>
      <c r="B30" s="47"/>
      <c r="C30" s="1671" t="s">
        <v>1154</v>
      </c>
      <c r="D30" s="1136">
        <f>SUM(D28:D29)</f>
        <v>766.08</v>
      </c>
      <c r="E30" s="1136">
        <f>SUM(E28:E29)</f>
        <v>1587.94</v>
      </c>
      <c r="F30" s="1136">
        <f>SUM(F28:F29)</f>
        <v>222.11</v>
      </c>
      <c r="G30" s="1138">
        <f>SUM(G28:G29)</f>
        <v>1365.83</v>
      </c>
      <c r="H30" s="2654"/>
      <c r="I30" s="2654"/>
      <c r="J30" s="2654"/>
      <c r="K30" s="2654"/>
      <c r="L30" s="2654"/>
      <c r="M30" s="2654"/>
      <c r="N30" s="2654"/>
      <c r="O30" s="2654"/>
      <c r="P30" s="2654"/>
    </row>
    <row r="31" spans="1:19" ht="15" thickBot="1">
      <c r="A31" s="1672"/>
      <c r="B31" s="1673"/>
      <c r="C31" s="833" t="s">
        <v>1158</v>
      </c>
      <c r="D31" s="674">
        <f>D27+D30</f>
        <v>18193.390000000003</v>
      </c>
      <c r="E31" s="674">
        <f>E27+E30</f>
        <v>37711.240000000005</v>
      </c>
      <c r="F31" s="675">
        <f>F27+F30</f>
        <v>36345.410000000003</v>
      </c>
      <c r="G31" s="676">
        <f>G27+G30</f>
        <v>1365.83</v>
      </c>
      <c r="H31" s="2654"/>
      <c r="I31" s="2654"/>
      <c r="J31" s="2654"/>
      <c r="K31" s="2654"/>
      <c r="L31" s="2654"/>
      <c r="M31" s="2654"/>
      <c r="N31" s="2654"/>
      <c r="O31" s="2654"/>
      <c r="P31" s="2654"/>
    </row>
    <row r="32" spans="1:19" ht="14.4">
      <c r="A32" s="1639"/>
      <c r="B32" s="1639" t="s">
        <v>1159</v>
      </c>
      <c r="C32" s="1639"/>
      <c r="D32" s="1639"/>
      <c r="E32" s="1051">
        <f>SUMIF(C19:C26,"*住宅*",E19:E26)</f>
        <v>0</v>
      </c>
      <c r="F32" s="1639"/>
      <c r="G32" s="1639"/>
      <c r="H32" s="2654"/>
      <c r="I32" s="2654"/>
      <c r="J32" s="2654"/>
      <c r="K32" s="2654"/>
      <c r="L32" s="2654"/>
      <c r="M32" s="2654"/>
      <c r="N32" s="2654"/>
      <c r="O32" s="2654"/>
      <c r="P32" s="2654"/>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15" activePane="bottomRight" state="frozen"/>
      <selection activeCell="C50" sqref="C50"/>
      <selection pane="topRight" activeCell="C50" sqref="C50"/>
      <selection pane="bottomLeft" activeCell="C50" sqref="C50"/>
      <selection pane="bottomRight" activeCell="V6" sqref="V6:W6"/>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24" width="6.77734375" style="1678" customWidth="1"/>
    <col min="25" max="25" width="8.21875" style="1678" customWidth="1"/>
    <col min="26"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6"/>
      <c r="AO1" s="2666"/>
      <c r="AP1" s="2666"/>
      <c r="AQ1" s="2666"/>
      <c r="AR1" s="2666"/>
    </row>
    <row r="2" spans="1:67" s="1555" customFormat="1" ht="15" thickBot="1">
      <c r="A2" s="1679" t="s">
        <v>1161</v>
      </c>
      <c r="B2" s="1043">
        <f>项目基本情况!D3</f>
        <v>45124</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8"/>
      <c r="AO2" s="2668"/>
      <c r="AP2" s="2668"/>
      <c r="AQ2" s="2668"/>
      <c r="AR2" s="2668"/>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8"/>
      <c r="AO3" s="2668"/>
      <c r="AP3" s="2668"/>
      <c r="AQ3" s="2668"/>
      <c r="AR3" s="2668"/>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3"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8"/>
      <c r="AO4" s="2668"/>
      <c r="AP4" s="2668"/>
      <c r="AQ4" s="2668"/>
      <c r="AR4" s="2668"/>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5" t="s">
        <v>1172</v>
      </c>
      <c r="F5" s="1695" t="s">
        <v>1173</v>
      </c>
      <c r="G5" s="1045" t="s">
        <v>1174</v>
      </c>
      <c r="H5" s="1045" t="s">
        <v>1175</v>
      </c>
      <c r="I5" s="1045" t="s">
        <v>1176</v>
      </c>
      <c r="J5" s="1696" t="s">
        <v>1177</v>
      </c>
      <c r="K5" s="1697" t="s">
        <v>1178</v>
      </c>
      <c r="L5" s="1698" t="s">
        <v>1179</v>
      </c>
      <c r="M5" s="1699" t="s">
        <v>1180</v>
      </c>
      <c r="N5" s="1700" t="s">
        <v>3453</v>
      </c>
      <c r="O5" s="1698" t="s">
        <v>1181</v>
      </c>
      <c r="P5" s="1701" t="s">
        <v>1182</v>
      </c>
      <c r="Q5" s="61" t="s">
        <v>1183</v>
      </c>
      <c r="R5" s="1702" t="s">
        <v>1184</v>
      </c>
      <c r="S5" s="1703" t="s">
        <v>1185</v>
      </c>
      <c r="T5" s="1704" t="s">
        <v>1186</v>
      </c>
      <c r="U5" s="1044" t="s">
        <v>1187</v>
      </c>
      <c r="V5" s="1045" t="s">
        <v>1188</v>
      </c>
      <c r="W5" s="1045" t="s">
        <v>1189</v>
      </c>
      <c r="X5" s="63"/>
      <c r="Y5" s="62" t="s">
        <v>1190</v>
      </c>
      <c r="Z5" s="1705" t="s">
        <v>1187</v>
      </c>
      <c r="AA5" s="1045" t="s">
        <v>1188</v>
      </c>
      <c r="AB5" s="1045" t="s">
        <v>1189</v>
      </c>
      <c r="AC5" s="63"/>
      <c r="AD5" s="63" t="s">
        <v>1190</v>
      </c>
      <c r="AE5" s="1044" t="s">
        <v>1191</v>
      </c>
      <c r="AF5" s="1045" t="s">
        <v>1192</v>
      </c>
      <c r="AG5" s="62" t="s">
        <v>1193</v>
      </c>
      <c r="AH5" s="1044" t="s">
        <v>1194</v>
      </c>
      <c r="AI5" s="1705" t="s">
        <v>1195</v>
      </c>
      <c r="AJ5" s="1705" t="s">
        <v>1196</v>
      </c>
      <c r="AK5" s="1045" t="s">
        <v>1197</v>
      </c>
      <c r="AL5" s="1045" t="s">
        <v>1198</v>
      </c>
      <c r="AM5" s="62" t="s">
        <v>1199</v>
      </c>
      <c r="AN5" s="1706" t="s">
        <v>1200</v>
      </c>
      <c r="AO5" s="1558" t="s">
        <v>1201</v>
      </c>
      <c r="AP5" s="1026"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工业</v>
      </c>
      <c r="B6" s="1709" t="str">
        <f>IF(A6=0,"","经营性")</f>
        <v>经营性</v>
      </c>
      <c r="C6" s="1710" t="s">
        <v>3</v>
      </c>
      <c r="D6" s="856">
        <f>SUMIF(项目基本情况!C$12:I$12,C6,项目基本情况!C$14:I$14)</f>
        <v>50</v>
      </c>
      <c r="E6" s="855">
        <f>IF(B6="","",SUMIF(项目基本情况!C$12:I$12,C6,项目基本情况!C$13:I$13))</f>
        <v>57526</v>
      </c>
      <c r="F6" s="64">
        <f>SUMIF(项目基本情况!C$12:I$12,C6,项目基本情况!C$15:I$15)</f>
        <v>33.97</v>
      </c>
      <c r="G6" s="65">
        <f>IF(ISERROR(ROUND(POWER(1+H6,D6-F6)*(POWER(1+H6,F6)-1)/(POWER(1+H6,D6)-1),3)),0,ROUND(POWER(1+H6,D6-F6)*(POWER(1+H6,F6)-1)/(POWER(1+H6,D6)-1),3))</f>
        <v>0.88700000000000001</v>
      </c>
      <c r="H6" s="730">
        <v>0.05</v>
      </c>
      <c r="I6" s="730">
        <v>5.5E-2</v>
      </c>
      <c r="J6" s="66">
        <v>7.0000000000000007E-2</v>
      </c>
      <c r="K6" s="1028">
        <f>SUMIF('数据-汇总表'!C$19:C$33,A6,'数据-汇总表'!E$19:E$33)</f>
        <v>36123.300000000003</v>
      </c>
      <c r="L6" s="3802">
        <v>3000</v>
      </c>
      <c r="M6" s="67">
        <f t="shared" ref="M6:M14" si="0">ROUND(K6*L6/10000,0)</f>
        <v>10837</v>
      </c>
      <c r="N6" s="729">
        <v>0.99</v>
      </c>
      <c r="O6" s="67">
        <f>IF($N$5="成新度","——",ROUND(M6*N6,0))</f>
        <v>10729</v>
      </c>
      <c r="P6" s="68">
        <f>IF($N$5="成新度","——",M6-O6)</f>
        <v>108</v>
      </c>
      <c r="Q6" s="3801">
        <v>7.0000000000000007E-2</v>
      </c>
      <c r="R6" s="69">
        <f ca="1">SUMIF('数据-汇总表'!C$19:C$33,A6,'数据-汇总表'!R$19:R$27)</f>
        <v>18193.390000000003</v>
      </c>
      <c r="S6" s="51">
        <f>IF('数据-汇总表'!$I$17="按面积比例",SUMIF('数据-汇总表'!C$19:C$33,A6,'数据-汇总表'!K$19:K$33),SUMIF('数据-汇总表'!C$19:C$33,A6,'数据-汇总表'!N$19:N$33))</f>
        <v>1587.94</v>
      </c>
      <c r="T6" s="1168">
        <f>ROUND($L$14*S6/10000,0)</f>
        <v>476</v>
      </c>
      <c r="U6" s="3450">
        <v>1.7</v>
      </c>
      <c r="V6" s="3804">
        <v>0.02</v>
      </c>
      <c r="W6" s="3804">
        <v>0.15</v>
      </c>
      <c r="X6" s="1038"/>
      <c r="Y6" s="71">
        <v>1</v>
      </c>
      <c r="Z6" s="72"/>
      <c r="AA6" s="66"/>
      <c r="AB6" s="66"/>
      <c r="AC6" s="1038"/>
      <c r="AD6" s="73"/>
      <c r="AE6" s="1039">
        <f ca="1">IF(AN6="",0,SUMIF(INDIRECT("'"&amp;AN6&amp;"'"&amp;"!E:E"),$AE$5,INDIRECT("'"&amp;AN6&amp;"'"&amp;"!F:F")))</f>
        <v>33.96</v>
      </c>
      <c r="AF6" s="1344"/>
      <c r="AG6" s="137">
        <f>IF(AF6="",0,AE6-AF6)</f>
        <v>0</v>
      </c>
      <c r="AH6" s="74"/>
      <c r="AI6" s="76">
        <v>365</v>
      </c>
      <c r="AJ6" s="77"/>
      <c r="AK6" s="3799">
        <v>0.01</v>
      </c>
      <c r="AL6" s="3803">
        <v>1E-3</v>
      </c>
      <c r="AM6" s="3800">
        <v>8.5000000000000006E-3</v>
      </c>
      <c r="AN6" s="1711" t="s">
        <v>3396</v>
      </c>
      <c r="AO6" s="52">
        <f ca="1">SUMIF(INDIRECT("'"&amp;AN6&amp;"'"&amp;"!A:A"),"总价",INDIRECT("'"&amp;AN6&amp;"'"&amp;"!B:B"))</f>
        <v>27877</v>
      </c>
      <c r="AP6" s="1712">
        <f>IF(C6="住宅",K6*L6,0)</f>
        <v>0</v>
      </c>
      <c r="AQ6" s="52">
        <f>ROUND($L$14*$N$14*S6/10000,0)</f>
        <v>472</v>
      </c>
      <c r="AR6" s="52">
        <f>ROUND($L$14*(1-$N$14)*S6/10000,0)</f>
        <v>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f t="shared" ref="O7:O14" si="3">IF($N$5="成新度","——",ROUND(M7*N7,0))</f>
        <v>0</v>
      </c>
      <c r="P7" s="68">
        <f t="shared" ref="P7:P14" si="4">IF($N$5="成新度","——",M7-O7)</f>
        <v>0</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3"/>
      <c r="V7" s="70"/>
      <c r="W7" s="70"/>
      <c r="X7" s="1038"/>
      <c r="Y7" s="71"/>
      <c r="Z7" s="72"/>
      <c r="AA7" s="66"/>
      <c r="AB7" s="66"/>
      <c r="AC7" s="1038"/>
      <c r="AD7" s="73"/>
      <c r="AE7" s="1039">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f t="shared" si="3"/>
        <v>0</v>
      </c>
      <c r="P8" s="68">
        <f t="shared" si="4"/>
        <v>0</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4"/>
      <c r="V8" s="733"/>
      <c r="W8" s="733"/>
      <c r="X8" s="1038"/>
      <c r="Y8" s="71"/>
      <c r="Z8" s="72"/>
      <c r="AA8" s="66"/>
      <c r="AB8" s="66"/>
      <c r="AC8" s="1038"/>
      <c r="AD8" s="73"/>
      <c r="AE8" s="1039">
        <f t="shared" ca="1" si="6"/>
        <v>0</v>
      </c>
      <c r="AF8" s="1344"/>
      <c r="AG8" s="137">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3"/>
      <c r="V9" s="70"/>
      <c r="W9" s="70"/>
      <c r="X9" s="1038"/>
      <c r="Y9" s="71"/>
      <c r="Z9" s="72"/>
      <c r="AA9" s="66"/>
      <c r="AB9" s="66"/>
      <c r="AC9" s="1038"/>
      <c r="AD9" s="73"/>
      <c r="AE9" s="1039">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8"/>
      <c r="Y10" s="71"/>
      <c r="Z10" s="72"/>
      <c r="AA10" s="66"/>
      <c r="AB10" s="66"/>
      <c r="AC10" s="1038"/>
      <c r="AD10" s="73"/>
      <c r="AE10" s="1039">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8"/>
      <c r="Y11" s="71"/>
      <c r="Z11" s="84"/>
      <c r="AA11" s="66"/>
      <c r="AB11" s="66"/>
      <c r="AC11" s="1038"/>
      <c r="AD11" s="73"/>
      <c r="AE11" s="1039">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8"/>
      <c r="Y12" s="71"/>
      <c r="Z12" s="84"/>
      <c r="AA12" s="66"/>
      <c r="AB12" s="66"/>
      <c r="AC12" s="1038"/>
      <c r="AD12" s="73"/>
      <c r="AE12" s="1039">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8"/>
      <c r="Y13" s="71"/>
      <c r="Z13" s="72"/>
      <c r="AA13" s="66"/>
      <c r="AB13" s="66"/>
      <c r="AC13" s="1038"/>
      <c r="AD13" s="73"/>
      <c r="AE13" s="1039">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7"/>
      <c r="I14" s="1027"/>
      <c r="J14" s="1027"/>
      <c r="K14" s="1028">
        <f>SUMIF('数据-汇总表'!C$19:C$33,A14,'数据-汇总表'!E$19:E$33)</f>
        <v>1587.94</v>
      </c>
      <c r="L14" s="82">
        <f>L6</f>
        <v>3000</v>
      </c>
      <c r="M14" s="67">
        <f t="shared" si="0"/>
        <v>476</v>
      </c>
      <c r="N14" s="83">
        <f>N6</f>
        <v>0.99</v>
      </c>
      <c r="O14" s="67">
        <f t="shared" si="3"/>
        <v>471</v>
      </c>
      <c r="P14" s="68">
        <f t="shared" si="4"/>
        <v>5</v>
      </c>
      <c r="Q14" s="1031"/>
      <c r="R14" s="69"/>
      <c r="S14" s="51"/>
      <c r="T14" s="1168"/>
      <c r="U14" s="669"/>
      <c r="V14" s="1033"/>
      <c r="W14" s="1033"/>
      <c r="X14" s="1034"/>
      <c r="Y14" s="1035"/>
      <c r="Z14" s="1036"/>
      <c r="AA14" s="1037"/>
      <c r="AB14" s="1037"/>
      <c r="AC14" s="1038"/>
      <c r="AD14" s="1034"/>
      <c r="AE14" s="1039"/>
      <c r="AF14" s="52"/>
      <c r="AG14" s="137"/>
      <c r="AH14" s="1039"/>
      <c r="AI14" s="1353"/>
      <c r="AJ14" s="702"/>
      <c r="AK14" s="1040"/>
      <c r="AL14" s="1041"/>
      <c r="AM14" s="1042"/>
      <c r="AN14" s="2666"/>
      <c r="AO14" s="2668"/>
      <c r="AP14" s="2668"/>
      <c r="AQ14" s="2668"/>
      <c r="AR14" s="2668"/>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7"/>
      <c r="I15" s="1027"/>
      <c r="J15" s="1027"/>
      <c r="K15" s="1028">
        <f>SUMIF('数据-汇总表'!C$19:C$33,A15,'数据-汇总表'!E$19:E$33)</f>
        <v>0</v>
      </c>
      <c r="L15" s="1029"/>
      <c r="M15" s="67"/>
      <c r="N15" s="1030"/>
      <c r="O15" s="67"/>
      <c r="P15" s="68"/>
      <c r="Q15" s="1031"/>
      <c r="R15" s="69"/>
      <c r="S15" s="51"/>
      <c r="T15" s="1168"/>
      <c r="U15" s="669"/>
      <c r="V15" s="1033"/>
      <c r="W15" s="1033"/>
      <c r="X15" s="1034"/>
      <c r="Y15" s="1035"/>
      <c r="Z15" s="1036"/>
      <c r="AA15" s="1037"/>
      <c r="AB15" s="1037"/>
      <c r="AC15" s="1038"/>
      <c r="AD15" s="1034"/>
      <c r="AE15" s="1039"/>
      <c r="AF15" s="52"/>
      <c r="AG15" s="137"/>
      <c r="AH15" s="1039"/>
      <c r="AI15" s="1353"/>
      <c r="AJ15" s="702"/>
      <c r="AK15" s="1040"/>
      <c r="AL15" s="1041"/>
      <c r="AM15" s="1042"/>
      <c r="AN15" s="2666"/>
      <c r="AO15" s="2668"/>
      <c r="AP15" s="2668"/>
      <c r="AQ15" s="2668"/>
      <c r="AR15" s="2668"/>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0.88700000000000001</v>
      </c>
      <c r="H16" s="90">
        <f>ROUND(SUMPRODUCT(H6:H13,K6:K13)/SUMPRODUCT((H6:H13&gt;0)*(K6:K13)),3)</f>
        <v>0.05</v>
      </c>
      <c r="I16" s="91"/>
      <c r="J16" s="91"/>
      <c r="K16" s="92">
        <f>SUM(K6:K15)</f>
        <v>37711.240000000005</v>
      </c>
      <c r="L16" s="93">
        <f>ROUND(M16*10000/SUM(K6:K14),0)</f>
        <v>3000</v>
      </c>
      <c r="M16" s="93">
        <f>SUM(M6:M14)</f>
        <v>11313</v>
      </c>
      <c r="N16" s="94">
        <f>ROUND(SUMPRODUCT(M6:M14,N6:N14)/M16,3)</f>
        <v>0.99</v>
      </c>
      <c r="O16" s="93">
        <f>SUM(O6:O14)</f>
        <v>11200</v>
      </c>
      <c r="P16" s="93">
        <f>SUM(P6:P14)</f>
        <v>113</v>
      </c>
      <c r="Q16" s="95">
        <f>ROUND(SUMPRODUCT(Q6:Q13,K6:K13)/SUMPRODUCT((Q6:Q13&gt;0)*(K6:K13)),2)</f>
        <v>7.0000000000000007E-2</v>
      </c>
      <c r="R16" s="1032">
        <f ca="1">SUM(R6:R13)</f>
        <v>18193.390000000003</v>
      </c>
      <c r="S16" s="96">
        <f>SUM(S6:S13)</f>
        <v>1587.94</v>
      </c>
      <c r="T16" s="97">
        <f>IF(SUMIF(T6:T13,"&lt;9E307")=M14,SUMIF(T6:T13,"&lt;9E307"),"有误，请检查")</f>
        <v>476</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f>ROUND(1-(1-0%)*(2023-2008)/60,2)</f>
        <v>0.75</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4">
      <c r="A19" s="1718" t="s">
        <v>1211</v>
      </c>
      <c r="B19" s="103"/>
      <c r="C19" s="2794" t="s">
        <v>2305</v>
      </c>
      <c r="D19" s="2671"/>
      <c r="E19" s="2668"/>
      <c r="F19" s="2668"/>
      <c r="G19" s="2668"/>
      <c r="H19" s="2668"/>
      <c r="I19" s="2668"/>
      <c r="J19" s="2668"/>
      <c r="K19" s="2667"/>
      <c r="L19" s="2667"/>
      <c r="M19" s="2666"/>
      <c r="N19" s="2666">
        <v>0.95</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4">
      <c r="A20" s="1719" t="s">
        <v>1212</v>
      </c>
      <c r="B20" s="104">
        <v>1</v>
      </c>
      <c r="C20" s="2795" t="s">
        <v>2303</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4">
      <c r="A21" s="1720" t="s">
        <v>1213</v>
      </c>
      <c r="B21" s="104">
        <v>0.99</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4">
      <c r="A22" s="1719" t="s">
        <v>1214</v>
      </c>
      <c r="B22" s="105">
        <f>B19+B20</f>
        <v>1</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4">
      <c r="A23" s="1720" t="s">
        <v>1215</v>
      </c>
      <c r="B23" s="105">
        <f>B19+B21</f>
        <v>0.99</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1" t="s">
        <v>1216</v>
      </c>
      <c r="B24" s="106">
        <f>B20-B21</f>
        <v>1.0000000000000009E-2</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4.4" thickBot="1">
      <c r="A25" s="1553"/>
      <c r="B25" s="1683"/>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31.5" customHeight="1" thickBot="1">
      <c r="A26" s="1679" t="s">
        <v>1217</v>
      </c>
      <c r="B26" s="1722"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4" customFormat="1" ht="28.8">
      <c r="A27" s="1723" t="s">
        <v>1220</v>
      </c>
      <c r="B27" s="107"/>
      <c r="C27" s="2796" t="s">
        <v>2307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f>ROUND(B28*K16/10000,0)</f>
        <v>717</v>
      </c>
      <c r="C29" s="2797" t="s">
        <v>2294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1"/>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3796">
        <v>3.5000000000000003E-2</v>
      </c>
      <c r="C33" s="2798" t="s">
        <v>2295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8" t="s">
        <v>2296</v>
      </c>
      <c r="D34" s="2679" t="s">
        <v>2304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8" t="s">
        <v>2297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3797">
        <v>1.4999999999999999E-2</v>
      </c>
      <c r="C36" s="2798" t="s">
        <v>2298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4">
      <c r="A37" s="1727" t="s">
        <v>1230</v>
      </c>
      <c r="B37" s="114">
        <v>0.02</v>
      </c>
      <c r="C37" s="2798" t="s">
        <v>2299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4">
      <c r="A38" s="1725" t="s">
        <v>1231</v>
      </c>
      <c r="B38" s="113">
        <v>0.02</v>
      </c>
      <c r="C38" s="2798" t="s">
        <v>2299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4">
      <c r="A39" s="1728"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4.4" thickBot="1">
      <c r="A40" s="2810" t="s">
        <v>3469</v>
      </c>
      <c r="B40" s="1076">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4">
      <c r="A41" s="1723" t="s">
        <v>1233</v>
      </c>
      <c r="B41" s="115">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4">
      <c r="A42" s="1729"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4">
      <c r="A43" s="1729" t="s">
        <v>1235</v>
      </c>
      <c r="B43" s="117">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4">
      <c r="A44" s="1730" t="s">
        <v>1236</v>
      </c>
      <c r="B44" s="118">
        <v>0.05</v>
      </c>
      <c r="C44" s="2798" t="s">
        <v>2308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4">
      <c r="A45" s="1730" t="s">
        <v>1237</v>
      </c>
      <c r="B45" s="116">
        <v>0.03</v>
      </c>
      <c r="C45" s="2797" t="s">
        <v>2300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4">
      <c r="A46" s="1730" t="s">
        <v>1238</v>
      </c>
      <c r="B46" s="116">
        <v>0.02</v>
      </c>
      <c r="C46" s="2797" t="s">
        <v>2301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1" t="s">
        <v>1239</v>
      </c>
      <c r="B47" s="119"/>
      <c r="C47" s="2800" t="s">
        <v>2309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4">
      <c r="A48" s="1732" t="s">
        <v>1240</v>
      </c>
      <c r="B48" s="120">
        <v>0.03</v>
      </c>
      <c r="C48" s="2797" t="s">
        <v>2300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8" t="s">
        <v>1241</v>
      </c>
      <c r="B49" s="116">
        <v>5.0000000000000001E-4</v>
      </c>
      <c r="C49" s="2797" t="s">
        <v>2302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4">
      <c r="A50" s="1733" t="s">
        <v>1242</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6" t="s">
        <v>1243</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4">
      <c r="A52" s="1733" t="s">
        <v>1244</v>
      </c>
      <c r="B52" s="123">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8.8">
      <c r="A53" s="1725" t="s">
        <v>1245</v>
      </c>
      <c r="B53" s="1734" t="s">
        <v>29</v>
      </c>
      <c r="C53" s="2656" t="s">
        <v>1246</v>
      </c>
      <c r="D53" s="2799" t="s">
        <v>2306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4">
      <c r="A54" s="1735"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4">
      <c r="A55" s="1735"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4">
      <c r="A56" s="1735"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4">
      <c r="A57" s="1735"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4">
      <c r="A58" s="1735"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4">
      <c r="A59" s="1735"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4">
      <c r="A60" s="1735"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4">
      <c r="A61" s="1735"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4">
      <c r="A62" s="1735"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6"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5" customWidth="1"/>
    <col min="4" max="4" width="2.6640625" style="2505" customWidth="1"/>
    <col min="5" max="5" width="5.88671875" style="2505" customWidth="1"/>
    <col min="6" max="6" width="27" style="1568" customWidth="1"/>
    <col min="7" max="7" width="27" style="2506" customWidth="1"/>
    <col min="8" max="8" width="11.88671875" style="2486" customWidth="1"/>
    <col min="9" max="9" width="16.77734375" style="2487" customWidth="1"/>
    <col min="10" max="10" width="2.6640625" style="2486" customWidth="1"/>
    <col min="11" max="11" width="11.88671875" style="2486" customWidth="1"/>
    <col min="12" max="12" width="16.77734375" style="2487" customWidth="1"/>
    <col min="13" max="13" width="2.6640625" style="2486" customWidth="1"/>
    <col min="14" max="14" width="11.88671875" style="2486" customWidth="1"/>
    <col min="15" max="15" width="16.77734375" style="2487" customWidth="1"/>
    <col min="16" max="16" width="2.6640625" style="2486" customWidth="1"/>
    <col min="17" max="17" width="11.88671875" style="2486" customWidth="1"/>
    <col min="18" max="18" width="16.77734375" style="2488" customWidth="1"/>
    <col min="19" max="29" width="9" style="797"/>
    <col min="30" max="16384" width="9" style="1682"/>
  </cols>
  <sheetData>
    <row r="1" spans="1:29" s="2452" customFormat="1" ht="18" thickBot="1">
      <c r="A1" s="3542" t="s">
        <v>2286</v>
      </c>
      <c r="B1" s="3543"/>
      <c r="C1" s="3543"/>
      <c r="D1" s="3543"/>
      <c r="E1" s="3543"/>
      <c r="F1" s="3543"/>
      <c r="G1" s="3543"/>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4.4" thickBot="1">
      <c r="A2" s="2453"/>
      <c r="B2" s="2454"/>
      <c r="C2" s="2455" t="s">
        <v>2281</v>
      </c>
      <c r="D2" s="2456"/>
      <c r="E2" s="2453"/>
      <c r="F2" s="2457"/>
      <c r="G2" s="2455" t="s">
        <v>2282</v>
      </c>
      <c r="H2" s="797"/>
      <c r="I2" s="797"/>
      <c r="J2" s="797"/>
      <c r="K2" s="797"/>
      <c r="L2" s="797"/>
      <c r="M2" s="797"/>
      <c r="N2" s="797"/>
      <c r="O2" s="797"/>
      <c r="P2" s="797"/>
      <c r="Q2" s="797"/>
      <c r="R2" s="797"/>
    </row>
    <row r="3" spans="1:29" ht="48">
      <c r="A3" s="2436" t="s">
        <v>2283</v>
      </c>
      <c r="B3" s="2458" t="s">
        <v>2252</v>
      </c>
      <c r="C3" s="2459" t="s">
        <v>2284</v>
      </c>
      <c r="D3" s="2460"/>
      <c r="E3" s="2437" t="s">
        <v>2283</v>
      </c>
      <c r="F3" s="2461" t="s">
        <v>2253</v>
      </c>
      <c r="G3" s="2462" t="s">
        <v>2285</v>
      </c>
      <c r="H3" s="797"/>
      <c r="I3" s="797"/>
      <c r="J3" s="797"/>
      <c r="K3" s="797"/>
      <c r="L3" s="797"/>
      <c r="M3" s="797"/>
      <c r="N3" s="797"/>
      <c r="O3" s="797"/>
      <c r="P3" s="797"/>
      <c r="Q3" s="797"/>
      <c r="R3" s="797"/>
    </row>
    <row r="4" spans="1:29" ht="37.200000000000003">
      <c r="A4" s="2437"/>
      <c r="B4" s="322" t="s">
        <v>2254</v>
      </c>
      <c r="C4" s="2463" t="s">
        <v>2255</v>
      </c>
      <c r="D4" s="2460"/>
      <c r="E4" s="2464"/>
      <c r="F4" s="1369" t="s">
        <v>2256</v>
      </c>
      <c r="G4" s="2465" t="s">
        <v>2257</v>
      </c>
      <c r="H4" s="797"/>
      <c r="I4" s="797"/>
      <c r="J4" s="797"/>
      <c r="K4" s="797"/>
      <c r="L4" s="797"/>
      <c r="M4" s="797"/>
      <c r="N4" s="797"/>
      <c r="O4" s="797"/>
      <c r="P4" s="797"/>
      <c r="Q4" s="797"/>
      <c r="R4" s="797"/>
    </row>
    <row r="5" spans="1:29" ht="37.200000000000003">
      <c r="A5" s="2437"/>
      <c r="B5" s="322" t="s">
        <v>2258</v>
      </c>
      <c r="C5" s="2463" t="s">
        <v>2259</v>
      </c>
      <c r="D5" s="2460"/>
      <c r="E5" s="2464"/>
      <c r="F5" s="322" t="s">
        <v>2260</v>
      </c>
      <c r="G5" s="2465" t="s">
        <v>2261</v>
      </c>
      <c r="H5" s="797"/>
      <c r="I5" s="797"/>
      <c r="J5" s="797"/>
      <c r="K5" s="797"/>
      <c r="L5" s="797"/>
      <c r="M5" s="797"/>
      <c r="N5" s="797"/>
      <c r="O5" s="797"/>
      <c r="P5" s="797"/>
      <c r="Q5" s="797"/>
      <c r="R5" s="797"/>
    </row>
    <row r="6" spans="1:29" ht="48">
      <c r="A6" s="2437"/>
      <c r="B6" s="322" t="s">
        <v>2262</v>
      </c>
      <c r="C6" s="2465" t="s">
        <v>2257</v>
      </c>
      <c r="D6" s="2460"/>
      <c r="E6" s="2464"/>
      <c r="F6" s="322" t="s">
        <v>2263</v>
      </c>
      <c r="G6" s="2465" t="s">
        <v>2264</v>
      </c>
      <c r="H6" s="797"/>
      <c r="I6" s="797"/>
      <c r="J6" s="797"/>
      <c r="K6" s="797"/>
      <c r="L6" s="797"/>
      <c r="M6" s="797"/>
      <c r="N6" s="797"/>
      <c r="O6" s="797"/>
      <c r="P6" s="797"/>
      <c r="Q6" s="797"/>
      <c r="R6" s="797"/>
    </row>
    <row r="7" spans="1:29" ht="36.6" thickBot="1">
      <c r="A7" s="2437"/>
      <c r="B7" s="322" t="s">
        <v>2260</v>
      </c>
      <c r="C7" s="2465" t="s">
        <v>2261</v>
      </c>
      <c r="D7" s="2466"/>
      <c r="E7" s="2467"/>
      <c r="F7" s="2468" t="s">
        <v>2265</v>
      </c>
      <c r="G7" s="2469" t="s">
        <v>2266</v>
      </c>
      <c r="H7" s="797"/>
      <c r="I7" s="797"/>
      <c r="J7" s="797"/>
      <c r="K7" s="797"/>
      <c r="L7" s="797"/>
      <c r="M7" s="797"/>
      <c r="N7" s="797"/>
      <c r="O7" s="797"/>
      <c r="P7" s="797"/>
      <c r="Q7" s="797"/>
      <c r="R7" s="797"/>
    </row>
    <row r="8" spans="1:29" ht="24">
      <c r="A8" s="2437"/>
      <c r="B8" s="322" t="s">
        <v>2263</v>
      </c>
      <c r="C8" s="2465" t="s">
        <v>2264</v>
      </c>
      <c r="D8" s="2466"/>
      <c r="E8" s="2466"/>
      <c r="F8" s="2470"/>
      <c r="G8" s="2470"/>
      <c r="H8" s="797"/>
      <c r="I8" s="797"/>
      <c r="J8" s="797"/>
      <c r="K8" s="797"/>
      <c r="L8" s="797"/>
      <c r="M8" s="797"/>
      <c r="N8" s="797"/>
      <c r="O8" s="797"/>
      <c r="P8" s="797"/>
      <c r="Q8" s="797"/>
      <c r="R8" s="797"/>
    </row>
    <row r="9" spans="1:29" ht="24">
      <c r="A9" s="2437"/>
      <c r="B9" s="322" t="s">
        <v>2267</v>
      </c>
      <c r="C9" s="2463" t="s">
        <v>2268</v>
      </c>
      <c r="D9" s="2460"/>
      <c r="E9" s="2466"/>
      <c r="F9" s="2470"/>
      <c r="G9" s="2470"/>
      <c r="H9" s="797"/>
      <c r="I9" s="797"/>
      <c r="J9" s="797"/>
      <c r="K9" s="797"/>
      <c r="L9" s="797"/>
      <c r="M9" s="797"/>
      <c r="N9" s="797"/>
      <c r="O9" s="797"/>
      <c r="P9" s="797"/>
      <c r="Q9" s="797"/>
      <c r="R9" s="797"/>
    </row>
    <row r="10" spans="1:29" s="2476" customFormat="1" ht="14.4" thickBot="1">
      <c r="A10" s="2438"/>
      <c r="B10" s="2471" t="s">
        <v>2269</v>
      </c>
      <c r="C10" s="2472"/>
      <c r="D10" s="2460"/>
      <c r="E10" s="2460"/>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2" customFormat="1" ht="17.399999999999999">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 thickBot="1">
      <c r="A13" s="2485" t="s">
        <v>2287</v>
      </c>
      <c r="B13" s="2479"/>
      <c r="C13" s="2479"/>
      <c r="D13" s="2477"/>
      <c r="E13" s="2479"/>
      <c r="F13" s="2479"/>
      <c r="G13" s="2479"/>
    </row>
    <row r="14" spans="1:29" ht="14.4" thickBot="1">
      <c r="A14" s="2489"/>
      <c r="B14" s="2489"/>
      <c r="C14" s="2490" t="s">
        <v>2270</v>
      </c>
      <c r="D14" s="2460"/>
      <c r="E14" s="2491"/>
      <c r="F14" s="2491"/>
      <c r="G14" s="2455" t="s">
        <v>2271</v>
      </c>
    </row>
    <row r="15" spans="1:29" ht="52.8">
      <c r="A15" s="2439" t="s">
        <v>2272</v>
      </c>
      <c r="B15" s="2492" t="s">
        <v>2252</v>
      </c>
      <c r="C15" s="2493" t="str">
        <f>C3</f>
        <v>估价对象周边居住用地比例、居住小区规模和社区发展完善程度，综合评价居住社区成熟度一般</v>
      </c>
      <c r="D15" s="2460"/>
      <c r="E15" s="2440" t="s">
        <v>2273</v>
      </c>
      <c r="F15" s="2492" t="s">
        <v>2274</v>
      </c>
      <c r="G15" s="2494" t="str">
        <f>G3</f>
        <v>估价对象位于XX开发区，园区建设成熟度XX，产业集聚程度XX</v>
      </c>
    </row>
    <row r="16" spans="1:29" ht="39.6">
      <c r="A16" s="2441"/>
      <c r="B16" s="2495" t="s">
        <v>2254</v>
      </c>
      <c r="C16" s="2496" t="str">
        <f>C4</f>
        <v>估价对象位于XX商圈，周边商业氛围成熟，人流量大，商业繁华度好</v>
      </c>
      <c r="D16" s="2460"/>
      <c r="E16" s="2442"/>
      <c r="F16" s="2497" t="s">
        <v>2256</v>
      </c>
      <c r="G16" s="2498" t="str">
        <f>G4</f>
        <v>估价对象周边道路状况、公共交通通达情况、停车便捷程度，综合评价交通便捷度较好</v>
      </c>
    </row>
    <row r="17" spans="1:18" ht="39.6">
      <c r="A17" s="2441"/>
      <c r="B17" s="2495" t="s">
        <v>2258</v>
      </c>
      <c r="C17" s="2496" t="str">
        <f>C5</f>
        <v>估价对象位于XX商圈，周边办公楼项目较多，入驻率高，办公集聚程度较好</v>
      </c>
      <c r="D17" s="2466"/>
      <c r="E17" s="2442"/>
      <c r="F17" s="2497" t="s">
        <v>2275</v>
      </c>
      <c r="G17" s="2499"/>
    </row>
    <row r="18" spans="1:18" ht="52.8">
      <c r="A18" s="2441"/>
      <c r="B18" s="2497" t="s">
        <v>2262</v>
      </c>
      <c r="C18" s="2498" t="str">
        <f>C6</f>
        <v>估价对象周边道路状况、公共交通通达情况、停车便捷程度，综合评价交通便捷度较好</v>
      </c>
      <c r="D18" s="2466"/>
      <c r="E18" s="2442"/>
      <c r="F18" s="2497" t="s">
        <v>2265</v>
      </c>
      <c r="G18" s="2498" t="str">
        <f>G7</f>
        <v>该园区内是否有污染型企业，绿化情况，卫生条件，整体环境状况判断</v>
      </c>
    </row>
    <row r="19" spans="1:18" ht="26.4">
      <c r="A19" s="2441"/>
      <c r="B19" s="2497" t="s">
        <v>2276</v>
      </c>
      <c r="C19" s="2499"/>
      <c r="D19" s="2460"/>
      <c r="E19" s="2442"/>
      <c r="F19" s="322" t="s">
        <v>2260</v>
      </c>
      <c r="G19" s="2498" t="str">
        <f>G5</f>
        <v>估价对象所在区域公共配套设施齐备情况</v>
      </c>
    </row>
    <row r="20" spans="1:18" ht="26.4">
      <c r="A20" s="2441"/>
      <c r="B20" s="2497" t="s">
        <v>2277</v>
      </c>
      <c r="C20" s="2496" t="str">
        <f>C9</f>
        <v>区域自然环境：；人文环境；综合评价环境状况一般</v>
      </c>
      <c r="D20" s="2466"/>
      <c r="E20" s="2442"/>
      <c r="F20" s="322" t="s">
        <v>2263</v>
      </c>
      <c r="G20" s="2498" t="str">
        <f>G6</f>
        <v>估价对象所在区域基础设施水平</v>
      </c>
    </row>
    <row r="21" spans="1:18" ht="26.4">
      <c r="A21" s="2441"/>
      <c r="B21" s="322" t="s">
        <v>2260</v>
      </c>
      <c r="C21" s="2498" t="str">
        <f>C7</f>
        <v>估价对象所在区域公共配套设施齐备情况</v>
      </c>
      <c r="D21" s="2460"/>
      <c r="E21" s="2442"/>
      <c r="F21" s="2497" t="s">
        <v>2278</v>
      </c>
      <c r="G21" s="2500"/>
    </row>
    <row r="22" spans="1:18" ht="13.5" customHeight="1">
      <c r="A22" s="2441"/>
      <c r="B22" s="322" t="s">
        <v>2263</v>
      </c>
      <c r="C22" s="2498" t="str">
        <f>C8</f>
        <v>估价对象所在区域基础设施水平</v>
      </c>
      <c r="D22" s="2460"/>
      <c r="E22" s="2442"/>
      <c r="F22" s="2497" t="s">
        <v>2269</v>
      </c>
      <c r="G22" s="2499"/>
    </row>
    <row r="23" spans="1:18" s="797" customFormat="1" ht="14.4" thickBot="1">
      <c r="A23" s="2441"/>
      <c r="B23" s="2497" t="s">
        <v>2278</v>
      </c>
      <c r="C23" s="2500"/>
      <c r="D23" s="1737"/>
      <c r="E23" s="2443"/>
      <c r="F23" s="2501" t="s">
        <v>2279</v>
      </c>
      <c r="G23" s="2502"/>
      <c r="H23" s="2486"/>
      <c r="I23" s="2487"/>
      <c r="J23" s="2486"/>
      <c r="K23" s="2486"/>
      <c r="L23" s="2487"/>
      <c r="M23" s="2486"/>
      <c r="N23" s="2486"/>
      <c r="O23" s="2487"/>
      <c r="P23" s="2486"/>
      <c r="Q23" s="2486"/>
      <c r="R23" s="2488"/>
    </row>
    <row r="24" spans="1:18" s="797" customFormat="1" ht="14.4" thickBot="1">
      <c r="A24" s="2444"/>
      <c r="B24" s="2501" t="s">
        <v>2280</v>
      </c>
      <c r="C24" s="2503">
        <f>C10</f>
        <v>0</v>
      </c>
      <c r="D24" s="1737"/>
      <c r="E24" s="2434"/>
      <c r="F24" s="2434"/>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4.4"/>
  <cols>
    <col min="1" max="1" width="25" style="2508" customWidth="1"/>
    <col min="2" max="9" width="15.77734375" style="2508" customWidth="1"/>
    <col min="10" max="16384" width="9" style="2508"/>
  </cols>
  <sheetData>
    <row r="1" spans="1:11" ht="16.2">
      <c r="A1" s="2507" t="s">
        <v>665</v>
      </c>
      <c r="B1" s="2507">
        <f>SUM(B14:B23)</f>
        <v>37711.240000000005</v>
      </c>
      <c r="C1" s="2681"/>
      <c r="D1" s="2681"/>
      <c r="E1" s="2681"/>
      <c r="F1" s="2681"/>
      <c r="G1" s="2682"/>
      <c r="H1" s="2683"/>
      <c r="I1" s="2683"/>
      <c r="J1" s="2683"/>
      <c r="K1" s="2683"/>
    </row>
    <row r="2" spans="1:11" ht="16.2">
      <c r="A2" s="2507" t="s">
        <v>653</v>
      </c>
      <c r="B2" s="2507">
        <f>SUM(C14:C23)</f>
        <v>0</v>
      </c>
      <c r="C2" s="2681"/>
      <c r="D2" s="2681"/>
      <c r="E2" s="2681"/>
      <c r="F2" s="2681"/>
      <c r="G2" s="2682"/>
      <c r="H2" s="2683"/>
      <c r="I2" s="2683"/>
      <c r="J2" s="2683"/>
      <c r="K2" s="2683"/>
    </row>
    <row r="3" spans="1:11" ht="15.6">
      <c r="A3" s="2507" t="s">
        <v>662</v>
      </c>
      <c r="B3" s="2509">
        <f>项目基本情况!D3</f>
        <v>45124</v>
      </c>
      <c r="C3" s="2681"/>
      <c r="D3" s="2681"/>
      <c r="E3" s="2681"/>
      <c r="F3" s="2681"/>
      <c r="G3" s="2682"/>
      <c r="H3" s="2683"/>
      <c r="I3" s="2683"/>
      <c r="J3" s="2683"/>
      <c r="K3" s="2683"/>
    </row>
    <row r="4" spans="1:11" ht="31.2">
      <c r="A4" s="2507" t="s">
        <v>661</v>
      </c>
      <c r="B4" s="2507" t="s">
        <v>660</v>
      </c>
      <c r="C4" s="2507" t="s">
        <v>659</v>
      </c>
      <c r="D4" s="2507" t="s">
        <v>658</v>
      </c>
      <c r="E4" s="2681"/>
      <c r="F4" s="2682"/>
      <c r="G4" s="2682"/>
      <c r="H4" s="2683"/>
      <c r="I4" s="2683"/>
      <c r="J4" s="2683"/>
      <c r="K4" s="2683"/>
    </row>
    <row r="5" spans="1:11" ht="15.6">
      <c r="A5" s="2507" t="s">
        <v>657</v>
      </c>
      <c r="B5" s="2507">
        <f ca="1">SUM(D14:D23)</f>
        <v>23517</v>
      </c>
      <c r="C5" s="2507">
        <f ca="1">IF(B5=D14,结果表!H102,ROUND(B5*10000/$B$1,0))</f>
        <v>6236</v>
      </c>
      <c r="D5" s="2507" t="e">
        <f ca="1">ROUND(B5*10000/$B$2,0)</f>
        <v>#DIV/0!</v>
      </c>
      <c r="E5" s="2681"/>
      <c r="F5" s="2682"/>
      <c r="G5" s="2682"/>
      <c r="H5" s="2683"/>
      <c r="I5" s="2683"/>
      <c r="J5" s="2683"/>
      <c r="K5" s="2683"/>
    </row>
    <row r="6" spans="1:11" ht="15.6">
      <c r="A6" s="2507" t="s">
        <v>656</v>
      </c>
      <c r="B6" s="2507">
        <f ca="1">SUM(G14:G23)</f>
        <v>23517</v>
      </c>
      <c r="C6" s="2507">
        <f ca="1">IF(B6=G14,结果表!H108,ROUND(B6*10000/$B$1,0))</f>
        <v>6236</v>
      </c>
      <c r="D6" s="2507" t="e">
        <f ca="1">ROUND(B6*10000/$B$2,0)</f>
        <v>#DIV/0!</v>
      </c>
      <c r="E6" s="2681"/>
      <c r="F6" s="2682"/>
      <c r="G6" s="2682"/>
      <c r="H6" s="2683"/>
      <c r="I6" s="2683"/>
      <c r="J6" s="2683"/>
      <c r="K6" s="2683"/>
    </row>
    <row r="7" spans="1:11" ht="15.6">
      <c r="A7" s="2507" t="s">
        <v>664</v>
      </c>
      <c r="B7" s="2507">
        <f>SUM(H14:H23)</f>
        <v>0</v>
      </c>
      <c r="C7" s="2507" t="str">
        <f>IF(B7=H14,结果表!H110,ROUND(B7*10000/$B$1,0))</f>
        <v>——</v>
      </c>
      <c r="D7" s="2507" t="e">
        <f>ROUND(B7*10000/$B$2,0)</f>
        <v>#DIV/0!</v>
      </c>
      <c r="E7" s="2681"/>
      <c r="F7" s="2682"/>
      <c r="G7" s="2682"/>
      <c r="H7" s="2683"/>
      <c r="I7" s="2683"/>
      <c r="J7" s="2683"/>
      <c r="K7" s="2683"/>
    </row>
    <row r="8" spans="1:11" ht="15.6">
      <c r="A8" s="2507" t="s">
        <v>587</v>
      </c>
      <c r="B8" s="2507">
        <f>SUM(I14:I23)</f>
        <v>0</v>
      </c>
      <c r="C8" s="2507" t="str">
        <f>IF(B8=I14,结果表!H112,ROUND(B8*10000/$B$1,0))</f>
        <v>——</v>
      </c>
      <c r="D8" s="2507" t="e">
        <f>ROUND(B8*10000/$B$2,0)</f>
        <v>#DIV/0!</v>
      </c>
      <c r="E8" s="2681"/>
      <c r="F8" s="2682"/>
      <c r="G8" s="2682"/>
      <c r="H8" s="2683"/>
      <c r="I8" s="2683"/>
      <c r="J8" s="2683"/>
      <c r="K8" s="2683"/>
    </row>
    <row r="9" spans="1:11" ht="15.6">
      <c r="A9" s="2507" t="s">
        <v>655</v>
      </c>
      <c r="B9" s="2515"/>
      <c r="C9" s="2681"/>
      <c r="D9" s="2681"/>
      <c r="E9" s="2681"/>
      <c r="F9" s="2682"/>
      <c r="G9" s="2682"/>
      <c r="H9" s="2683"/>
      <c r="I9" s="2683"/>
      <c r="J9" s="2683"/>
      <c r="K9" s="2683"/>
    </row>
    <row r="10" spans="1:11" ht="15.6">
      <c r="A10" s="2507" t="s">
        <v>654</v>
      </c>
      <c r="B10" s="2507">
        <f>IF(E10="",0,ROUND(B1*(E10*365/G10)/10000,0))</f>
        <v>0</v>
      </c>
      <c r="C10" s="2507" t="s">
        <v>3360</v>
      </c>
      <c r="D10" s="2507" t="s">
        <v>3361</v>
      </c>
      <c r="E10" s="3436"/>
      <c r="F10" s="3440" t="s">
        <v>3362</v>
      </c>
      <c r="G10" s="3437"/>
      <c r="H10" s="2683"/>
      <c r="I10" s="2683"/>
      <c r="J10" s="2683"/>
      <c r="K10" s="2683"/>
    </row>
    <row r="11" spans="1:11" ht="15.6">
      <c r="A11" s="2507" t="s">
        <v>670</v>
      </c>
      <c r="B11" s="2515"/>
      <c r="C11" s="2681"/>
      <c r="D11" s="2681"/>
      <c r="E11" s="2681"/>
      <c r="F11" s="2682"/>
      <c r="G11" s="2682"/>
      <c r="H11" s="2683"/>
      <c r="I11" s="2683"/>
      <c r="J11" s="2683"/>
      <c r="K11" s="2683"/>
    </row>
    <row r="12" spans="1:11" ht="15.6">
      <c r="A12" s="2681"/>
      <c r="B12" s="2681"/>
      <c r="C12" s="2681"/>
      <c r="D12" s="2681"/>
      <c r="E12" s="2681"/>
      <c r="F12" s="2682"/>
      <c r="G12" s="2682"/>
      <c r="H12" s="2683"/>
      <c r="I12" s="2683"/>
      <c r="J12" s="2683"/>
      <c r="K12" s="2683"/>
    </row>
    <row r="13" spans="1:11" ht="31.8">
      <c r="A13" s="2510" t="s">
        <v>669</v>
      </c>
      <c r="B13" s="2511" t="s">
        <v>666</v>
      </c>
      <c r="C13" s="2511" t="s">
        <v>668</v>
      </c>
      <c r="D13" s="2511" t="s">
        <v>667</v>
      </c>
      <c r="E13" s="2507" t="s">
        <v>659</v>
      </c>
      <c r="F13" s="2507" t="s">
        <v>658</v>
      </c>
      <c r="G13" s="2511" t="s">
        <v>652</v>
      </c>
      <c r="H13" s="2511" t="s">
        <v>663</v>
      </c>
      <c r="I13" s="2511" t="s">
        <v>651</v>
      </c>
      <c r="J13" s="2682"/>
      <c r="K13" s="2683"/>
    </row>
    <row r="14" spans="1:11" ht="15.6">
      <c r="A14" s="2512" t="s">
        <v>650</v>
      </c>
      <c r="B14" s="2513">
        <f>结果表!B118</f>
        <v>37711.240000000005</v>
      </c>
      <c r="C14" s="2513"/>
      <c r="D14" s="2513">
        <f ca="1">结果表!H118</f>
        <v>23517</v>
      </c>
      <c r="E14" s="2513">
        <f ca="1">ROUND(D14*10000/B14,0)</f>
        <v>6236</v>
      </c>
      <c r="F14" s="2513" t="e">
        <f ca="1">ROUND(D14*10000/C14,0)</f>
        <v>#DIV/0!</v>
      </c>
      <c r="G14" s="2513">
        <f ca="1">结果表!H107</f>
        <v>23517</v>
      </c>
      <c r="H14" s="2513"/>
      <c r="I14" s="2513"/>
      <c r="J14" s="2682"/>
      <c r="K14" s="2683"/>
    </row>
    <row r="15" spans="1:11" ht="15.6">
      <c r="A15" s="2512" t="s">
        <v>649</v>
      </c>
      <c r="B15" s="2514"/>
      <c r="C15" s="2514"/>
      <c r="D15" s="2514"/>
      <c r="E15" s="2513" t="e">
        <f t="shared" ref="E15:E23" si="0">ROUND(D15*10000/B15,0)</f>
        <v>#DIV/0!</v>
      </c>
      <c r="F15" s="2513" t="e">
        <f t="shared" ref="F15:F23" si="1">ROUND(D15*10000/C15,0)</f>
        <v>#DIV/0!</v>
      </c>
      <c r="G15" s="1327"/>
      <c r="H15" s="1327"/>
      <c r="I15" s="2514"/>
      <c r="J15" s="2682"/>
      <c r="K15" s="2683"/>
    </row>
    <row r="16" spans="1:11" ht="15.6">
      <c r="A16" s="2512" t="s">
        <v>648</v>
      </c>
      <c r="B16" s="2514"/>
      <c r="C16" s="2514"/>
      <c r="D16" s="2514"/>
      <c r="E16" s="2513" t="e">
        <f t="shared" si="0"/>
        <v>#DIV/0!</v>
      </c>
      <c r="F16" s="2513" t="e">
        <f t="shared" si="1"/>
        <v>#DIV/0!</v>
      </c>
      <c r="G16" s="1327"/>
      <c r="H16" s="1327"/>
      <c r="I16" s="2514"/>
      <c r="J16" s="2683"/>
      <c r="K16" s="2683"/>
    </row>
    <row r="17" spans="1:11" ht="15.6">
      <c r="A17" s="2512" t="s">
        <v>647</v>
      </c>
      <c r="B17" s="2514"/>
      <c r="C17" s="2514"/>
      <c r="D17" s="2514"/>
      <c r="E17" s="2513" t="e">
        <f t="shared" si="0"/>
        <v>#DIV/0!</v>
      </c>
      <c r="F17" s="2513" t="e">
        <f t="shared" si="1"/>
        <v>#DIV/0!</v>
      </c>
      <c r="G17" s="1327"/>
      <c r="H17" s="1327"/>
      <c r="I17" s="2514"/>
      <c r="J17" s="2683"/>
      <c r="K17" s="2683"/>
    </row>
    <row r="18" spans="1:11" ht="15.6">
      <c r="A18" s="2512" t="s">
        <v>646</v>
      </c>
      <c r="B18" s="2514"/>
      <c r="C18" s="2514"/>
      <c r="D18" s="2514"/>
      <c r="E18" s="2513" t="e">
        <f t="shared" si="0"/>
        <v>#DIV/0!</v>
      </c>
      <c r="F18" s="2513" t="e">
        <f t="shared" si="1"/>
        <v>#DIV/0!</v>
      </c>
      <c r="G18" s="2514"/>
      <c r="H18" s="2514"/>
      <c r="I18" s="2514"/>
      <c r="J18" s="2683"/>
      <c r="K18" s="2683"/>
    </row>
    <row r="19" spans="1:11" ht="15.6">
      <c r="A19" s="2512" t="s">
        <v>645</v>
      </c>
      <c r="B19" s="2514"/>
      <c r="C19" s="2514"/>
      <c r="D19" s="2514"/>
      <c r="E19" s="2513" t="e">
        <f t="shared" si="0"/>
        <v>#DIV/0!</v>
      </c>
      <c r="F19" s="2513" t="e">
        <f t="shared" si="1"/>
        <v>#DIV/0!</v>
      </c>
      <c r="G19" s="2514"/>
      <c r="H19" s="2514"/>
      <c r="I19" s="2514"/>
      <c r="J19" s="2683"/>
      <c r="K19" s="2683"/>
    </row>
    <row r="20" spans="1:11" ht="15.6">
      <c r="A20" s="2512" t="s">
        <v>644</v>
      </c>
      <c r="B20" s="2514"/>
      <c r="C20" s="2514"/>
      <c r="D20" s="2514"/>
      <c r="E20" s="2513" t="e">
        <f t="shared" si="0"/>
        <v>#DIV/0!</v>
      </c>
      <c r="F20" s="2513" t="e">
        <f t="shared" si="1"/>
        <v>#DIV/0!</v>
      </c>
      <c r="G20" s="2514"/>
      <c r="H20" s="2514"/>
      <c r="I20" s="2514"/>
      <c r="J20" s="2683"/>
      <c r="K20" s="2683"/>
    </row>
    <row r="21" spans="1:11" ht="15.6">
      <c r="A21" s="2512" t="s">
        <v>643</v>
      </c>
      <c r="B21" s="2514"/>
      <c r="C21" s="2514"/>
      <c r="D21" s="2514"/>
      <c r="E21" s="2513" t="e">
        <f t="shared" si="0"/>
        <v>#DIV/0!</v>
      </c>
      <c r="F21" s="2513" t="e">
        <f t="shared" si="1"/>
        <v>#DIV/0!</v>
      </c>
      <c r="G21" s="2514"/>
      <c r="H21" s="2514"/>
      <c r="I21" s="2514"/>
      <c r="J21" s="2683"/>
      <c r="K21" s="2683"/>
    </row>
    <row r="22" spans="1:11" ht="15.6">
      <c r="A22" s="2512" t="s">
        <v>642</v>
      </c>
      <c r="B22" s="2514"/>
      <c r="C22" s="2514"/>
      <c r="D22" s="2514"/>
      <c r="E22" s="2513" t="e">
        <f t="shared" si="0"/>
        <v>#DIV/0!</v>
      </c>
      <c r="F22" s="2513" t="e">
        <f t="shared" si="1"/>
        <v>#DIV/0!</v>
      </c>
      <c r="G22" s="2514"/>
      <c r="H22" s="2514"/>
      <c r="I22" s="2514"/>
      <c r="J22" s="2683"/>
      <c r="K22" s="2683"/>
    </row>
    <row r="23" spans="1:11" ht="15.6">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D123" sqref="D123:I123"/>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11" t="str">
        <f>项目基本情况!S2</f>
        <v>北京市房地产</v>
      </c>
      <c r="B2" s="3612"/>
      <c r="C2" s="3612"/>
      <c r="D2" s="3612"/>
      <c r="E2" s="3612"/>
      <c r="F2" s="3612"/>
      <c r="G2" s="3612"/>
      <c r="H2" s="3612"/>
      <c r="I2" s="3613"/>
    </row>
    <row r="3" spans="1:12" ht="13.2">
      <c r="A3" s="3615" t="s">
        <v>1264</v>
      </c>
      <c r="B3" s="3616"/>
      <c r="C3" s="3616"/>
      <c r="D3" s="3616"/>
      <c r="E3" s="3616"/>
      <c r="F3" s="3616"/>
      <c r="G3" s="3616"/>
      <c r="H3" s="3616"/>
      <c r="I3" s="3616"/>
    </row>
    <row r="4" spans="1:12" ht="14.4">
      <c r="A4" s="1750" t="s">
        <v>1265</v>
      </c>
      <c r="B4" s="1751" t="s">
        <v>1266</v>
      </c>
      <c r="C4" s="1752" t="s">
        <v>3460</v>
      </c>
      <c r="D4" s="1752" t="s">
        <v>3462</v>
      </c>
      <c r="E4" s="3620" t="s">
        <v>1267</v>
      </c>
      <c r="F4" s="3621"/>
      <c r="G4" s="3621"/>
      <c r="H4" s="3621"/>
      <c r="I4" s="362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3.2">
      <c r="A5" s="3559" t="s">
        <v>1268</v>
      </c>
      <c r="B5" s="3614">
        <v>25</v>
      </c>
      <c r="C5" s="3617"/>
      <c r="D5" s="3605"/>
      <c r="E5" s="130" t="s">
        <v>1269</v>
      </c>
      <c r="F5" s="1753"/>
      <c r="G5" s="1753"/>
      <c r="H5" s="1753"/>
      <c r="I5" s="1369"/>
    </row>
    <row r="6" spans="1:12" ht="13.2">
      <c r="A6" s="3559"/>
      <c r="B6" s="3614"/>
      <c r="C6" s="3619"/>
      <c r="D6" s="3605"/>
      <c r="E6" s="130" t="s">
        <v>1270</v>
      </c>
      <c r="F6" s="1753"/>
      <c r="G6" s="1753"/>
      <c r="H6" s="1753"/>
      <c r="I6" s="1369"/>
    </row>
    <row r="7" spans="1:12" ht="13.2">
      <c r="A7" s="3559"/>
      <c r="B7" s="3614"/>
      <c r="C7" s="3618"/>
      <c r="D7" s="3605"/>
      <c r="E7" s="130" t="s">
        <v>1271</v>
      </c>
      <c r="F7" s="1753"/>
      <c r="G7" s="1753"/>
      <c r="H7" s="1753"/>
      <c r="I7" s="1369"/>
    </row>
    <row r="8" spans="1:12" ht="13.2">
      <c r="A8" s="3559" t="s">
        <v>1272</v>
      </c>
      <c r="B8" s="3614">
        <v>15</v>
      </c>
      <c r="C8" s="3617"/>
      <c r="D8" s="3605"/>
      <c r="E8" s="130" t="s">
        <v>1273</v>
      </c>
      <c r="F8" s="1753"/>
      <c r="G8" s="1753"/>
      <c r="H8" s="1753"/>
      <c r="I8" s="1369"/>
    </row>
    <row r="9" spans="1:12" ht="13.2">
      <c r="A9" s="3559"/>
      <c r="B9" s="3614"/>
      <c r="C9" s="3618"/>
      <c r="D9" s="3605"/>
      <c r="E9" s="130" t="s">
        <v>1274</v>
      </c>
      <c r="F9" s="1753"/>
      <c r="G9" s="1753"/>
      <c r="H9" s="1753"/>
      <c r="I9" s="1369"/>
    </row>
    <row r="10" spans="1:12" ht="13.2">
      <c r="A10" s="3559" t="s">
        <v>1275</v>
      </c>
      <c r="B10" s="3614">
        <v>15</v>
      </c>
      <c r="C10" s="3617"/>
      <c r="D10" s="3605"/>
      <c r="E10" s="130" t="s">
        <v>1276</v>
      </c>
      <c r="F10" s="1753"/>
      <c r="G10" s="1753"/>
      <c r="H10" s="1753"/>
      <c r="I10" s="1369"/>
    </row>
    <row r="11" spans="1:12" ht="13.2">
      <c r="A11" s="3559"/>
      <c r="B11" s="3614"/>
      <c r="C11" s="3618"/>
      <c r="D11" s="3605"/>
      <c r="E11" s="130" t="s">
        <v>1277</v>
      </c>
      <c r="F11" s="1753"/>
      <c r="G11" s="1753"/>
      <c r="H11" s="1753"/>
      <c r="I11" s="1369"/>
    </row>
    <row r="12" spans="1:12" ht="13.2">
      <c r="A12" s="3559" t="s">
        <v>1278</v>
      </c>
      <c r="B12" s="3614">
        <v>15</v>
      </c>
      <c r="C12" s="3617"/>
      <c r="D12" s="3605"/>
      <c r="E12" s="130" t="s">
        <v>1279</v>
      </c>
      <c r="F12" s="1753"/>
      <c r="G12" s="1753"/>
      <c r="H12" s="1753"/>
      <c r="I12" s="1369"/>
    </row>
    <row r="13" spans="1:12" ht="13.2">
      <c r="A13" s="3559"/>
      <c r="B13" s="3614"/>
      <c r="C13" s="3618"/>
      <c r="D13" s="3605"/>
      <c r="E13" s="130" t="s">
        <v>1280</v>
      </c>
      <c r="F13" s="1753"/>
      <c r="G13" s="1753"/>
      <c r="H13" s="1753"/>
      <c r="I13" s="1369"/>
    </row>
    <row r="14" spans="1:12" ht="13.2">
      <c r="A14" s="3559" t="s">
        <v>1281</v>
      </c>
      <c r="B14" s="3614">
        <v>30</v>
      </c>
      <c r="C14" s="3617">
        <v>3</v>
      </c>
      <c r="D14" s="3605">
        <v>7</v>
      </c>
      <c r="E14" s="130" t="s">
        <v>1282</v>
      </c>
      <c r="F14" s="1753"/>
      <c r="G14" s="1753"/>
      <c r="H14" s="1753"/>
      <c r="I14" s="1369"/>
    </row>
    <row r="15" spans="1:12" ht="13.2">
      <c r="A15" s="3559"/>
      <c r="B15" s="3614"/>
      <c r="C15" s="3619"/>
      <c r="D15" s="3605"/>
      <c r="E15" s="130" t="s">
        <v>1283</v>
      </c>
      <c r="F15" s="1753"/>
      <c r="G15" s="1753"/>
      <c r="H15" s="1753"/>
      <c r="I15" s="1369"/>
    </row>
    <row r="16" spans="1:12" ht="13.2">
      <c r="A16" s="3559"/>
      <c r="B16" s="3614"/>
      <c r="C16" s="3618"/>
      <c r="D16" s="3605"/>
      <c r="E16" s="130" t="s">
        <v>1284</v>
      </c>
      <c r="F16" s="1753"/>
      <c r="G16" s="1753"/>
      <c r="H16" s="1753"/>
      <c r="I16" s="1369"/>
    </row>
    <row r="17" spans="1:36" ht="14.4">
      <c r="A17" s="1754" t="s">
        <v>1285</v>
      </c>
      <c r="B17" s="56"/>
      <c r="C17" s="131">
        <f>SUM(C5:C16)</f>
        <v>3</v>
      </c>
      <c r="D17" s="131">
        <f>SUM(D5:D16)</f>
        <v>7</v>
      </c>
      <c r="E17" s="128"/>
      <c r="F17" s="128"/>
      <c r="G17" s="128"/>
      <c r="H17" s="128"/>
      <c r="I17" s="128"/>
      <c r="K17" s="301"/>
      <c r="L17" s="301" t="s">
        <v>1286</v>
      </c>
      <c r="M17" s="301" t="s">
        <v>1287</v>
      </c>
    </row>
    <row r="18" spans="1:36" ht="31.95" customHeight="1" thickBot="1">
      <c r="A18" s="1755" t="s">
        <v>1288</v>
      </c>
      <c r="B18" s="1756"/>
      <c r="C18" s="132">
        <f>ROUND(C17/SUM(C17:D17),2)</f>
        <v>0.3</v>
      </c>
      <c r="D18" s="132">
        <f>1-C18</f>
        <v>0.7</v>
      </c>
      <c r="E18" s="3636" t="s">
        <v>2131</v>
      </c>
      <c r="F18" s="3637"/>
      <c r="G18" s="3637"/>
      <c r="H18" s="3637"/>
      <c r="I18" s="3637"/>
      <c r="K18" s="301" t="s">
        <v>1289</v>
      </c>
      <c r="L18" s="301">
        <f>IF(C1="",'数据-汇总表'!E3,SUMIF(项目类型,C1,'数据-汇总表'!E17:E26)+SUMIF(项目类型,C1,'数据-汇总表'!I17:I26))</f>
        <v>37711.240000000005</v>
      </c>
      <c r="M18" s="301">
        <f>IF(C1="",'数据-汇总表'!E3,SUMIF(项目类型,C1,'数据-汇总表'!E17:E26))</f>
        <v>37711.240000000005</v>
      </c>
    </row>
    <row r="19" spans="1:36" ht="14.4">
      <c r="A19" s="1757" t="s">
        <v>1290</v>
      </c>
      <c r="B19" s="1758" t="s">
        <v>1291</v>
      </c>
      <c r="C19" s="133">
        <f ca="1">SUMIF(INDIRECT("'"&amp;C4&amp;"'"&amp;"!A:A"),结果表!B19,INDIRECT("'"&amp;C4&amp;"'"&amp;"!B:B"))</f>
        <v>18883</v>
      </c>
      <c r="D19" s="134">
        <f ca="1">SUMIF(INDIRECT("'"&amp;D4&amp;"'"&amp;"!A:A"),结果表!B19,INDIRECT("'"&amp;D4&amp;"'"&amp;"!B:B"))</f>
        <v>25503</v>
      </c>
      <c r="E19" s="1757" t="s">
        <v>1292</v>
      </c>
      <c r="F19" s="1758" t="s">
        <v>1291</v>
      </c>
      <c r="G19" s="135">
        <f ca="1">ROUND(C19*$C$18+D19*$D$18,0)</f>
        <v>23517</v>
      </c>
      <c r="H19" s="1759" t="s">
        <v>1293</v>
      </c>
      <c r="I19" s="128"/>
      <c r="K19" s="301" t="s">
        <v>1294</v>
      </c>
      <c r="L19" s="301">
        <f>IF(C1="",'数据-汇总表'!D3,SUMIF(项目类型,C1,'数据-汇总表'!D17:D26)+SUMIF(项目类型,C1,'数据-汇总表'!H17:H27))</f>
        <v>18193.39</v>
      </c>
      <c r="M19" s="301">
        <f>IF(C1="",'数据-汇总表'!D3,SUMIF(项目类型,C1,'数据-汇总表'!D17:D26))</f>
        <v>18193.39</v>
      </c>
    </row>
    <row r="20" spans="1:36" ht="14.4">
      <c r="A20" s="1760"/>
      <c r="B20" s="1024" t="s">
        <v>1295</v>
      </c>
      <c r="C20" s="136">
        <f ca="1">SUMIF(INDIRECT("'"&amp;C4&amp;"'"&amp;"!A:A"),结果表!B20,INDIRECT("'"&amp;C4&amp;"'"&amp;"!B:B"))</f>
        <v>5007</v>
      </c>
      <c r="D20" s="137">
        <f ca="1">SUMIF(INDIRECT("'"&amp;D4&amp;"'"&amp;"!A:A"),结果表!B20,INDIRECT("'"&amp;D4&amp;"'"&amp;"!B:B"))</f>
        <v>6763</v>
      </c>
      <c r="E20" s="1760"/>
      <c r="F20" s="1024" t="s">
        <v>1295</v>
      </c>
      <c r="G20" s="138">
        <f ca="1">ROUND(C20*$C$18+D20*$D$18,0)</f>
        <v>6236</v>
      </c>
      <c r="H20" s="806" t="s">
        <v>1296</v>
      </c>
      <c r="I20" s="128"/>
    </row>
    <row r="21" spans="1:36" ht="15" customHeight="1" thickBot="1">
      <c r="A21" s="826"/>
      <c r="B21" s="1761" t="s">
        <v>1297</v>
      </c>
      <c r="C21" s="717">
        <f ca="1">ROUND(C19*10000/L19,0)</f>
        <v>10379</v>
      </c>
      <c r="D21" s="718">
        <f ca="1">ROUND(D19*10000/L19,0)</f>
        <v>14018</v>
      </c>
      <c r="E21" s="826"/>
      <c r="F21" s="1761" t="s">
        <v>1297</v>
      </c>
      <c r="G21" s="139">
        <f ca="1">ROUND(G19*10000/L19,0)</f>
        <v>12926</v>
      </c>
      <c r="H21" s="1762" t="s">
        <v>1296</v>
      </c>
      <c r="I21" s="128"/>
    </row>
    <row r="22" spans="1:36" ht="15" thickBot="1">
      <c r="A22" s="1684" t="s">
        <v>1298</v>
      </c>
      <c r="B22" s="1763"/>
      <c r="C22" s="1764"/>
      <c r="D22" s="719">
        <f ca="1">IF(C19&lt;D19,D19/C19-1,C19/D19-1)</f>
        <v>0.35057988667055029</v>
      </c>
      <c r="E22" s="128"/>
      <c r="F22" s="3454" t="s">
        <v>3468</v>
      </c>
      <c r="G22" s="3454"/>
      <c r="H22" s="3454"/>
      <c r="I22" s="128"/>
    </row>
    <row r="23" spans="1:36" ht="13.8" thickBot="1">
      <c r="A23" s="1743"/>
      <c r="B23" s="1743"/>
      <c r="C23" s="1743"/>
      <c r="D23" s="1743"/>
      <c r="E23" s="128"/>
      <c r="F23" s="3454" t="s">
        <v>3465</v>
      </c>
      <c r="G23" s="3454">
        <v>23513</v>
      </c>
      <c r="H23" s="3454" t="s">
        <v>3466</v>
      </c>
      <c r="I23" s="128"/>
    </row>
    <row r="24" spans="1:36" ht="14.4">
      <c r="A24" s="3629" t="s">
        <v>1299</v>
      </c>
      <c r="B24" s="1758" t="s">
        <v>1291</v>
      </c>
      <c r="C24" s="135">
        <f>IF(B30=0,0,D30)</f>
        <v>0</v>
      </c>
      <c r="D24" s="1765"/>
      <c r="E24" s="128"/>
      <c r="F24" s="3454" t="s">
        <v>3426</v>
      </c>
      <c r="G24" s="3454">
        <v>6235</v>
      </c>
      <c r="H24" s="3454" t="s">
        <v>3358</v>
      </c>
      <c r="I24" s="128"/>
    </row>
    <row r="25" spans="1:36" ht="14.4">
      <c r="A25" s="3630"/>
      <c r="B25" s="1024" t="s">
        <v>1295</v>
      </c>
      <c r="C25" s="140">
        <f>IF(B30=0,0,C30)</f>
        <v>0</v>
      </c>
      <c r="D25" s="1766"/>
      <c r="E25" s="128"/>
      <c r="F25" s="3454" t="s">
        <v>3467</v>
      </c>
      <c r="G25" s="3454">
        <v>12924</v>
      </c>
      <c r="H25" s="3454" t="s">
        <v>3358</v>
      </c>
      <c r="I25" s="128"/>
    </row>
    <row r="26" spans="1:36" ht="13.5" customHeight="1">
      <c r="A26" s="1767" t="s">
        <v>1300</v>
      </c>
      <c r="B26" s="141" t="s">
        <v>1301</v>
      </c>
      <c r="C26" s="141" t="s">
        <v>1302</v>
      </c>
      <c r="D26" s="142" t="s">
        <v>1303</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1304</v>
      </c>
      <c r="B30" s="141"/>
      <c r="C30" s="141"/>
      <c r="D30" s="141"/>
      <c r="E30" s="2299" t="s">
        <v>2132</v>
      </c>
      <c r="F30" s="128"/>
      <c r="G30" s="128"/>
      <c r="H30" s="128"/>
      <c r="I30" s="128"/>
    </row>
    <row r="31" spans="1:36" s="2305" customFormat="1" ht="26.4"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3">
        <f ca="1">IF(D32="总价",G19-C24,G20-C25)</f>
        <v>23517</v>
      </c>
      <c r="D32" s="1771" t="s">
        <v>3465</v>
      </c>
      <c r="E32" s="128"/>
      <c r="F32" s="128"/>
      <c r="G32" s="128"/>
      <c r="H32" s="128"/>
      <c r="I32" s="128"/>
    </row>
    <row r="33" spans="1:15" ht="14.4">
      <c r="A33" s="784" t="s">
        <v>1306</v>
      </c>
      <c r="B33" s="1772"/>
      <c r="C33" s="1773" t="s">
        <v>3459</v>
      </c>
      <c r="D33" s="1774" t="s">
        <v>3460</v>
      </c>
      <c r="E33" s="1775" t="s">
        <v>1307</v>
      </c>
      <c r="F33" s="1776" t="str">
        <f>IF(D32="楼面单价","取值（单价）","取值（总价）")</f>
        <v>取值（总价）</v>
      </c>
      <c r="G33" s="128"/>
      <c r="H33" s="128"/>
      <c r="I33" s="128"/>
    </row>
    <row r="34" spans="1:15" ht="14.4">
      <c r="A34" s="1777"/>
      <c r="B34" s="1778" t="s">
        <v>1308</v>
      </c>
      <c r="C34" s="147">
        <f ca="1">IF(C33="自定义",F34,C32-C35)</f>
        <v>4845</v>
      </c>
      <c r="D34" s="859">
        <f ca="1">IF(C33="自定义",ROUND(C34/C32,3),IF(C33="收益比率",SUMIF(INDIRECT("'"&amp;D33&amp;"'"&amp;"!b:b"),"土地收益比率",INDIRECT("'"&amp;D33&amp;"'"&amp;"!c:c")),SUMIF(INDIRECT("'"&amp;D33&amp;"'"&amp;"!b:b"),"土地成本比率",INDIRECT("'"&amp;D33&amp;"'"&amp;"!c:c"))))</f>
        <v>0.20599999999999996</v>
      </c>
      <c r="E34" s="1779" t="s">
        <v>1309</v>
      </c>
      <c r="F34" s="1326"/>
      <c r="G34" s="128"/>
      <c r="H34" s="128"/>
      <c r="I34" s="128"/>
    </row>
    <row r="35" spans="1:15" ht="15" thickBot="1">
      <c r="A35" s="1780"/>
      <c r="B35" s="1781" t="s">
        <v>1310</v>
      </c>
      <c r="C35" s="1166">
        <f ca="1">IF(C33="自定义",F35,ROUND(C32*D35,0))</f>
        <v>18672</v>
      </c>
      <c r="D35" s="1167">
        <f ca="1">IF(C33="自定义",ROUND(C35/C32,3),IF(C33="收益比率",SUMIF(INDIRECT("'"&amp;D33&amp;"'"&amp;"!b:b"),"建筑物收益比率",INDIRECT("'"&amp;D33&amp;"'"&amp;"!c:c")),SUMIF(INDIRECT("'"&amp;D33&amp;"'"&amp;"!b:b"),"建筑物成本比率",INDIRECT("'"&amp;D33&amp;"'"&amp;"!c:c"))))</f>
        <v>0.79400000000000004</v>
      </c>
      <c r="E35" s="1782" t="s">
        <v>1311</v>
      </c>
      <c r="F35" s="153"/>
      <c r="G35" s="128"/>
      <c r="H35" s="128"/>
      <c r="I35" s="128"/>
    </row>
    <row r="36" spans="1:15" ht="15" thickBot="1">
      <c r="A36" s="3606" t="s">
        <v>1312</v>
      </c>
      <c r="B36" s="1783" t="s">
        <v>1313</v>
      </c>
      <c r="C36" s="144"/>
      <c r="D36" s="1784"/>
      <c r="E36" s="1785"/>
      <c r="F36" s="1786"/>
      <c r="G36" s="128"/>
      <c r="H36" s="128"/>
      <c r="I36" s="128"/>
    </row>
    <row r="37" spans="1:15" ht="15" thickBot="1">
      <c r="A37" s="3607"/>
      <c r="B37" s="1670" t="s">
        <v>1314</v>
      </c>
      <c r="C37" s="146"/>
      <c r="D37" s="1135"/>
      <c r="E37" s="1135"/>
      <c r="F37" s="1786"/>
      <c r="G37" s="128"/>
      <c r="H37" s="128"/>
      <c r="I37" s="128"/>
    </row>
    <row r="38" spans="1:15" ht="15" thickBot="1">
      <c r="A38" s="3608"/>
      <c r="B38" s="1787" t="s">
        <v>1315</v>
      </c>
      <c r="C38" s="672"/>
      <c r="D38" s="1788" t="s">
        <v>1316</v>
      </c>
      <c r="E38" s="1135"/>
      <c r="F38" s="1786"/>
      <c r="G38" s="128"/>
      <c r="H38" s="128"/>
      <c r="I38" s="128"/>
    </row>
    <row r="39" spans="1:15" ht="14.4">
      <c r="A39" s="1760" t="s">
        <v>1317</v>
      </c>
      <c r="B39" s="1789" t="s">
        <v>1318</v>
      </c>
      <c r="C39" s="1790" t="s">
        <v>1319</v>
      </c>
      <c r="D39" s="1790" t="s">
        <v>1320</v>
      </c>
      <c r="E39" s="1791" t="s">
        <v>1321</v>
      </c>
      <c r="F39" s="1786"/>
      <c r="G39" s="128"/>
      <c r="H39" s="128"/>
      <c r="I39" s="128"/>
    </row>
    <row r="40" spans="1:15" ht="13.8">
      <c r="A40" s="1792" t="s">
        <v>1322</v>
      </c>
      <c r="B40" s="148"/>
      <c r="C40" s="149"/>
      <c r="D40" s="149"/>
      <c r="E40" s="150"/>
      <c r="F40" s="1786"/>
      <c r="G40" s="128"/>
      <c r="H40" s="128"/>
      <c r="I40" s="128"/>
    </row>
    <row r="41" spans="1:15" ht="13.8">
      <c r="A41" s="1792" t="s">
        <v>1323</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26" t="s">
        <v>1326</v>
      </c>
      <c r="B45" s="3627"/>
      <c r="C45" s="3628"/>
      <c r="D45" s="154">
        <f ca="1">ROUND(H101*F45,0)</f>
        <v>23517</v>
      </c>
      <c r="E45" s="155" t="s">
        <v>1327</v>
      </c>
      <c r="F45" s="156">
        <v>1</v>
      </c>
      <c r="G45" s="157" t="s">
        <v>1328</v>
      </c>
      <c r="H45" s="128"/>
      <c r="I45" s="128"/>
      <c r="J45" s="3546" t="s">
        <v>1329</v>
      </c>
      <c r="K45" s="3546"/>
      <c r="L45" s="3546"/>
      <c r="M45" s="3546"/>
      <c r="N45" s="3546"/>
      <c r="O45" s="3546"/>
    </row>
    <row r="46" spans="1:15" ht="14.25" customHeight="1">
      <c r="A46" s="3623" t="s">
        <v>1330</v>
      </c>
      <c r="B46" s="3624"/>
      <c r="C46" s="3624"/>
      <c r="D46" s="3624"/>
      <c r="E46" s="3624"/>
      <c r="F46" s="3624"/>
      <c r="G46" s="3625"/>
      <c r="H46" s="1802"/>
      <c r="I46" s="158"/>
      <c r="J46" s="2518">
        <v>1</v>
      </c>
      <c r="K46" s="3547" t="s">
        <v>1331</v>
      </c>
      <c r="L46" s="3547"/>
      <c r="M46" s="3548"/>
      <c r="N46" s="3548"/>
      <c r="O46" s="3548"/>
    </row>
    <row r="47" spans="1:15" ht="12" customHeight="1">
      <c r="A47" s="159" t="s">
        <v>1332</v>
      </c>
      <c r="B47" s="160"/>
      <c r="C47" s="161"/>
      <c r="D47" s="1085" t="s">
        <v>1333</v>
      </c>
      <c r="E47" s="301" t="s">
        <v>1334</v>
      </c>
      <c r="F47" s="162" t="s">
        <v>1335</v>
      </c>
      <c r="G47" s="2541" t="s">
        <v>1336</v>
      </c>
      <c r="H47" s="2542"/>
      <c r="I47" s="158"/>
      <c r="J47" s="2518">
        <v>2</v>
      </c>
      <c r="K47" s="3547" t="s">
        <v>1337</v>
      </c>
      <c r="L47" s="3547"/>
      <c r="M47" s="3549">
        <f>'数据-取费表'!B2</f>
        <v>45124</v>
      </c>
      <c r="N47" s="3549"/>
      <c r="O47" s="3549"/>
    </row>
    <row r="48" spans="1:15" ht="26.4">
      <c r="A48" s="3609" t="s">
        <v>1338</v>
      </c>
      <c r="B48" s="3610"/>
      <c r="C48" s="3610"/>
      <c r="D48" s="2320" t="b">
        <f>IF(H48="情况1",0,IF(H48="情况2",D52,IF(H48="情况3",D53,IF(H48="情况4",D54))))</f>
        <v>0</v>
      </c>
      <c r="E48" s="2330" t="str">
        <f>IF(H48="情况4","(销售额-原购置价)×税（费）率","销售额×税（费）率")</f>
        <v>销售额×税（费）率</v>
      </c>
      <c r="F48" s="2543">
        <f>IF(H48="情况1","免征",'数据-取费表'!B41)</f>
        <v>5.5000000000000007E-2</v>
      </c>
      <c r="G48" s="2544" t="s">
        <v>1339</v>
      </c>
      <c r="H48" s="2545"/>
      <c r="I48" s="1802"/>
      <c r="J48" s="2518">
        <v>3</v>
      </c>
      <c r="K48" s="3547" t="s">
        <v>1340</v>
      </c>
      <c r="L48" s="3547"/>
      <c r="M48" s="3550">
        <f ca="1">H101</f>
        <v>23517</v>
      </c>
      <c r="N48" s="3550"/>
      <c r="O48" s="3550"/>
    </row>
    <row r="49" spans="1:35" ht="25.5" customHeight="1">
      <c r="A49" s="2329" t="s">
        <v>1341</v>
      </c>
      <c r="B49" s="3595" t="s">
        <v>1342</v>
      </c>
      <c r="C49" s="3595"/>
      <c r="D49" s="1586">
        <v>0</v>
      </c>
      <c r="E49" s="323" t="s">
        <v>1343</v>
      </c>
      <c r="F49" s="2419" t="s">
        <v>28</v>
      </c>
      <c r="G49" s="3578"/>
      <c r="H49" s="2306" t="s">
        <v>2134</v>
      </c>
      <c r="I49" s="2307"/>
      <c r="J49" s="2518">
        <v>4</v>
      </c>
      <c r="K49" s="3547" t="str">
        <f>IF(项目基本情况!E8="房地产抵押价值","房地产抵押价值","抵押担保权已注销时的房地产抵押价值")</f>
        <v>房地产抵押价值</v>
      </c>
      <c r="L49" s="3547"/>
      <c r="M49" s="3550">
        <f ca="1">IF(项目基本情况!E8="房地产抵押价值",H107,H109)</f>
        <v>23517</v>
      </c>
      <c r="N49" s="3550"/>
      <c r="O49" s="3550"/>
    </row>
    <row r="50" spans="1:35" ht="25.5" customHeight="1">
      <c r="A50" s="2546"/>
      <c r="B50" s="3595" t="s">
        <v>1344</v>
      </c>
      <c r="C50" s="3595"/>
      <c r="D50" s="2547"/>
      <c r="E50" s="331"/>
      <c r="F50" s="2419"/>
      <c r="G50" s="3579"/>
      <c r="H50" s="2308" t="s">
        <v>2135</v>
      </c>
      <c r="I50" s="2307"/>
      <c r="J50" s="3546" t="s">
        <v>1345</v>
      </c>
      <c r="K50" s="3546"/>
      <c r="L50" s="3546"/>
      <c r="M50" s="3546"/>
      <c r="N50" s="3546"/>
      <c r="O50" s="3546"/>
    </row>
    <row r="51" spans="1:35" ht="20.399999999999999" customHeight="1">
      <c r="A51" s="2548"/>
      <c r="B51" s="3595" t="s">
        <v>1346</v>
      </c>
      <c r="C51" s="3595"/>
      <c r="D51" s="1085"/>
      <c r="E51" s="326"/>
      <c r="F51" s="2419"/>
      <c r="G51" s="3580"/>
      <c r="H51" s="2308" t="s">
        <v>2136</v>
      </c>
      <c r="I51" s="2307"/>
      <c r="J51" s="2519" t="s">
        <v>1347</v>
      </c>
      <c r="K51" s="3547" t="s">
        <v>1348</v>
      </c>
      <c r="L51" s="3547"/>
      <c r="M51" s="2519" t="s">
        <v>1349</v>
      </c>
      <c r="N51" s="2519" t="s">
        <v>1350</v>
      </c>
      <c r="O51" s="2519" t="s">
        <v>1351</v>
      </c>
    </row>
    <row r="52" spans="1:35" ht="24" customHeight="1">
      <c r="A52" s="2331" t="s">
        <v>1352</v>
      </c>
      <c r="B52" s="3595" t="s">
        <v>1353</v>
      </c>
      <c r="C52" s="3595"/>
      <c r="D52" s="1085">
        <f ca="1">ROUND(D45*'数据-取费表'!B41/(1+'数据-取费表'!C42),0)</f>
        <v>1232</v>
      </c>
      <c r="E52" s="2330" t="s">
        <v>1354</v>
      </c>
      <c r="F52" s="2549">
        <f>'数据-取费表'!B41</f>
        <v>5.5000000000000007E-2</v>
      </c>
      <c r="G52" s="2550"/>
      <c r="H52" s="2539"/>
      <c r="I52" s="1803"/>
      <c r="J52" s="2518">
        <v>1</v>
      </c>
      <c r="K52" s="3572" t="s">
        <v>1355</v>
      </c>
      <c r="L52" s="3572"/>
      <c r="M52" s="2520" t="b">
        <f>D48</f>
        <v>0</v>
      </c>
      <c r="N52" s="2518" t="str">
        <f>E48</f>
        <v>销售额×税（费）率</v>
      </c>
      <c r="O52" s="2521">
        <f>F48</f>
        <v>5.5000000000000007E-2</v>
      </c>
    </row>
    <row r="53" spans="1:35" ht="12" customHeight="1">
      <c r="A53" s="2331" t="s">
        <v>1356</v>
      </c>
      <c r="B53" s="3596" t="s">
        <v>2291</v>
      </c>
      <c r="C53" s="3597"/>
      <c r="D53" s="1085">
        <f ca="1">ROUND(D45*'数据-取费表'!B41/(1+'数据-取费表'!C42),0)</f>
        <v>1232</v>
      </c>
      <c r="E53" s="2330" t="s">
        <v>1354</v>
      </c>
      <c r="F53" s="2549">
        <f>'数据-取费表'!B41</f>
        <v>5.5000000000000007E-2</v>
      </c>
      <c r="G53" s="2550"/>
      <c r="H53" s="2539"/>
      <c r="I53" s="1803"/>
      <c r="J53" s="2518">
        <v>2</v>
      </c>
      <c r="K53" s="3572" t="s">
        <v>1357</v>
      </c>
      <c r="L53" s="3572"/>
      <c r="M53" s="2520">
        <f t="shared" ref="M53:O54" ca="1" si="0">D55</f>
        <v>12</v>
      </c>
      <c r="N53" s="2518" t="str">
        <f t="shared" si="0"/>
        <v>销售额×税（费）率</v>
      </c>
      <c r="O53" s="2521" t="str">
        <f t="shared" si="0"/>
        <v>免征</v>
      </c>
    </row>
    <row r="54" spans="1:35" ht="12" customHeight="1">
      <c r="A54" s="2331" t="s">
        <v>1358</v>
      </c>
      <c r="B54" s="3596" t="s">
        <v>2292</v>
      </c>
      <c r="C54" s="3597"/>
      <c r="D54" s="1085">
        <f ca="1">C68</f>
        <v>1232</v>
      </c>
      <c r="E54" s="326" t="s">
        <v>1359</v>
      </c>
      <c r="F54" s="2549">
        <f>'数据-取费表'!B41</f>
        <v>5.5000000000000007E-2</v>
      </c>
      <c r="G54" s="2550"/>
      <c r="H54" s="2551"/>
      <c r="I54" s="1803"/>
      <c r="J54" s="2518">
        <v>3</v>
      </c>
      <c r="K54" s="3572" t="s">
        <v>1360</v>
      </c>
      <c r="L54" s="3572"/>
      <c r="M54" s="2520">
        <f t="shared" ca="1" si="0"/>
        <v>13332</v>
      </c>
      <c r="N54" s="2518" t="str">
        <f t="shared" si="0"/>
        <v>增值额×税（费）率</v>
      </c>
      <c r="O54" s="2522" t="str">
        <f t="shared" si="0"/>
        <v>免征</v>
      </c>
    </row>
    <row r="55" spans="1:35" ht="24" customHeight="1">
      <c r="A55" s="3632" t="s">
        <v>1361</v>
      </c>
      <c r="B55" s="3610"/>
      <c r="C55" s="3610"/>
      <c r="D55" s="2320">
        <f ca="1">IF(H55="个人住宅",0,ROUND(D45*I55,0))</f>
        <v>12</v>
      </c>
      <c r="E55" s="2330" t="s">
        <v>1362</v>
      </c>
      <c r="F55" s="2549" t="str">
        <f>IF(H55="正常",I55,"免征")</f>
        <v>免征</v>
      </c>
      <c r="G55" s="2550"/>
      <c r="H55" s="2545"/>
      <c r="I55" s="164">
        <f>'数据-取费表'!B49</f>
        <v>5.0000000000000001E-4</v>
      </c>
      <c r="J55" s="2518">
        <f>IF(H59="非个人房产","",4)</f>
        <v>4</v>
      </c>
      <c r="K55" s="3572" t="str">
        <f>IF(H59="非个人房产","——","个人所得税")</f>
        <v>个人所得税</v>
      </c>
      <c r="L55" s="3572"/>
      <c r="M55" s="2523">
        <f ca="1">D59</f>
        <v>224</v>
      </c>
      <c r="N55" s="2036" t="str">
        <f>E59</f>
        <v>差额计税</v>
      </c>
      <c r="O55" s="2524">
        <f>F59</f>
        <v>0.01</v>
      </c>
    </row>
    <row r="56" spans="1:35" ht="25.2">
      <c r="A56" s="3632" t="s">
        <v>1363</v>
      </c>
      <c r="B56" s="3610"/>
      <c r="C56" s="3610"/>
      <c r="D56" s="2320">
        <f ca="1">IF(H56="个人住宅",D57,D58)</f>
        <v>13332</v>
      </c>
      <c r="E56" s="2330" t="s">
        <v>1364</v>
      </c>
      <c r="F56" s="2549" t="str">
        <f>IF(H56="正常",F58,"免征")</f>
        <v>免征</v>
      </c>
      <c r="G56" s="2552" t="s">
        <v>1365</v>
      </c>
      <c r="H56" s="2553"/>
      <c r="I56" s="1804"/>
      <c r="J56" s="2518" t="str">
        <f>IF(项目基本情况!K6="上海银行",IF(J55="",4,J55+1),"")</f>
        <v/>
      </c>
      <c r="K56" s="3553" t="str">
        <f>IF(项目基本情况!K6="上海银行","其他处置费用","")</f>
        <v/>
      </c>
      <c r="L56" s="3554"/>
      <c r="M56" s="2520" t="str">
        <f>IF(项目基本情况!K6="上海银行",M69,"")</f>
        <v/>
      </c>
      <c r="N56" s="3553" t="str">
        <f>IF(项目基本情况!K6="上海银行","包含处置中涉及的律师、诉讼、拍卖、评估等费用","")</f>
        <v/>
      </c>
      <c r="O56" s="3556"/>
    </row>
    <row r="57" spans="1:35" ht="13.2">
      <c r="A57" s="2331" t="s">
        <v>1341</v>
      </c>
      <c r="B57" s="3596" t="s">
        <v>1366</v>
      </c>
      <c r="C57" s="3597"/>
      <c r="D57" s="1586">
        <v>0</v>
      </c>
      <c r="E57" s="323" t="s">
        <v>1343</v>
      </c>
      <c r="F57" s="301"/>
      <c r="G57" s="2550"/>
      <c r="H57" s="2554"/>
      <c r="I57" s="1804"/>
      <c r="J57" s="3572">
        <f>IF(AND(J55="",J56=""),4,IF(项目基本情况!K6="上海银行",结果表!J56+1,结果表!J55+1))</f>
        <v>5</v>
      </c>
      <c r="K57" s="3572" t="s">
        <v>1367</v>
      </c>
      <c r="L57" s="2525" t="s">
        <v>1368</v>
      </c>
      <c r="M57" s="2526"/>
      <c r="N57" s="2527">
        <f ca="1">SUMIF(M52:M56,"&lt;9e307")</f>
        <v>13568</v>
      </c>
      <c r="O57" s="2528"/>
      <c r="P57" s="2685">
        <f ca="1">N57/M49</f>
        <v>0.57694433813836798</v>
      </c>
    </row>
    <row r="58" spans="1:35" ht="25.2">
      <c r="A58" s="2331" t="s">
        <v>1352</v>
      </c>
      <c r="B58" s="3596" t="s">
        <v>1369</v>
      </c>
      <c r="C58" s="3595"/>
      <c r="D58" s="2320">
        <f ca="1">IF(H58="转让取得",C81,C97)</f>
        <v>13332</v>
      </c>
      <c r="E58" s="2330" t="s">
        <v>1364</v>
      </c>
      <c r="F58" s="301" t="s">
        <v>28</v>
      </c>
      <c r="G58" s="2550"/>
      <c r="H58" s="2553"/>
      <c r="I58" s="1804"/>
      <c r="J58" s="3572"/>
      <c r="K58" s="3572"/>
      <c r="L58" s="2525" t="s">
        <v>1370</v>
      </c>
      <c r="M58" s="2529"/>
      <c r="N58" s="2530" t="str">
        <f ca="1">NUMBERSTRING(INT(N57*10000),2)&amp;"元整"</f>
        <v>壹亿叁仟伍佰陆拾捌万元整</v>
      </c>
      <c r="O58" s="2531"/>
    </row>
    <row r="59" spans="1:35" ht="24.6" thickBot="1">
      <c r="A59" s="3576" t="s">
        <v>1371</v>
      </c>
      <c r="B59" s="3577"/>
      <c r="C59" s="3577"/>
      <c r="D59" s="2555">
        <f ca="1">IF(H59="非个人房产","——",IF(H59="个人住宅（满五唯一有凭证）",0,IF(H59="个人其他（无凭证）",ROUND(D45*F59,0),ROUND(C67*F59,0))))</f>
        <v>224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574">
        <f>J57+1</f>
        <v>6</v>
      </c>
      <c r="K59" s="3572" t="s">
        <v>1372</v>
      </c>
      <c r="L59" s="2518" t="s">
        <v>1368</v>
      </c>
      <c r="M59" s="2532"/>
      <c r="N59" s="2533">
        <f ca="1">M49-N57</f>
        <v>9949</v>
      </c>
      <c r="O59" s="2534"/>
    </row>
    <row r="60" spans="1:35" ht="12" customHeight="1">
      <c r="A60" s="1805"/>
      <c r="B60" s="1743"/>
      <c r="C60" s="1743"/>
      <c r="D60" s="1743"/>
      <c r="E60" s="1574"/>
      <c r="F60" s="1804"/>
      <c r="G60" s="1804"/>
      <c r="H60" s="1806"/>
      <c r="I60" s="128"/>
      <c r="J60" s="3575"/>
      <c r="K60" s="3572"/>
      <c r="L60" s="2525" t="s">
        <v>1370</v>
      </c>
      <c r="M60" s="2529"/>
      <c r="N60" s="2530" t="str">
        <f ca="1">NUMBERSTRING(INT(N59*10000),2)&amp;"元整"</f>
        <v>玖仟玖佰肆拾玖万元整</v>
      </c>
      <c r="O60" s="2531"/>
    </row>
    <row r="61" spans="1:35" ht="13.8" thickBot="1">
      <c r="A61" s="3631" t="s">
        <v>1373</v>
      </c>
      <c r="B61" s="3631"/>
      <c r="C61" s="3631"/>
      <c r="D61" s="3631"/>
      <c r="E61" s="3631"/>
      <c r="F61" s="1804"/>
      <c r="G61" s="1804"/>
      <c r="H61" s="1806"/>
      <c r="I61" s="128"/>
      <c r="J61" s="2518">
        <f>J59+1</f>
        <v>7</v>
      </c>
      <c r="K61" s="3572" t="s">
        <v>1374</v>
      </c>
      <c r="L61" s="3572"/>
      <c r="M61" s="2535"/>
      <c r="N61" s="2536">
        <f ca="1">ROUND(N59*10000/'数据-汇总表'!E3,0)</f>
        <v>2638</v>
      </c>
      <c r="O61" s="2537"/>
    </row>
    <row r="62" spans="1:35" ht="13.2">
      <c r="A62" s="3591" t="s">
        <v>1375</v>
      </c>
      <c r="B62" s="3592"/>
      <c r="C62" s="2017"/>
      <c r="D62" s="2017" t="s">
        <v>1376</v>
      </c>
      <c r="E62" s="165" t="s">
        <v>1377</v>
      </c>
      <c r="F62" s="1804"/>
      <c r="G62" s="1804"/>
      <c r="H62" s="1806"/>
      <c r="I62" s="128"/>
    </row>
    <row r="63" spans="1:35" ht="13.2">
      <c r="A63" s="172" t="s">
        <v>330</v>
      </c>
      <c r="B63" s="166" t="s">
        <v>1378</v>
      </c>
      <c r="C63" s="2559">
        <f ca="1">ROUND((C64+C65)/(1+'数据-取费表'!C42),0)</f>
        <v>22397</v>
      </c>
      <c r="D63" s="166"/>
      <c r="E63" s="167"/>
      <c r="F63" s="1804"/>
      <c r="G63" s="1804"/>
      <c r="H63" s="1806"/>
      <c r="I63" s="128"/>
      <c r="J63" s="3555" t="s">
        <v>1379</v>
      </c>
      <c r="K63" s="1328" t="s">
        <v>1380</v>
      </c>
      <c r="L63" s="1328">
        <f ca="1">IF(M49&gt;10000,M49*0.5%,IF(AND(M49&gt;1000,M49&lt;=10000),M49*1%,IF(AND(M49&gt;100,M49&lt;=1000),M49*3%,IF(AND(M49&gt;10,M49&lt;=100),M49*5%,M49*8%))))</f>
        <v>117.58500000000001</v>
      </c>
      <c r="M63" s="301">
        <f ca="1">ROUND(L63,1)</f>
        <v>117.6</v>
      </c>
      <c r="N63" s="2538"/>
      <c r="Z63" s="1748"/>
      <c r="AI63" s="1749"/>
    </row>
    <row r="64" spans="1:35" ht="14.25" customHeight="1">
      <c r="A64" s="168" t="s">
        <v>325</v>
      </c>
      <c r="B64" s="169" t="s">
        <v>1381</v>
      </c>
      <c r="C64" s="2560">
        <f ca="1">D45</f>
        <v>23517</v>
      </c>
      <c r="D64" s="169" t="s">
        <v>26</v>
      </c>
      <c r="E64" s="171"/>
      <c r="F64" s="1804"/>
      <c r="G64" s="1804"/>
      <c r="H64" s="1806"/>
      <c r="I64" s="128"/>
      <c r="J64" s="3555"/>
      <c r="K64" s="1328" t="s">
        <v>1382</v>
      </c>
      <c r="L64" s="1328">
        <f ca="1">IF(M49&gt;2000,M49*0.5%,IF(AND(M49&gt;1000,M49&lt;=2000),M49*0.6%,IF(AND(M49&gt;500,M49&lt;=1000),M49*0.7%,IF(AND(M49&gt;200,M49&lt;=500),M49*0.8%,IF(AND(M49&gt;100,M49&lt;=200),M49*0.9%,IF(AND(M49&gt;50,M49&lt;=100),M49*1%,IF(AND(M49&gt;20,M49&lt;=50),M49*1.5%,IF(AND(M49&gt;10,M49&lt;=20),M49*2%,IF(AND(M49&gt;1,M49&lt;=10),M49*2.5%)))))))))</f>
        <v>117.58500000000001</v>
      </c>
      <c r="M64" s="301">
        <f t="shared" ref="M64:M65" ca="1" si="1">ROUND(L64,1)</f>
        <v>117.6</v>
      </c>
      <c r="N64" s="2539" t="s">
        <v>1383</v>
      </c>
      <c r="Z64" s="1748"/>
      <c r="AI64" s="1749"/>
    </row>
    <row r="65" spans="1:35" ht="14.25" customHeight="1">
      <c r="A65" s="168" t="s">
        <v>326</v>
      </c>
      <c r="B65" s="169" t="s">
        <v>1384</v>
      </c>
      <c r="C65" s="2561"/>
      <c r="D65" s="169"/>
      <c r="E65" s="171"/>
      <c r="F65" s="1804"/>
      <c r="G65" s="1804"/>
      <c r="H65" s="1806"/>
      <c r="I65" s="128"/>
      <c r="J65" s="3555"/>
      <c r="K65" s="1328" t="s">
        <v>1385</v>
      </c>
      <c r="L65" s="1328">
        <f ca="1">IF(M49&gt;1000,M49*0.1%,IF(AND(M49&gt;500,M49&lt;=1000),M49*0.5%,IF(AND(M49&gt;50,M49&lt;=500),M49*1%,IF(AND(M49&gt;1,M49&lt;=50),M49*1.5%))))</f>
        <v>23.516999999999999</v>
      </c>
      <c r="M65" s="301">
        <f t="shared" ca="1" si="1"/>
        <v>23.5</v>
      </c>
      <c r="N65" s="2539" t="s">
        <v>1383</v>
      </c>
      <c r="Z65" s="1748"/>
      <c r="AI65" s="1749"/>
    </row>
    <row r="66" spans="1:35" ht="14.25" customHeight="1">
      <c r="A66" s="172" t="s">
        <v>327</v>
      </c>
      <c r="B66" s="173" t="s">
        <v>1386</v>
      </c>
      <c r="C66" s="2562"/>
      <c r="D66" s="173" t="s">
        <v>26</v>
      </c>
      <c r="E66" s="1334" t="s">
        <v>671</v>
      </c>
      <c r="F66" s="1804"/>
      <c r="G66" s="1804"/>
      <c r="H66" s="1806"/>
      <c r="I66" s="128"/>
      <c r="J66" s="3555"/>
      <c r="K66" s="1328" t="s">
        <v>1387</v>
      </c>
      <c r="L66" s="1328">
        <f ca="1">M49*0.5%</f>
        <v>117.58500000000001</v>
      </c>
      <c r="M66" s="301">
        <f ca="1">IF(L66&gt;0.5,0.5,ROUND(L66,0))</f>
        <v>0.5</v>
      </c>
      <c r="N66" s="2539" t="s">
        <v>1388</v>
      </c>
      <c r="Z66" s="1748"/>
      <c r="AI66" s="1749"/>
    </row>
    <row r="67" spans="1:35" ht="14.25" customHeight="1">
      <c r="A67" s="172" t="s">
        <v>328</v>
      </c>
      <c r="B67" s="173" t="s">
        <v>1389</v>
      </c>
      <c r="C67" s="2563">
        <f ca="1">C63-C66</f>
        <v>22397</v>
      </c>
      <c r="D67" s="169" t="s">
        <v>26</v>
      </c>
      <c r="E67" s="171"/>
      <c r="F67" s="1804"/>
      <c r="G67" s="1804"/>
      <c r="H67" s="1806"/>
      <c r="I67" s="128"/>
      <c r="J67" s="3555"/>
      <c r="K67" s="1328" t="s">
        <v>1390</v>
      </c>
      <c r="L67" s="1328">
        <f ca="1">IF(M49&gt;=10000,(8.25+(M49-10000)*0.01%),IF(AND(M49&gt;=8000,M49&lt;10000),(7.85+(M49-8000)*0.02%),IF(AND(M49&gt;=5000,M49&lt;8000),(6.65+(M49-5000)*0.04%),IF(AND(M49&gt;=2000,M49&lt;5000),(4.25+(PM49-2000)*0.08%),IF(AND(M49&gt;=1000,M49&lt;2000),(2.75+(M49-1000)*0.15%),IF(AND(M49&gt;=100,M49&lt;1000),(0.5+(M49-100)*0.25%),IF(AND(M49&gt;0,M49&lt;100),M49*0.5%)))))))</f>
        <v>9.601700000000001</v>
      </c>
      <c r="M67" s="301">
        <f ca="1">ROUND(L67*0.9,1)</f>
        <v>8.6</v>
      </c>
      <c r="N67" s="2538"/>
      <c r="Z67" s="1748"/>
      <c r="AI67" s="1749"/>
    </row>
    <row r="68" spans="1:35" ht="14.25" customHeight="1" thickBot="1">
      <c r="A68" s="175" t="s">
        <v>329</v>
      </c>
      <c r="B68" s="176" t="s">
        <v>1391</v>
      </c>
      <c r="C68" s="2564">
        <f ca="1">IF(C67&lt;=0,0,ROUND(C67*D68,0))</f>
        <v>1232</v>
      </c>
      <c r="D68" s="2565">
        <f>'数据-取费表'!B41</f>
        <v>5.5000000000000007E-2</v>
      </c>
      <c r="E68" s="177"/>
      <c r="F68" s="1804"/>
      <c r="G68" s="1804"/>
      <c r="H68" s="1806"/>
      <c r="I68" s="128"/>
      <c r="J68" s="3555"/>
      <c r="K68" s="1328" t="s">
        <v>1392</v>
      </c>
      <c r="L68" s="1328">
        <f ca="1">IF(M49&gt;10000,M49*0.5%,IF(AND(M49&gt;5000,M49&lt;=10000),M49*1%,IF(AND(M49&gt;1000,M49&lt;=5000),M49*2%,IF(AND(M49&gt;200,M49&lt;=1000),M49*3%,M49*5%))))</f>
        <v>117.58500000000001</v>
      </c>
      <c r="M68" s="301">
        <f ca="1">ROUND(L68,1)</f>
        <v>117.6</v>
      </c>
      <c r="N68" s="2538"/>
      <c r="Z68" s="1748"/>
      <c r="AI68" s="1749"/>
    </row>
    <row r="69" spans="1:35" s="1768" customFormat="1" ht="16.5" customHeight="1">
      <c r="A69" s="1807"/>
      <c r="B69" s="1808"/>
      <c r="C69" s="1809"/>
      <c r="D69" s="1810"/>
      <c r="E69" s="1811"/>
      <c r="F69" s="1574"/>
      <c r="G69" s="1574"/>
      <c r="H69" s="1573"/>
      <c r="I69" s="1743"/>
      <c r="J69" s="3555"/>
      <c r="K69" s="1328" t="s">
        <v>1393</v>
      </c>
      <c r="L69" s="1328"/>
      <c r="M69" s="301">
        <f ca="1">ROUND(SUM(M63:M68),0)</f>
        <v>385</v>
      </c>
      <c r="N69" s="2540">
        <f ca="1">M69/M49</f>
        <v>1.6371135774120849E-2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599" t="s">
        <v>1394</v>
      </c>
      <c r="B70" s="3600"/>
      <c r="C70" s="3600"/>
      <c r="D70" s="3600"/>
      <c r="E70" s="3600"/>
      <c r="F70" s="3600"/>
      <c r="G70" s="3600"/>
      <c r="H70" s="3600"/>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591" t="s">
        <v>1375</v>
      </c>
      <c r="B71" s="3592"/>
      <c r="C71" s="2017"/>
      <c r="D71" s="2017" t="s">
        <v>1376</v>
      </c>
      <c r="E71" s="178" t="s">
        <v>1377</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1395</v>
      </c>
      <c r="C72" s="2563">
        <f ca="1">ROUND(D45/(1+'数据-取费表'!C42),0)</f>
        <v>22397</v>
      </c>
      <c r="D72" s="169" t="s">
        <v>26</v>
      </c>
      <c r="E72" s="2327"/>
      <c r="F72" s="2326"/>
      <c r="G72" s="2326"/>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1396</v>
      </c>
      <c r="C73" s="2563">
        <f ca="1">C74+C78</f>
        <v>112</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1398</v>
      </c>
      <c r="C75" s="2566"/>
      <c r="D75" s="169" t="s">
        <v>26</v>
      </c>
      <c r="E75" s="183" t="s">
        <v>1399</v>
      </c>
      <c r="F75" s="2567"/>
      <c r="G75" s="183" t="s">
        <v>1400</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9">
        <v>0.05</v>
      </c>
      <c r="E76" s="3596" t="s">
        <v>1402</v>
      </c>
      <c r="F76" s="3595"/>
      <c r="G76" s="3595"/>
      <c r="H76" s="359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0">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1">
        <f ca="1">ROUND(D45*D78/(1+'数据-取费表'!C42),0)</f>
        <v>112</v>
      </c>
      <c r="D78" s="2572">
        <f>'数据-取费表'!B43</f>
        <v>5.000000000000001E-3</v>
      </c>
      <c r="E78" s="3588" t="s">
        <v>1406</v>
      </c>
      <c r="F78" s="3589"/>
      <c r="G78" s="3589"/>
      <c r="H78" s="359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334</v>
      </c>
      <c r="B79" s="173" t="s">
        <v>1407</v>
      </c>
      <c r="C79" s="2563">
        <f ca="1">C72-C73</f>
        <v>22285</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3">
        <f ca="1">IF(C79&lt;=0,0,C79/C73)</f>
        <v>198.97321428571428</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1409</v>
      </c>
      <c r="C81" s="2574">
        <f ca="1">ROUND(IF(C79&lt;=0,0,IF(C80&gt;=200%,C79*60%-C73*35%,IF(C80&gt;=100%,C79*50%-C73*15%,IF(C80&gt;=50%,C79*40%-C73*5%,IF(C80&lt;50%,C79*30%,0))))),0)</f>
        <v>13332</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599" t="s">
        <v>1410</v>
      </c>
      <c r="B83" s="3600"/>
      <c r="C83" s="3600"/>
      <c r="D83" s="3600"/>
      <c r="E83" s="3600"/>
      <c r="F83" s="3600"/>
      <c r="G83" s="3600"/>
      <c r="H83" s="360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591" t="s">
        <v>1375</v>
      </c>
      <c r="B84" s="3592"/>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1395</v>
      </c>
      <c r="C85" s="2563">
        <f ca="1">ROUND(D45/(1+'数据-取费表'!C42),0)</f>
        <v>22397</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1396</v>
      </c>
      <c r="C86" s="2563">
        <f ca="1">IF(H88="仅含出让金",C87+C90+C91+C92+C93+C94,C87+C91+C92+C93+C94)</f>
        <v>112</v>
      </c>
      <c r="D86" s="2576"/>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1411</v>
      </c>
      <c r="C87" s="2571">
        <f>C88+C89</f>
        <v>0</v>
      </c>
      <c r="D87" s="2572"/>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1412</v>
      </c>
      <c r="C88" s="2577"/>
      <c r="D88" s="2572"/>
      <c r="E88" s="192" t="s">
        <v>1413</v>
      </c>
      <c r="F88" s="2323"/>
      <c r="G88" s="193" t="s">
        <v>1414</v>
      </c>
      <c r="H88" s="1820"/>
      <c r="I88" s="1817"/>
      <c r="J88" s="2516"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1403</v>
      </c>
      <c r="C89" s="2571">
        <f>ROUND(C88*D89,0)</f>
        <v>0</v>
      </c>
      <c r="D89" s="2572">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1416</v>
      </c>
      <c r="C90" s="2577"/>
      <c r="D90" s="2572"/>
      <c r="E90" s="192" t="str">
        <f>IF(H88="-","土地取得成本中已包含该笔费用"," ")</f>
        <v xml:space="preserve"> </v>
      </c>
      <c r="F90" s="2323"/>
      <c r="G90" s="3557" t="s">
        <v>2129</v>
      </c>
      <c r="H90" s="3558"/>
      <c r="I90" s="1817"/>
      <c r="J90" s="2516"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1">
        <f>IF(H91="——",成本法!C33,I91)</f>
        <v>0</v>
      </c>
      <c r="D91" s="2572"/>
      <c r="E91" s="3588" t="s">
        <v>1419</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1">
        <f>ROUND((C87+C90+C91)*D92,0)</f>
        <v>0</v>
      </c>
      <c r="D92" s="2578"/>
      <c r="E92" s="3588" t="s">
        <v>1422</v>
      </c>
      <c r="F92" s="3589"/>
      <c r="G92" s="3589"/>
      <c r="H92" s="3590"/>
      <c r="I92" s="1817"/>
      <c r="J92" s="2517"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1">
        <f ca="1">ROUND(D45*D93/(1+'数据-取费表'!C42),0)</f>
        <v>112</v>
      </c>
      <c r="D93" s="2572">
        <f>'数据-取费表'!B43</f>
        <v>5.000000000000001E-3</v>
      </c>
      <c r="E93" s="3588" t="s">
        <v>1406</v>
      </c>
      <c r="F93" s="3589"/>
      <c r="G93" s="3589"/>
      <c r="H93" s="359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7">
        <f>ROUND((C87+C90+C91)*D94,0)</f>
        <v>0</v>
      </c>
      <c r="D94" s="2572">
        <v>0.2</v>
      </c>
      <c r="E94" s="3633" t="s">
        <v>1426</v>
      </c>
      <c r="F94" s="3634"/>
      <c r="G94" s="3634"/>
      <c r="H94" s="363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334</v>
      </c>
      <c r="B95" s="173" t="s">
        <v>1407</v>
      </c>
      <c r="C95" s="2563">
        <f ca="1">ROUND(C85-C86,0)</f>
        <v>22285</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3">
        <f ca="1">IF(C95&lt;=0,0,C95/C86)</f>
        <v>198.97321428571428</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1409</v>
      </c>
      <c r="C97" s="2574">
        <f ca="1">ROUND(IF(C95&lt;=0,0,IF(C96&gt;=200%,C95*60%-C86*35%,IF(C96&gt;=100%,C95*50%-C86*15%,IF(C96&gt;=50%,C95*40%-C86*5%,IF(C96&lt;50%,C95*30%,0))))),0)</f>
        <v>13332</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38" t="s">
        <v>1428</v>
      </c>
      <c r="B100" s="3539"/>
      <c r="C100" s="3539"/>
      <c r="D100" s="3573"/>
      <c r="E100" s="3539" t="s">
        <v>1429</v>
      </c>
      <c r="F100" s="3539"/>
      <c r="G100" s="3539"/>
      <c r="H100" s="3573"/>
      <c r="I100" s="128"/>
    </row>
    <row r="101" spans="1:35" ht="18.75" customHeight="1">
      <c r="A101" s="3581" t="s">
        <v>1430</v>
      </c>
      <c r="B101" s="3582"/>
      <c r="C101" s="2580" t="str">
        <f>C4</f>
        <v>成本法</v>
      </c>
      <c r="D101" s="2581" t="str">
        <f>D4</f>
        <v>假设开发法</v>
      </c>
      <c r="E101" s="3551" t="s">
        <v>1431</v>
      </c>
      <c r="F101" s="3552"/>
      <c r="G101" s="1823" t="s">
        <v>1432</v>
      </c>
      <c r="H101" s="2590">
        <f ca="1">H118</f>
        <v>23517</v>
      </c>
      <c r="I101" s="128"/>
    </row>
    <row r="102" spans="1:35" ht="18.75" customHeight="1">
      <c r="A102" s="3583" t="s">
        <v>1433</v>
      </c>
      <c r="B102" s="2579" t="s">
        <v>1432</v>
      </c>
      <c r="C102" s="2580">
        <f ca="1">IF(D32="楼面单价",ROUND(C19,0),C19)</f>
        <v>18883</v>
      </c>
      <c r="D102" s="2581">
        <f ca="1">IF(D32="楼面单价",ROUND(D19,0),D19)</f>
        <v>25503</v>
      </c>
      <c r="E102" s="3551"/>
      <c r="F102" s="3552"/>
      <c r="G102" s="1823" t="s">
        <v>1434</v>
      </c>
      <c r="H102" s="2550">
        <f ca="1">I118</f>
        <v>6236</v>
      </c>
      <c r="I102" s="128"/>
    </row>
    <row r="103" spans="1:35" ht="42.75" customHeight="1">
      <c r="A103" s="3583"/>
      <c r="B103" s="2579" t="s">
        <v>1434</v>
      </c>
      <c r="C103" s="2582">
        <f ca="1">C20</f>
        <v>5007</v>
      </c>
      <c r="D103" s="2583">
        <f ca="1">D20</f>
        <v>6763</v>
      </c>
      <c r="E103" s="3544" t="s">
        <v>1435</v>
      </c>
      <c r="F103" s="3545"/>
      <c r="G103" s="1824" t="s">
        <v>1436</v>
      </c>
      <c r="H103" s="2590">
        <f>IF(D36="正常操作",H104+H105+H106,H105+H106)</f>
        <v>0</v>
      </c>
      <c r="I103" s="128"/>
    </row>
    <row r="104" spans="1:35" ht="18.75" customHeight="1">
      <c r="A104" s="3583" t="s">
        <v>1437</v>
      </c>
      <c r="B104" s="2584" t="s">
        <v>1432</v>
      </c>
      <c r="C104" s="2585">
        <f ca="1">H118</f>
        <v>23517</v>
      </c>
      <c r="D104" s="2586"/>
      <c r="E104" s="1670" t="s">
        <v>1438</v>
      </c>
      <c r="F104" s="1662"/>
      <c r="G104" s="1824" t="s">
        <v>1436</v>
      </c>
      <c r="H104" s="2591">
        <f>IF(D36="同一抵押权人同一抵押物续贷",C36&amp;"（续贷，未扣减，详见特别提示）",C36)</f>
        <v>0</v>
      </c>
      <c r="I104" s="128"/>
    </row>
    <row r="105" spans="1:35" ht="18.75" customHeight="1" thickBot="1">
      <c r="A105" s="3593"/>
      <c r="B105" s="2587" t="s">
        <v>1434</v>
      </c>
      <c r="C105" s="2588">
        <f ca="1">I118</f>
        <v>6236</v>
      </c>
      <c r="D105" s="2589"/>
      <c r="E105" s="1670" t="s">
        <v>1439</v>
      </c>
      <c r="F105" s="1662"/>
      <c r="G105" s="1824" t="s">
        <v>1436</v>
      </c>
      <c r="H105" s="2592">
        <f>C37</f>
        <v>0</v>
      </c>
      <c r="I105" s="128"/>
    </row>
    <row r="106" spans="1:35" ht="18.75" customHeight="1">
      <c r="A106" s="1743" t="s">
        <v>1440</v>
      </c>
      <c r="B106" s="1743"/>
      <c r="C106" s="1743"/>
      <c r="D106" s="1743"/>
      <c r="E106" s="1825" t="s">
        <v>1441</v>
      </c>
      <c r="F106" s="1662"/>
      <c r="G106" s="1824" t="s">
        <v>1436</v>
      </c>
      <c r="H106" s="2592">
        <f>C38</f>
        <v>0</v>
      </c>
      <c r="I106" s="128"/>
    </row>
    <row r="107" spans="1:35" ht="18.75" customHeight="1">
      <c r="A107" s="128"/>
      <c r="B107" s="128"/>
      <c r="C107" s="128"/>
      <c r="D107" s="128"/>
      <c r="E107" s="3584" t="str">
        <f>IF(项目基本情况!E8="已注销","——","3.房地产抵押价值")</f>
        <v>3.房地产抵押价值</v>
      </c>
      <c r="F107" s="3552"/>
      <c r="G107" s="1823" t="s">
        <v>1432</v>
      </c>
      <c r="H107" s="2590">
        <f ca="1">IF(E107="——","——",H101-H103)</f>
        <v>23517</v>
      </c>
      <c r="I107" s="128"/>
    </row>
    <row r="108" spans="1:35" ht="18.75" customHeight="1">
      <c r="A108" s="128"/>
      <c r="B108" s="128"/>
      <c r="C108" s="128"/>
      <c r="D108" s="128"/>
      <c r="E108" s="3584"/>
      <c r="F108" s="3552"/>
      <c r="G108" s="1823" t="s">
        <v>1434</v>
      </c>
      <c r="H108" s="2550">
        <f ca="1">IF(H107=H101,H102,ROUND(H107*10000/'数据-汇总表'!E3,0))</f>
        <v>6236</v>
      </c>
      <c r="I108" s="128"/>
    </row>
    <row r="109" spans="1:35" ht="18.75" customHeight="1">
      <c r="A109" s="128"/>
      <c r="B109" s="128"/>
      <c r="C109" s="128"/>
      <c r="D109" s="128"/>
      <c r="E109" s="3584" t="str">
        <f>IF(项目基本情况!E8="已注销及未注销","4.抵押担保权已注销时的房地产抵押价值",IF(项目基本情况!E8="已注销","3.抵押担保权已注销时的房地产抵押价值","——"))</f>
        <v>——</v>
      </c>
      <c r="F109" s="3552"/>
      <c r="G109" s="1823" t="s">
        <v>1432</v>
      </c>
      <c r="H109" s="2593" t="str">
        <f>IF(E109="——","——",H101-H105-H106)</f>
        <v>——</v>
      </c>
      <c r="I109" s="128"/>
    </row>
    <row r="110" spans="1:35" ht="18.75" customHeight="1">
      <c r="A110" s="128"/>
      <c r="B110" s="128"/>
      <c r="C110" s="128"/>
      <c r="D110" s="128"/>
      <c r="E110" s="3584"/>
      <c r="F110" s="3552"/>
      <c r="G110" s="1823" t="s">
        <v>1434</v>
      </c>
      <c r="H110" s="2550" t="str">
        <f>IF(H109="——","——",ROUND(H109*10000/'数据-汇总表'!E3,0))</f>
        <v>——</v>
      </c>
      <c r="I110" s="128"/>
    </row>
    <row r="111" spans="1:35" ht="18.75" customHeight="1">
      <c r="A111" s="128"/>
      <c r="B111" s="128"/>
      <c r="C111" s="128"/>
      <c r="D111" s="128"/>
      <c r="E111" s="3585" t="str">
        <f>IF(项目基本情况!E9="抵押净值",IF(OR(项目基本情况!E8="已注销",项目基本情况!E8="房地产抵押价值"),"4.抵押净值","5.抵押净值"),"——")</f>
        <v>——</v>
      </c>
      <c r="F111" s="3571"/>
      <c r="G111" s="1823" t="s">
        <v>1432</v>
      </c>
      <c r="H111" s="2590" t="str">
        <f>IF(E111="——","——",N59)</f>
        <v>——</v>
      </c>
      <c r="I111" s="128"/>
    </row>
    <row r="112" spans="1:35" ht="18.75" customHeight="1" thickBot="1">
      <c r="A112" s="128"/>
      <c r="B112" s="128"/>
      <c r="C112" s="128"/>
      <c r="D112" s="128"/>
      <c r="E112" s="3586"/>
      <c r="F112" s="3587"/>
      <c r="G112" s="1826" t="s">
        <v>1434</v>
      </c>
      <c r="H112" s="2594" t="str">
        <f>IF(E111="——","——",N61)</f>
        <v>——</v>
      </c>
      <c r="I112" s="128"/>
    </row>
    <row r="113" spans="1:27" ht="18.75" customHeight="1">
      <c r="A113" s="128"/>
      <c r="B113" s="128"/>
      <c r="C113" s="128"/>
      <c r="D113" s="128"/>
      <c r="E113" s="3594" t="s">
        <v>1440</v>
      </c>
      <c r="F113" s="3594"/>
      <c r="G113" s="3594"/>
      <c r="H113" s="3594"/>
      <c r="I113" s="128"/>
    </row>
    <row r="114" spans="1:27" ht="3.75" customHeight="1">
      <c r="A114" s="1743"/>
      <c r="B114" s="1743"/>
      <c r="C114" s="1743"/>
      <c r="D114" s="1743"/>
      <c r="E114" s="1805"/>
      <c r="F114" s="1805"/>
      <c r="G114" s="1805"/>
      <c r="H114" s="1805"/>
      <c r="I114" s="1743"/>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37711.240000000005</v>
      </c>
      <c r="C118" s="2325">
        <f>M19</f>
        <v>18193.39</v>
      </c>
      <c r="D118" s="2325">
        <f ca="1">ROUND(IF(D32="总价",C34,E118*B118/10000),0)</f>
        <v>4845</v>
      </c>
      <c r="E118" s="2325">
        <f ca="1">ROUND(IF(C33="自定义",IF(D32="楼面单价",C34,D118*10000/B118),I118-G118),0)</f>
        <v>1285</v>
      </c>
      <c r="F118" s="2325">
        <f ca="1">ROUND(IF(D32="总价",C35,G118*B118/10000),0)</f>
        <v>18672</v>
      </c>
      <c r="G118" s="2325">
        <f ca="1">ROUND(IF(D32="楼面单价",C35,F118*10000/B118),0)</f>
        <v>4951</v>
      </c>
      <c r="H118" s="2325">
        <f ca="1">ROUND(IF(D32="总价",C32,I118*B118/10000),0)</f>
        <v>23517</v>
      </c>
      <c r="I118" s="2325">
        <f ca="1">ROUND(IF(D32="楼面单价",C32,H118*10000/B118),0)</f>
        <v>6236</v>
      </c>
    </row>
    <row r="119" spans="1:27" ht="18.75" customHeight="1">
      <c r="A119" s="3559" t="s">
        <v>1452</v>
      </c>
      <c r="B119" s="3559"/>
      <c r="C119" s="3559"/>
      <c r="D119" s="3565" t="str">
        <f ca="1">NUMBERSTRING(INT(D118*10000),2)&amp;"元整"</f>
        <v>肆仟捌佰肆拾伍万元整</v>
      </c>
      <c r="E119" s="3566"/>
      <c r="F119" s="3565" t="str">
        <f ca="1">NUMBERSTRING(INT(F118*10000),2)&amp;"元整"</f>
        <v>壹亿捌仟陆佰柒拾贰万元整</v>
      </c>
      <c r="G119" s="3566"/>
      <c r="H119" s="3565" t="str">
        <f ca="1">NUMBERSTRING(INT(H118*10000),2)&amp;"元整"</f>
        <v>贰亿叁仟伍佰壹拾柒万元整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65" t="s">
        <v>1452</v>
      </c>
      <c r="B121" s="3567"/>
      <c r="C121" s="3566"/>
      <c r="D121" s="3565" t="str">
        <f>IF(D120=0,"零元整",NUMBERSTRING(INT(D120*10000),2)&amp;"元整")</f>
        <v>零元整</v>
      </c>
      <c r="E121" s="3567"/>
      <c r="F121" s="3567"/>
      <c r="G121" s="3567"/>
      <c r="H121" s="3567"/>
      <c r="I121" s="3566"/>
      <c r="AA121" s="723"/>
    </row>
    <row r="122" spans="1:27" ht="18.75" customHeight="1">
      <c r="A122" s="3571" t="str">
        <f>IF(项目基本情况!B9="房地产市场价值","",MID(E107,3,LEN(E107)-2))</f>
        <v>房地产抵押价值</v>
      </c>
      <c r="B122" s="3571"/>
      <c r="C122" s="3571"/>
      <c r="D122" s="3560">
        <f ca="1">H107</f>
        <v>23517</v>
      </c>
      <c r="E122" s="3561"/>
      <c r="F122" s="3561"/>
      <c r="G122" s="3561"/>
      <c r="H122" s="3561"/>
      <c r="I122" s="3562"/>
      <c r="AA122" s="723"/>
    </row>
    <row r="123" spans="1:27" ht="18.75" customHeight="1">
      <c r="A123" s="3559" t="s">
        <v>1452</v>
      </c>
      <c r="B123" s="3559"/>
      <c r="C123" s="3559"/>
      <c r="D123" s="3565" t="str">
        <f ca="1">NUMBERSTRING(INT(D122*10000),2)&amp;"元整"</f>
        <v>贰亿叁仟伍佰壹拾柒万元整</v>
      </c>
      <c r="E123" s="3567"/>
      <c r="F123" s="3567"/>
      <c r="G123" s="3567"/>
      <c r="H123" s="3567"/>
      <c r="I123" s="3566"/>
      <c r="AA123" s="723"/>
    </row>
    <row r="124" spans="1:27" ht="18.75" customHeight="1">
      <c r="A124" s="3571" t="str">
        <f>IF(项目基本情况!B9="房地产市场价值","",MID(E109,3,LEN(E109)-2))</f>
        <v/>
      </c>
      <c r="B124" s="3571"/>
      <c r="C124" s="3571"/>
      <c r="D124" s="3560" t="str">
        <f>H109</f>
        <v>——</v>
      </c>
      <c r="E124" s="3561"/>
      <c r="F124" s="3561"/>
      <c r="G124" s="3561"/>
      <c r="H124" s="3561"/>
      <c r="I124" s="3562"/>
      <c r="AA124" s="723"/>
    </row>
    <row r="125" spans="1:27" ht="18.75" customHeight="1">
      <c r="A125" s="3559" t="s">
        <v>1452</v>
      </c>
      <c r="B125" s="3559"/>
      <c r="C125" s="3559"/>
      <c r="D125" s="3565" t="e">
        <f>NUMBERSTRING(INT(D124*10000),2)&amp;"元整"</f>
        <v>#VALUE!</v>
      </c>
      <c r="E125" s="3567"/>
      <c r="F125" s="3567"/>
      <c r="G125" s="3567"/>
      <c r="H125" s="3567"/>
      <c r="I125" s="3566"/>
      <c r="AA125" s="723"/>
    </row>
    <row r="126" spans="1:27" ht="18.75" customHeight="1">
      <c r="A126" s="3571" t="str">
        <f>IF(项目基本情况!B9="房地产市场价值","",MID(E111,3,LEN(E111)-2))</f>
        <v/>
      </c>
      <c r="B126" s="3571"/>
      <c r="C126" s="3571"/>
      <c r="D126" s="3560" t="str">
        <f>H111</f>
        <v>——</v>
      </c>
      <c r="E126" s="3561"/>
      <c r="F126" s="3561"/>
      <c r="G126" s="3561"/>
      <c r="H126" s="3561"/>
      <c r="I126" s="3562"/>
      <c r="AA126" s="723"/>
    </row>
    <row r="127" spans="1:27" ht="18.75" customHeight="1">
      <c r="A127" s="3559" t="s">
        <v>1452</v>
      </c>
      <c r="B127" s="3559"/>
      <c r="C127" s="3559"/>
      <c r="D127" s="3565" t="e">
        <f>NUMBERSTRING(INT(D126*10000),2)&amp;"元整"</f>
        <v>#VALUE!</v>
      </c>
      <c r="E127" s="3567"/>
      <c r="F127" s="3567"/>
      <c r="G127" s="3567"/>
      <c r="H127" s="3567"/>
      <c r="I127" s="3566"/>
      <c r="AA127" s="723"/>
    </row>
    <row r="128" spans="1:27" ht="21.75" customHeight="1">
      <c r="A128" s="3568" t="s">
        <v>1453</v>
      </c>
      <c r="B128" s="3568"/>
      <c r="C128" s="3568"/>
      <c r="D128" s="3568"/>
      <c r="E128" s="3568"/>
      <c r="F128" s="3568"/>
      <c r="G128" s="3568"/>
      <c r="H128" s="3568"/>
      <c r="I128" s="356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6"/>
      <c r="C1" s="197"/>
      <c r="D1" s="197"/>
      <c r="E1" s="197"/>
      <c r="F1" s="197"/>
      <c r="G1" s="1122">
        <f>MATCH(B1,'数据-取费表'!A6:A16,0)+5</f>
        <v>7</v>
      </c>
    </row>
    <row r="2" spans="1:9" s="199" customFormat="1" ht="18" customHeight="1">
      <c r="A2" s="200" t="s">
        <v>1462</v>
      </c>
      <c r="B2" s="201">
        <f ca="1">IF(D2="——",C52,C52-E2)</f>
        <v>18883</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5007</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C6+C7+C8</f>
        <v>3204</v>
      </c>
      <c r="D5" s="210" t="s">
        <v>1469</v>
      </c>
      <c r="E5" s="211" t="s">
        <v>1470</v>
      </c>
      <c r="F5" s="211" t="s">
        <v>1471</v>
      </c>
      <c r="G5" s="212"/>
    </row>
    <row r="6" spans="1:9" s="213" customFormat="1" ht="13.5" customHeight="1">
      <c r="A6" s="776" t="s">
        <v>1472</v>
      </c>
      <c r="B6" s="214" t="s">
        <v>1473</v>
      </c>
      <c r="C6" s="215">
        <f>基准地价修正!E33</f>
        <v>2413</v>
      </c>
      <c r="D6" s="216"/>
      <c r="E6" s="217"/>
      <c r="F6" s="217"/>
      <c r="G6" s="218"/>
    </row>
    <row r="7" spans="1:9" s="213" customFormat="1" ht="13.5" customHeight="1">
      <c r="A7" s="776" t="s">
        <v>1474</v>
      </c>
      <c r="B7" s="214" t="s">
        <v>1475</v>
      </c>
      <c r="C7" s="219">
        <f>ROUND(C6*F7,0)</f>
        <v>74</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717</v>
      </c>
      <c r="D8" s="221"/>
      <c r="E8" s="219"/>
      <c r="F8" s="220"/>
      <c r="G8" s="1852" t="s">
        <v>3429</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3" t="s">
        <v>3458</v>
      </c>
      <c r="H9" s="1133"/>
      <c r="I9" s="1854" t="s">
        <v>1479</v>
      </c>
    </row>
    <row r="10" spans="1:9" s="213" customFormat="1" ht="13.5" customHeight="1">
      <c r="A10" s="777" t="s">
        <v>356</v>
      </c>
      <c r="B10" s="223" t="s">
        <v>1480</v>
      </c>
      <c r="C10" s="224">
        <f ca="1">ROUND(D10*E10/10000,0)</f>
        <v>717</v>
      </c>
      <c r="D10" s="843">
        <f ca="1">IF(B1="",'数据-汇总表'!E6,IF(INDIRECT("'数据-取费表'!c"&amp;$G$1)="住宅",INDIRECT("'数据-取费表'!s"&amp;$G$1),INDIRECT("'数据-取费表'!k"&amp;$G$1)+INDIRECT("'数据-取费表'!s"&amp;$G$1)))</f>
        <v>37711.240000000005</v>
      </c>
      <c r="E10" s="224">
        <f>'数据-取费表'!B28</f>
        <v>190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37711.240000000005</v>
      </c>
      <c r="E19" s="210">
        <f>'数据-取费表'!B31</f>
        <v>200</v>
      </c>
      <c r="F19" s="230"/>
      <c r="G19" s="1852" t="s">
        <v>3430</v>
      </c>
    </row>
    <row r="20" spans="1:7" s="213" customFormat="1" ht="13.5" customHeight="1">
      <c r="A20" s="254" t="s">
        <v>1493</v>
      </c>
      <c r="B20" s="209" t="s">
        <v>1494</v>
      </c>
      <c r="C20" s="231">
        <f>ROUND((C5+C19)*F20,0)</f>
        <v>64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114</v>
      </c>
      <c r="D22" s="234">
        <f ca="1">C26</f>
        <v>4.0000000000000002E-4</v>
      </c>
      <c r="E22" s="235" t="s">
        <v>1498</v>
      </c>
      <c r="F22" s="236">
        <f ca="1">'数据-取费表'!B40</f>
        <v>3.5499999999999997E-2</v>
      </c>
      <c r="G22" s="233" t="str">
        <f>IF('数据-取费表'!B22&lt;=1,"单利计息","复利计息")</f>
        <v>单利计息</v>
      </c>
    </row>
    <row r="23" spans="1:7" s="213" customFormat="1" ht="13.5" customHeight="1">
      <c r="A23" s="778" t="s">
        <v>1502</v>
      </c>
      <c r="B23" s="214" t="s">
        <v>1503</v>
      </c>
      <c r="C23" s="1103">
        <f ca="1">ROUND(IF('数据-取费表'!B22&lt;=1,C5*F22*'数据-取费表'!B23,C5*(POWER((1+F22),'数据-取费表'!B23)-1)),0)</f>
        <v>113</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1</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6.4">
      <c r="A27" s="254" t="s">
        <v>1512</v>
      </c>
      <c r="B27" s="243" t="s">
        <v>1513</v>
      </c>
      <c r="C27" s="244">
        <f ca="1">C28</f>
        <v>226</v>
      </c>
      <c r="D27" s="234">
        <f ca="1">C29</f>
        <v>1.4E-3</v>
      </c>
      <c r="E27" s="235" t="s">
        <v>1514</v>
      </c>
      <c r="F27" s="245">
        <f ca="1">IF(B1="",'数据-取费表'!Q16,INDIRECT("'数据-取费表'!q"&amp;$G$1))</f>
        <v>7.0000000000000007E-2</v>
      </c>
      <c r="G27" s="246" t="s">
        <v>1515</v>
      </c>
    </row>
    <row r="28" spans="1:7" s="213" customFormat="1" ht="13.5" customHeight="1">
      <c r="A28" s="778" t="s">
        <v>346</v>
      </c>
      <c r="B28" s="247" t="s">
        <v>1516</v>
      </c>
      <c r="C28" s="248">
        <f ca="1">ROUND((C5+C19+C20)*F27*'数据-取费表'!B21/'数据-取费表'!B20,0)</f>
        <v>226</v>
      </c>
      <c r="D28" s="234"/>
      <c r="E28" s="235"/>
      <c r="F28" s="245"/>
      <c r="G28" s="246"/>
    </row>
    <row r="29" spans="1:7" s="213" customFormat="1" ht="13.5" customHeight="1">
      <c r="A29" s="778" t="s">
        <v>347</v>
      </c>
      <c r="B29" s="247" t="s">
        <v>1517</v>
      </c>
      <c r="C29" s="237">
        <f ca="1">ROUND(C21*F27*'数据-取费表'!B21/'数据-取费表'!B20,4)</f>
        <v>1.4E-3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3897</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12507</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11200</v>
      </c>
      <c r="D34" s="216"/>
      <c r="E34" s="219"/>
      <c r="F34" s="256">
        <f ca="1">IF('数据-取费表'!B24=0,1,IF(B1="",'数据-取费表'!N16,INDIRECT("'数据-取费表'!n"&amp;$G$1)))</f>
        <v>0.99</v>
      </c>
      <c r="G34" s="218" t="s">
        <v>1526</v>
      </c>
    </row>
    <row r="35" spans="1:7" ht="13.5" customHeight="1">
      <c r="A35" s="778" t="s">
        <v>351</v>
      </c>
      <c r="B35" s="214" t="s">
        <v>1527</v>
      </c>
      <c r="C35" s="219">
        <f ca="1">ROUND(C34*F35,0)</f>
        <v>392</v>
      </c>
      <c r="D35" s="219"/>
      <c r="E35" s="219"/>
      <c r="F35" s="258">
        <f>'数据-取费表'!B33</f>
        <v>3.5000000000000003E-2</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747</v>
      </c>
      <c r="D37" s="216">
        <f ca="1">D19</f>
        <v>37711.240000000005</v>
      </c>
      <c r="E37" s="248">
        <f>'数据-取费表'!B35</f>
        <v>200</v>
      </c>
      <c r="F37" s="258"/>
      <c r="G37" s="260" t="s">
        <v>1532</v>
      </c>
    </row>
    <row r="38" spans="1:7" ht="13.5" customHeight="1">
      <c r="A38" s="778" t="s">
        <v>354</v>
      </c>
      <c r="B38" s="214" t="s">
        <v>1533</v>
      </c>
      <c r="C38" s="219">
        <f ca="1">ROUND(C34*F38,0)</f>
        <v>168</v>
      </c>
      <c r="D38" s="219"/>
      <c r="E38" s="219"/>
      <c r="F38" s="258">
        <f>'数据-取费表'!B36</f>
        <v>1.4999999999999999E-2</v>
      </c>
      <c r="G38" s="218" t="s">
        <v>1528</v>
      </c>
    </row>
    <row r="39" spans="1:7" s="213" customFormat="1" ht="13.5" customHeight="1">
      <c r="A39" s="254" t="s">
        <v>1534</v>
      </c>
      <c r="B39" s="209" t="s">
        <v>1535</v>
      </c>
      <c r="C39" s="231">
        <f ca="1">ROUND(C33*F20,0)</f>
        <v>250</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224</v>
      </c>
      <c r="D41" s="234">
        <f ca="1">C44</f>
        <v>4.0000000000000002E-4</v>
      </c>
      <c r="E41" s="235" t="s">
        <v>1539</v>
      </c>
      <c r="F41" s="236">
        <f ca="1">F22</f>
        <v>3.5499999999999997E-2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220</v>
      </c>
      <c r="D42" s="237"/>
      <c r="E42" s="237"/>
      <c r="F42" s="238"/>
      <c r="G42" s="3638" t="s">
        <v>1544</v>
      </c>
    </row>
    <row r="43" spans="1:7" ht="13.5" customHeight="1">
      <c r="A43" s="778" t="s">
        <v>347</v>
      </c>
      <c r="B43" s="214" t="s">
        <v>1545</v>
      </c>
      <c r="C43" s="237">
        <f ca="1">ROUND(IF('数据-取费表'!B22&lt;=1,C39*F22*'数据-取费表'!B21/2,C39*(POWER((1+F22),'数据-取费表'!B21/2)-1)),0)</f>
        <v>4</v>
      </c>
      <c r="D43" s="237"/>
      <c r="E43" s="237"/>
      <c r="F43" s="238"/>
      <c r="G43" s="3639"/>
    </row>
    <row r="44" spans="1:7" ht="13.5" customHeight="1">
      <c r="A44" s="778" t="s">
        <v>348</v>
      </c>
      <c r="B44" s="214" t="s">
        <v>1546</v>
      </c>
      <c r="C44" s="237">
        <f ca="1">ROUND(IF('数据-取费表'!B22&lt;=1,C40*F22*'数据-取费表'!B21/2,C40*(POWER((1+F22),'数据-取费表'!B21/2)-1)),4)</f>
        <v>4.0000000000000002E-4</v>
      </c>
      <c r="D44" s="237"/>
      <c r="E44" s="237"/>
      <c r="F44" s="238"/>
      <c r="G44" s="3640"/>
    </row>
    <row r="45" spans="1:7" s="213" customFormat="1" ht="13.5" customHeight="1">
      <c r="A45" s="254" t="s">
        <v>1547</v>
      </c>
      <c r="B45" s="243" t="s">
        <v>1513</v>
      </c>
      <c r="C45" s="244">
        <f ca="1">C46</f>
        <v>893</v>
      </c>
      <c r="D45" s="234">
        <f ca="1">C47</f>
        <v>1.4E-3</v>
      </c>
      <c r="E45" s="235" t="s">
        <v>1539</v>
      </c>
      <c r="F45" s="245">
        <f ca="1">F27</f>
        <v>7.0000000000000007E-2</v>
      </c>
      <c r="G45" s="246" t="s">
        <v>1548</v>
      </c>
    </row>
    <row r="46" spans="1:7" s="213" customFormat="1" ht="13.5" customHeight="1">
      <c r="A46" s="778" t="s">
        <v>346</v>
      </c>
      <c r="B46" s="247" t="s">
        <v>1549</v>
      </c>
      <c r="C46" s="248">
        <f ca="1">ROUND((C33+C39)*F27,0)</f>
        <v>893</v>
      </c>
      <c r="D46" s="262"/>
      <c r="E46" s="235"/>
      <c r="F46" s="245"/>
      <c r="G46" s="246"/>
    </row>
    <row r="47" spans="1:7" s="213" customFormat="1" ht="13.5" customHeight="1">
      <c r="A47" s="778" t="s">
        <v>347</v>
      </c>
      <c r="B47" s="247" t="s">
        <v>1550</v>
      </c>
      <c r="C47" s="237">
        <f ca="1">ROUND(C40*F27,4)</f>
        <v>1.4E-3</v>
      </c>
      <c r="D47" s="262"/>
      <c r="E47" s="235"/>
      <c r="F47" s="245"/>
      <c r="G47" s="246"/>
    </row>
    <row r="48" spans="1:7" s="213" customFormat="1" ht="13.5" customHeight="1">
      <c r="A48" s="254" t="s">
        <v>1512</v>
      </c>
      <c r="B48" s="209" t="s">
        <v>1551</v>
      </c>
      <c r="C48" s="1323">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14986</v>
      </c>
      <c r="D49" s="231"/>
      <c r="E49" s="231"/>
      <c r="F49" s="263"/>
      <c r="G49" s="233" t="s">
        <v>1554</v>
      </c>
    </row>
    <row r="50" spans="1:7" s="257" customFormat="1" ht="24">
      <c r="A50" s="254" t="s">
        <v>1555</v>
      </c>
      <c r="B50" s="209" t="s">
        <v>1556</v>
      </c>
      <c r="C50" s="231"/>
      <c r="D50" s="231"/>
      <c r="E50" s="231"/>
      <c r="F50" s="263">
        <f>IF('数据-取费表'!B24=0,'数据-取费表'!N16,1)</f>
        <v>1</v>
      </c>
      <c r="G50" s="246" t="s">
        <v>1557</v>
      </c>
    </row>
    <row r="51" spans="1:7" ht="16.5" customHeight="1">
      <c r="A51" s="254" t="s">
        <v>1558</v>
      </c>
      <c r="B51" s="209" t="s">
        <v>1559</v>
      </c>
      <c r="C51" s="231">
        <f ca="1">ROUND(C49*F50,0)</f>
        <v>14986</v>
      </c>
      <c r="D51" s="231"/>
      <c r="E51" s="231"/>
      <c r="F51" s="263"/>
      <c r="G51" s="233" t="s">
        <v>1560</v>
      </c>
    </row>
    <row r="52" spans="1:7" s="207" customFormat="1" ht="16.8" thickBot="1">
      <c r="A52" s="264" t="s">
        <v>1561</v>
      </c>
      <c r="B52" s="265"/>
      <c r="C52" s="266">
        <f ca="1">C31+C51</f>
        <v>18883</v>
      </c>
      <c r="D52" s="265"/>
      <c r="E52" s="265"/>
      <c r="F52" s="265"/>
      <c r="G52" s="267"/>
    </row>
    <row r="55" spans="1:7" ht="15">
      <c r="B55" s="269" t="s">
        <v>1562</v>
      </c>
      <c r="C55" s="270"/>
    </row>
    <row r="56" spans="1:7">
      <c r="B56" s="272" t="s">
        <v>802</v>
      </c>
      <c r="C56" s="274">
        <f ca="1">1-C57</f>
        <v>0.20599999999999996</v>
      </c>
    </row>
    <row r="57" spans="1:7">
      <c r="B57" s="272" t="s">
        <v>803</v>
      </c>
      <c r="C57" s="273">
        <f ca="1">ROUND(C51/C52,3)</f>
        <v>0.79400000000000004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55" t="str">
        <f>项目基本情况!B1</f>
        <v>北京市房地产抵押价值预评估</v>
      </c>
      <c r="C37" s="3455"/>
      <c r="D37" s="3455"/>
      <c r="E37" s="3455"/>
      <c r="F37" s="3455"/>
      <c r="G37" s="3455"/>
      <c r="H37" s="3455"/>
      <c r="I37" s="345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5" sqref="I15"/>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953" t="s">
        <v>1810</v>
      </c>
      <c r="C1" s="1220" t="s">
        <v>1662</v>
      </c>
      <c r="D1" s="1221" t="s">
        <v>21</v>
      </c>
      <c r="E1" s="3428" t="s">
        <v>3394</v>
      </c>
      <c r="F1" s="1875" t="s">
        <v>3395</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6"/>
      <c r="H2" s="906"/>
      <c r="I2" s="906"/>
      <c r="J2" s="906"/>
      <c r="K2" s="906"/>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26831</v>
      </c>
      <c r="C3" s="353" t="s">
        <v>1768</v>
      </c>
      <c r="D3" s="352">
        <f>IF(D1="",'数据-汇总表'!E3,SUMIF('数据-汇总表'!$C19:$C33,D1,'数据-汇总表'!$E19:$E33))</f>
        <v>0</v>
      </c>
      <c r="E3" s="1950"/>
      <c r="F3" s="907"/>
      <c r="G3" s="906"/>
      <c r="H3" s="906"/>
      <c r="I3" s="906"/>
      <c r="J3" s="906"/>
      <c r="K3" s="908"/>
      <c r="L3" s="2729"/>
      <c r="M3" s="2730"/>
      <c r="N3" s="2730"/>
      <c r="O3" s="2730"/>
      <c r="P3" s="697"/>
      <c r="Q3" s="697"/>
      <c r="R3" s="697"/>
      <c r="S3" s="697"/>
      <c r="T3" s="697"/>
      <c r="U3" s="697"/>
      <c r="V3" s="697"/>
      <c r="W3" s="697"/>
      <c r="X3" s="697"/>
      <c r="Y3" s="697"/>
      <c r="Z3" s="697"/>
      <c r="AA3" s="697"/>
      <c r="AB3" s="697"/>
      <c r="AC3" s="698"/>
    </row>
    <row r="4" spans="1:29" ht="14.4">
      <c r="A4" s="354" t="s">
        <v>1769</v>
      </c>
      <c r="B4" s="355"/>
      <c r="C4" s="3663" t="s">
        <v>1770</v>
      </c>
      <c r="D4" s="3664"/>
      <c r="E4" s="3665" t="s">
        <v>1771</v>
      </c>
      <c r="F4" s="3666"/>
      <c r="G4" s="3663" t="s">
        <v>1772</v>
      </c>
      <c r="H4" s="3664"/>
      <c r="I4" s="3663" t="s">
        <v>1773</v>
      </c>
      <c r="J4" s="3664"/>
      <c r="K4" s="558" t="s">
        <v>1774</v>
      </c>
      <c r="L4" s="2710"/>
      <c r="M4" s="2711"/>
      <c r="N4" s="2711"/>
      <c r="O4" s="2711"/>
      <c r="P4" s="3667" t="s">
        <v>1775</v>
      </c>
      <c r="Q4" s="3668"/>
      <c r="R4" s="3646" t="s">
        <v>1771</v>
      </c>
      <c r="S4" s="3647"/>
      <c r="T4" s="3646" t="s">
        <v>1772</v>
      </c>
      <c r="U4" s="3647"/>
      <c r="V4" s="3675" t="s">
        <v>1773</v>
      </c>
      <c r="W4" s="3675"/>
      <c r="X4" s="1954"/>
      <c r="Y4" s="3646" t="s">
        <v>1775</v>
      </c>
      <c r="Z4" s="3647"/>
      <c r="AA4" s="3641" t="s">
        <v>1771</v>
      </c>
      <c r="AB4" s="3641" t="s">
        <v>1772</v>
      </c>
      <c r="AC4" s="3660" t="s">
        <v>1773</v>
      </c>
    </row>
    <row r="5" spans="1:29">
      <c r="A5" s="357"/>
      <c r="B5" s="358"/>
      <c r="C5" s="3652" t="s">
        <v>1673</v>
      </c>
      <c r="D5" s="3653"/>
      <c r="E5" s="3650" t="s">
        <v>3436</v>
      </c>
      <c r="F5" s="3651"/>
      <c r="G5" s="3656" t="s">
        <v>3437</v>
      </c>
      <c r="H5" s="3653"/>
      <c r="I5" s="3656" t="s">
        <v>3438</v>
      </c>
      <c r="J5" s="3653"/>
      <c r="K5" s="558"/>
      <c r="L5" s="2710"/>
      <c r="M5" s="2711"/>
      <c r="N5" s="2711"/>
      <c r="O5" s="2711"/>
      <c r="P5" s="3669"/>
      <c r="Q5" s="3670"/>
      <c r="R5" s="3648"/>
      <c r="S5" s="3649"/>
      <c r="T5" s="3648"/>
      <c r="U5" s="3649"/>
      <c r="V5" s="3676"/>
      <c r="W5" s="3676"/>
      <c r="X5" s="1351"/>
      <c r="Y5" s="3648"/>
      <c r="Z5" s="3649"/>
      <c r="AA5" s="3642"/>
      <c r="AB5" s="3642"/>
      <c r="AC5" s="3661"/>
    </row>
    <row r="6" spans="1:29" ht="15" thickBot="1">
      <c r="A6" s="359"/>
      <c r="B6" s="360"/>
      <c r="C6" s="3654" t="s">
        <v>1677</v>
      </c>
      <c r="D6" s="3655"/>
      <c r="E6" s="3657" t="s">
        <v>1677</v>
      </c>
      <c r="F6" s="3658"/>
      <c r="G6" s="3654" t="s">
        <v>1677</v>
      </c>
      <c r="H6" s="3655"/>
      <c r="I6" s="3654" t="s">
        <v>1677</v>
      </c>
      <c r="J6" s="3655"/>
      <c r="K6" s="558" t="s">
        <v>1678</v>
      </c>
      <c r="L6" s="2710"/>
      <c r="M6" s="2711"/>
      <c r="N6" s="2711"/>
      <c r="O6" s="2711"/>
      <c r="P6" s="3671"/>
      <c r="Q6" s="3672"/>
      <c r="R6" s="3648"/>
      <c r="S6" s="3649"/>
      <c r="T6" s="3673"/>
      <c r="U6" s="3674"/>
      <c r="V6" s="3676"/>
      <c r="W6" s="3676"/>
      <c r="X6" s="1351"/>
      <c r="Y6" s="3673"/>
      <c r="Z6" s="3674"/>
      <c r="AA6" s="3643"/>
      <c r="AB6" s="3643"/>
      <c r="AC6" s="3662"/>
    </row>
    <row r="7" spans="1:29" s="108" customFormat="1" ht="15" thickBot="1">
      <c r="A7" s="361" t="s">
        <v>1679</v>
      </c>
      <c r="B7" s="362"/>
      <c r="C7" s="363">
        <f>'数据-取费表'!B2</f>
        <v>45124</v>
      </c>
      <c r="D7" s="364">
        <v>100</v>
      </c>
      <c r="E7" s="365">
        <v>45078</v>
      </c>
      <c r="F7" s="366">
        <f>SUMIF(59:59,YEAR(E7)&amp;"-"&amp;MONTH(E7),60:60)</f>
        <v>100</v>
      </c>
      <c r="G7" s="365">
        <v>45078</v>
      </c>
      <c r="H7" s="364">
        <f>SUMIF(59:59,YEAR(G7)&amp;"-"&amp;MONTH(G7),60:60)</f>
        <v>100</v>
      </c>
      <c r="I7" s="365">
        <v>45078</v>
      </c>
      <c r="J7" s="364">
        <f>SUMIF(59:59,YEAR(I7)&amp;"-"&amp;MONTH(I7),60:60)</f>
        <v>100</v>
      </c>
      <c r="K7" s="559"/>
      <c r="L7" s="2712"/>
      <c r="M7" s="2713"/>
      <c r="N7" s="2713"/>
      <c r="O7" s="2713"/>
      <c r="P7" s="3677" t="s">
        <v>1680</v>
      </c>
      <c r="Q7" s="3678"/>
      <c r="R7" s="699" t="s">
        <v>14</v>
      </c>
      <c r="S7" s="700">
        <f t="shared" ref="S7:S15" si="0">F7</f>
        <v>100</v>
      </c>
      <c r="T7" s="699" t="s">
        <v>14</v>
      </c>
      <c r="U7" s="700">
        <f t="shared" ref="U7:U15" si="1">H7</f>
        <v>100</v>
      </c>
      <c r="V7" s="699" t="s">
        <v>14</v>
      </c>
      <c r="W7" s="700">
        <f t="shared" ref="W7:W15" si="2">J7</f>
        <v>100</v>
      </c>
      <c r="X7" s="701"/>
      <c r="Y7" s="3644" t="s">
        <v>1680</v>
      </c>
      <c r="Z7" s="3645"/>
      <c r="AA7" s="702">
        <f>D7/F7</f>
        <v>1</v>
      </c>
      <c r="AB7" s="702">
        <f>D7/H7</f>
        <v>1</v>
      </c>
      <c r="AC7" s="1955">
        <f>D7/J7</f>
        <v>1</v>
      </c>
    </row>
    <row r="8" spans="1:29" s="108" customFormat="1" ht="15" thickBot="1">
      <c r="A8" s="361" t="s">
        <v>1681</v>
      </c>
      <c r="B8" s="362"/>
      <c r="C8" s="367" t="s">
        <v>3422</v>
      </c>
      <c r="D8" s="364">
        <v>100</v>
      </c>
      <c r="E8" s="367" t="s">
        <v>3422</v>
      </c>
      <c r="F8" s="366">
        <f>SUMIF(62:62,E8,63:63)-SUMIF(62:62,C8,63:63)+100</f>
        <v>100</v>
      </c>
      <c r="G8" s="367" t="s">
        <v>3422</v>
      </c>
      <c r="H8" s="364">
        <f>SUMIF(62:62,G8,63:63)-SUMIF(62:62,C8,63:63)+100</f>
        <v>100</v>
      </c>
      <c r="I8" s="367" t="s">
        <v>3422</v>
      </c>
      <c r="J8" s="364">
        <f>SUMIF(62:62,I8,63:63)-SUMIF(62:62,C8,63:63)+100</f>
        <v>100</v>
      </c>
      <c r="K8" s="559"/>
      <c r="L8" s="2712"/>
      <c r="M8" s="2713"/>
      <c r="N8" s="2713"/>
      <c r="O8" s="2713"/>
      <c r="P8" s="3677" t="s">
        <v>1683</v>
      </c>
      <c r="Q8" s="3645"/>
      <c r="R8" s="699" t="s">
        <v>14</v>
      </c>
      <c r="S8" s="700">
        <f t="shared" si="0"/>
        <v>100</v>
      </c>
      <c r="T8" s="699" t="s">
        <v>14</v>
      </c>
      <c r="U8" s="700">
        <f t="shared" si="1"/>
        <v>100</v>
      </c>
      <c r="V8" s="699" t="s">
        <v>14</v>
      </c>
      <c r="W8" s="700">
        <f t="shared" si="2"/>
        <v>100</v>
      </c>
      <c r="X8" s="701"/>
      <c r="Y8" s="3644" t="s">
        <v>1683</v>
      </c>
      <c r="Z8" s="3645"/>
      <c r="AA8" s="702">
        <f t="shared" ref="AA8:AA47" si="3">D8/F8</f>
        <v>1</v>
      </c>
      <c r="AB8" s="702">
        <f t="shared" ref="AB8:AB47" si="4">D8/H8</f>
        <v>1</v>
      </c>
      <c r="AC8" s="1955">
        <f t="shared" ref="AC8:AC47" si="5">D8/J8</f>
        <v>1</v>
      </c>
    </row>
    <row r="9" spans="1:29" s="108" customFormat="1" ht="14.4">
      <c r="A9" s="368" t="s">
        <v>1684</v>
      </c>
      <c r="B9" s="63" t="s">
        <v>1685</v>
      </c>
      <c r="C9" s="3448" t="s">
        <v>3423</v>
      </c>
      <c r="D9" s="125">
        <v>100</v>
      </c>
      <c r="E9" s="372" t="s">
        <v>21</v>
      </c>
      <c r="F9" s="125">
        <f>SUMIF(64:64,E9,65:65)-SUMIF(64:64,C9,65:65)+100</f>
        <v>100</v>
      </c>
      <c r="G9" s="372" t="s">
        <v>21</v>
      </c>
      <c r="H9" s="125">
        <f>SUMIF(64:64,G9,65:65)-SUMIF(64:64,C9,65:65)+100</f>
        <v>100</v>
      </c>
      <c r="I9" s="372" t="s">
        <v>21</v>
      </c>
      <c r="J9" s="125">
        <f>SUMIF(64:64,I9,65:65)-SUMIF(64:64,C9,65:65)+100</f>
        <v>100</v>
      </c>
      <c r="K9" s="559"/>
      <c r="L9" s="2712"/>
      <c r="M9" s="2713"/>
      <c r="N9" s="2713"/>
      <c r="O9" s="2713"/>
      <c r="P9" s="3659" t="s">
        <v>1686</v>
      </c>
      <c r="Q9" s="1339"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1955">
        <f t="shared" si="5"/>
        <v>1</v>
      </c>
    </row>
    <row r="10" spans="1:29" s="377" customFormat="1" ht="28.8">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659"/>
      <c r="Q10" s="1339"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659"/>
      <c r="Q11" s="1339" t="str">
        <f t="shared" si="6"/>
        <v>容积率</v>
      </c>
      <c r="R11" s="699" t="s">
        <v>14</v>
      </c>
      <c r="S11" s="700">
        <f t="shared" si="0"/>
        <v>100</v>
      </c>
      <c r="T11" s="699" t="s">
        <v>14</v>
      </c>
      <c r="U11" s="700">
        <f t="shared" si="1"/>
        <v>100</v>
      </c>
      <c r="V11" s="699" t="s">
        <v>14</v>
      </c>
      <c r="W11" s="700">
        <f t="shared" si="2"/>
        <v>100</v>
      </c>
      <c r="X11" s="701"/>
      <c r="Y11" s="3614"/>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2"/>
      <c r="M12" s="2713"/>
      <c r="N12" s="2713"/>
      <c r="O12" s="2713"/>
      <c r="P12" s="3659"/>
      <c r="Q12" s="1339">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7"/>
      <c r="M13" s="2711"/>
      <c r="N13" s="2711"/>
      <c r="O13" s="2711"/>
      <c r="P13" s="3659"/>
      <c r="Q13" s="1339">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1955">
        <f t="shared" si="5"/>
        <v>1</v>
      </c>
    </row>
    <row r="14" spans="1:29" ht="15.6"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7"/>
      <c r="M14" s="2711"/>
      <c r="N14" s="2711"/>
      <c r="O14" s="2711"/>
      <c r="P14" s="3659"/>
      <c r="Q14" s="1339">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1955">
        <f t="shared" si="5"/>
        <v>1</v>
      </c>
    </row>
    <row r="15" spans="1:29" ht="69">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17"/>
      <c r="M15" s="2711"/>
      <c r="N15" s="2711"/>
      <c r="O15" s="2711"/>
      <c r="P15" s="3679" t="s">
        <v>1691</v>
      </c>
      <c r="Q15" s="1348" t="str">
        <f t="shared" si="6"/>
        <v>办公集聚程度</v>
      </c>
      <c r="R15" s="703" t="s">
        <v>14</v>
      </c>
      <c r="S15" s="704">
        <f t="shared" si="0"/>
        <v>100</v>
      </c>
      <c r="T15" s="703" t="s">
        <v>14</v>
      </c>
      <c r="U15" s="704">
        <f t="shared" si="1"/>
        <v>100</v>
      </c>
      <c r="V15" s="703" t="s">
        <v>14</v>
      </c>
      <c r="W15" s="704">
        <f t="shared" si="2"/>
        <v>100</v>
      </c>
      <c r="X15" s="1351"/>
      <c r="Y15" s="3681" t="s">
        <v>1691</v>
      </c>
      <c r="Z15" s="1352" t="str">
        <f t="shared" si="7"/>
        <v>办公集聚程度</v>
      </c>
      <c r="AA15" s="1349">
        <f t="shared" si="3"/>
        <v>1</v>
      </c>
      <c r="AB15" s="1349">
        <f t="shared" si="4"/>
        <v>1</v>
      </c>
      <c r="AC15" s="1958">
        <f t="shared" si="5"/>
        <v>1</v>
      </c>
    </row>
    <row r="16" spans="1:29" ht="15">
      <c r="A16" s="378"/>
      <c r="B16" s="577"/>
      <c r="C16" s="1900" t="s">
        <v>3424</v>
      </c>
      <c r="D16" s="398"/>
      <c r="E16" s="1900" t="s">
        <v>3424</v>
      </c>
      <c r="F16" s="398"/>
      <c r="G16" s="1900" t="s">
        <v>3424</v>
      </c>
      <c r="H16" s="400"/>
      <c r="I16" s="1900" t="s">
        <v>3424</v>
      </c>
      <c r="J16" s="398"/>
      <c r="K16" s="563"/>
      <c r="L16" s="2717"/>
      <c r="M16" s="2711"/>
      <c r="N16" s="2711"/>
      <c r="O16" s="2711"/>
      <c r="P16" s="3680"/>
      <c r="Q16" s="1348"/>
      <c r="R16" s="703"/>
      <c r="S16" s="704"/>
      <c r="T16" s="703"/>
      <c r="U16" s="704"/>
      <c r="V16" s="703"/>
      <c r="W16" s="704"/>
      <c r="X16" s="1351"/>
      <c r="Y16" s="3682"/>
      <c r="Z16" s="1352"/>
      <c r="AA16" s="1349">
        <v>1</v>
      </c>
      <c r="AB16" s="1349">
        <v>1</v>
      </c>
      <c r="AC16" s="1958">
        <v>1</v>
      </c>
    </row>
    <row r="17" spans="1:29" ht="82.8">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7"/>
      <c r="M17" s="2711"/>
      <c r="N17" s="2711"/>
      <c r="O17" s="2711"/>
      <c r="P17" s="3680"/>
      <c r="Q17" s="1348" t="str">
        <f>B17</f>
        <v>交通便捷度</v>
      </c>
      <c r="R17" s="703" t="s">
        <v>14</v>
      </c>
      <c r="S17" s="704">
        <f>F17</f>
        <v>100</v>
      </c>
      <c r="T17" s="703" t="s">
        <v>14</v>
      </c>
      <c r="U17" s="704">
        <f>H17</f>
        <v>100</v>
      </c>
      <c r="V17" s="703" t="s">
        <v>14</v>
      </c>
      <c r="W17" s="704">
        <f>J17</f>
        <v>100</v>
      </c>
      <c r="X17" s="1351"/>
      <c r="Y17" s="3682"/>
      <c r="Z17" s="1352" t="str">
        <f>Q17</f>
        <v>交通便捷度</v>
      </c>
      <c r="AA17" s="1349">
        <f t="shared" si="3"/>
        <v>1</v>
      </c>
      <c r="AB17" s="1349">
        <f t="shared" si="4"/>
        <v>1</v>
      </c>
      <c r="AC17" s="1958">
        <f t="shared" si="5"/>
        <v>1</v>
      </c>
    </row>
    <row r="18" spans="1:29" ht="15">
      <c r="A18" s="378"/>
      <c r="B18" s="579"/>
      <c r="C18" s="1900" t="s">
        <v>3424</v>
      </c>
      <c r="D18" s="400"/>
      <c r="E18" s="1900" t="s">
        <v>3424</v>
      </c>
      <c r="F18" s="400"/>
      <c r="G18" s="1900" t="s">
        <v>3424</v>
      </c>
      <c r="H18" s="398"/>
      <c r="I18" s="1900" t="s">
        <v>3424</v>
      </c>
      <c r="J18" s="398"/>
      <c r="K18" s="563"/>
      <c r="L18" s="2717"/>
      <c r="M18" s="2711"/>
      <c r="N18" s="2711"/>
      <c r="O18" s="2711"/>
      <c r="P18" s="3680"/>
      <c r="Q18" s="1348"/>
      <c r="R18" s="703"/>
      <c r="S18" s="704"/>
      <c r="T18" s="703"/>
      <c r="U18" s="704"/>
      <c r="V18" s="703"/>
      <c r="W18" s="704"/>
      <c r="X18" s="1351"/>
      <c r="Y18" s="3682"/>
      <c r="Z18" s="1352"/>
      <c r="AA18" s="1349">
        <v>1</v>
      </c>
      <c r="AB18" s="1349">
        <v>1</v>
      </c>
      <c r="AC18" s="1958">
        <v>1</v>
      </c>
    </row>
    <row r="19" spans="1:29" ht="41.4">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7"/>
      <c r="M19" s="2711"/>
      <c r="N19" s="2711"/>
      <c r="O19" s="2711"/>
      <c r="P19" s="3680"/>
      <c r="Q19" s="1348" t="str">
        <f>B19</f>
        <v>公共配套设施</v>
      </c>
      <c r="R19" s="703" t="s">
        <v>14</v>
      </c>
      <c r="S19" s="704">
        <f>F19</f>
        <v>100</v>
      </c>
      <c r="T19" s="703" t="s">
        <v>14</v>
      </c>
      <c r="U19" s="704">
        <f>H19</f>
        <v>100</v>
      </c>
      <c r="V19" s="703" t="s">
        <v>14</v>
      </c>
      <c r="W19" s="704">
        <f>J19</f>
        <v>100</v>
      </c>
      <c r="X19" s="1351"/>
      <c r="Y19" s="3682"/>
      <c r="Z19" s="1352" t="str">
        <f>Q19</f>
        <v>公共配套设施</v>
      </c>
      <c r="AA19" s="1349">
        <f t="shared" si="3"/>
        <v>1</v>
      </c>
      <c r="AB19" s="1349">
        <f t="shared" si="4"/>
        <v>1</v>
      </c>
      <c r="AC19" s="1958">
        <f t="shared" si="5"/>
        <v>1</v>
      </c>
    </row>
    <row r="20" spans="1:29" ht="15">
      <c r="A20" s="378"/>
      <c r="B20" s="579"/>
      <c r="C20" s="1900" t="s">
        <v>3424</v>
      </c>
      <c r="D20" s="398"/>
      <c r="E20" s="1900" t="s">
        <v>3424</v>
      </c>
      <c r="F20" s="398"/>
      <c r="G20" s="1900" t="s">
        <v>3424</v>
      </c>
      <c r="H20" s="398"/>
      <c r="I20" s="1900" t="s">
        <v>3424</v>
      </c>
      <c r="J20" s="398"/>
      <c r="K20" s="563"/>
      <c r="L20" s="2717"/>
      <c r="M20" s="2711"/>
      <c r="N20" s="2711"/>
      <c r="O20" s="2711"/>
      <c r="P20" s="3680"/>
      <c r="Q20" s="1348"/>
      <c r="R20" s="703"/>
      <c r="S20" s="704"/>
      <c r="T20" s="703"/>
      <c r="U20" s="704"/>
      <c r="V20" s="703"/>
      <c r="W20" s="704"/>
      <c r="X20" s="1351"/>
      <c r="Y20" s="3682"/>
      <c r="Z20" s="1352"/>
      <c r="AA20" s="1349">
        <v>1</v>
      </c>
      <c r="AB20" s="1349">
        <v>1</v>
      </c>
      <c r="AC20" s="1958">
        <v>1</v>
      </c>
    </row>
    <row r="21" spans="1:29" ht="27.6">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7"/>
      <c r="M21" s="2711"/>
      <c r="N21" s="2711"/>
      <c r="O21" s="2711"/>
      <c r="P21" s="3680"/>
      <c r="Q21" s="1348" t="str">
        <f>B21</f>
        <v>基础设施水平</v>
      </c>
      <c r="R21" s="703" t="s">
        <v>14</v>
      </c>
      <c r="S21" s="704">
        <f>F21</f>
        <v>100</v>
      </c>
      <c r="T21" s="703" t="s">
        <v>14</v>
      </c>
      <c r="U21" s="704">
        <f>H21</f>
        <v>100</v>
      </c>
      <c r="V21" s="703" t="s">
        <v>14</v>
      </c>
      <c r="W21" s="704">
        <f>J21</f>
        <v>100</v>
      </c>
      <c r="X21" s="1351"/>
      <c r="Y21" s="3682"/>
      <c r="Z21" s="1352" t="str">
        <f>Q21</f>
        <v>基础设施水平</v>
      </c>
      <c r="AA21" s="1349">
        <f t="shared" ref="AA21" si="8">D21/F21</f>
        <v>1</v>
      </c>
      <c r="AB21" s="1349">
        <f t="shared" ref="AB21" si="9">D21/H21</f>
        <v>1</v>
      </c>
      <c r="AC21" s="1958">
        <f t="shared" ref="AC21" si="10">D21/J21</f>
        <v>1</v>
      </c>
    </row>
    <row r="22" spans="1:29" ht="15">
      <c r="A22" s="378"/>
      <c r="B22" s="580"/>
      <c r="C22" s="1960" t="s">
        <v>3413</v>
      </c>
      <c r="D22" s="398"/>
      <c r="E22" s="1960" t="s">
        <v>3413</v>
      </c>
      <c r="F22" s="398"/>
      <c r="G22" s="1960" t="s">
        <v>3413</v>
      </c>
      <c r="H22" s="398"/>
      <c r="I22" s="1960" t="s">
        <v>3413</v>
      </c>
      <c r="J22" s="398"/>
      <c r="K22" s="1126"/>
      <c r="L22" s="2717"/>
      <c r="M22" s="2711"/>
      <c r="N22" s="2711"/>
      <c r="O22" s="2711"/>
      <c r="P22" s="3680"/>
      <c r="Q22" s="1348"/>
      <c r="R22" s="703"/>
      <c r="S22" s="704"/>
      <c r="T22" s="703"/>
      <c r="U22" s="704"/>
      <c r="V22" s="703"/>
      <c r="W22" s="704"/>
      <c r="X22" s="1351"/>
      <c r="Y22" s="3682"/>
      <c r="Z22" s="1352"/>
      <c r="AA22" s="1349">
        <v>1</v>
      </c>
      <c r="AB22" s="1349">
        <v>1</v>
      </c>
      <c r="AC22" s="1958">
        <v>1</v>
      </c>
    </row>
    <row r="23" spans="1:29" ht="55.2">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7"/>
      <c r="M23" s="2711"/>
      <c r="N23" s="2711"/>
      <c r="O23" s="2711"/>
      <c r="P23" s="3680"/>
      <c r="Q23" s="1348" t="str">
        <f>B23</f>
        <v>环境质量</v>
      </c>
      <c r="R23" s="703" t="s">
        <v>14</v>
      </c>
      <c r="S23" s="704">
        <f>F23</f>
        <v>100</v>
      </c>
      <c r="T23" s="703" t="s">
        <v>14</v>
      </c>
      <c r="U23" s="704">
        <f>H23</f>
        <v>100</v>
      </c>
      <c r="V23" s="703" t="s">
        <v>14</v>
      </c>
      <c r="W23" s="704">
        <f>J23</f>
        <v>100</v>
      </c>
      <c r="X23" s="1351"/>
      <c r="Y23" s="3682"/>
      <c r="Z23" s="1352" t="str">
        <f>Q23</f>
        <v>环境质量</v>
      </c>
      <c r="AA23" s="1349">
        <f t="shared" si="3"/>
        <v>1</v>
      </c>
      <c r="AB23" s="1349">
        <f t="shared" si="4"/>
        <v>1</v>
      </c>
      <c r="AC23" s="1958">
        <f t="shared" si="5"/>
        <v>1</v>
      </c>
    </row>
    <row r="24" spans="1:29" ht="15">
      <c r="A24" s="378"/>
      <c r="B24" s="580"/>
      <c r="C24" s="1900" t="s">
        <v>3424</v>
      </c>
      <c r="D24" s="398"/>
      <c r="E24" s="1900" t="s">
        <v>3424</v>
      </c>
      <c r="F24" s="398"/>
      <c r="G24" s="1900" t="s">
        <v>3424</v>
      </c>
      <c r="H24" s="398"/>
      <c r="I24" s="1900" t="s">
        <v>3424</v>
      </c>
      <c r="J24" s="398"/>
      <c r="K24" s="563"/>
      <c r="L24" s="2717"/>
      <c r="M24" s="2711"/>
      <c r="N24" s="2711"/>
      <c r="O24" s="2711"/>
      <c r="P24" s="3680"/>
      <c r="Q24" s="1348"/>
      <c r="R24" s="703"/>
      <c r="S24" s="704"/>
      <c r="T24" s="703"/>
      <c r="U24" s="704"/>
      <c r="V24" s="703"/>
      <c r="W24" s="704"/>
      <c r="X24" s="1351"/>
      <c r="Y24" s="3682"/>
      <c r="Z24" s="1352"/>
      <c r="AA24" s="1349">
        <v>1</v>
      </c>
      <c r="AB24" s="1349">
        <v>1</v>
      </c>
      <c r="AC24" s="1958">
        <v>1</v>
      </c>
    </row>
    <row r="25" spans="1:29" ht="28.8">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v>2</v>
      </c>
      <c r="L25" s="2717"/>
      <c r="M25" s="2711"/>
      <c r="N25" s="2711"/>
      <c r="O25" s="2711"/>
      <c r="P25" s="3680"/>
      <c r="Q25" s="1348" t="str">
        <f>B25</f>
        <v>毗邻道路的类型与等级</v>
      </c>
      <c r="R25" s="703" t="s">
        <v>14</v>
      </c>
      <c r="S25" s="704">
        <f>F25</f>
        <v>100</v>
      </c>
      <c r="T25" s="703" t="s">
        <v>14</v>
      </c>
      <c r="U25" s="704">
        <f>H25</f>
        <v>100</v>
      </c>
      <c r="V25" s="703" t="s">
        <v>14</v>
      </c>
      <c r="W25" s="704">
        <f>J25</f>
        <v>100</v>
      </c>
      <c r="X25" s="1351"/>
      <c r="Y25" s="3682"/>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7"/>
      <c r="M26" s="2711"/>
      <c r="N26" s="2711"/>
      <c r="O26" s="2711"/>
      <c r="P26" s="3680"/>
      <c r="Q26" s="1348"/>
      <c r="R26" s="703"/>
      <c r="S26" s="704"/>
      <c r="T26" s="703"/>
      <c r="U26" s="704"/>
      <c r="V26" s="703"/>
      <c r="W26" s="704"/>
      <c r="X26" s="1351"/>
      <c r="Y26" s="3682"/>
      <c r="Z26" s="1352"/>
      <c r="AA26" s="1349">
        <v>1</v>
      </c>
      <c r="AB26" s="1349">
        <v>1</v>
      </c>
      <c r="AC26" s="1958">
        <v>1</v>
      </c>
    </row>
    <row r="27" spans="1:29" ht="15">
      <c r="A27" s="378"/>
      <c r="B27" s="579" t="s">
        <v>1783</v>
      </c>
      <c r="C27" s="581" t="s">
        <v>3404</v>
      </c>
      <c r="D27" s="385">
        <v>100</v>
      </c>
      <c r="E27" s="564" t="s">
        <v>3403</v>
      </c>
      <c r="F27" s="385">
        <f>SUMIF(89:89,E27,90:90)-SUMIF(89:89,C27,90:90)+100</f>
        <v>102</v>
      </c>
      <c r="G27" s="564" t="s">
        <v>3403</v>
      </c>
      <c r="H27" s="385">
        <f>SUMIF(89:89,G27,90:90)-SUMIF(89:89,C27,90:90)+100</f>
        <v>102</v>
      </c>
      <c r="I27" s="564" t="s">
        <v>3403</v>
      </c>
      <c r="J27" s="385">
        <f>SUMIF(89:89,I27,90:90)-SUMIF(89:89,C27,90:90)+100</f>
        <v>102</v>
      </c>
      <c r="K27" s="560">
        <v>2</v>
      </c>
      <c r="L27" s="2717"/>
      <c r="M27" s="2711"/>
      <c r="N27" s="2711"/>
      <c r="O27" s="2711"/>
      <c r="P27" s="3680"/>
      <c r="Q27" s="1348" t="str">
        <f t="shared" ref="Q27:Q47" si="11">B27</f>
        <v>楼层</v>
      </c>
      <c r="R27" s="703" t="s">
        <v>14</v>
      </c>
      <c r="S27" s="704">
        <f>F27</f>
        <v>102</v>
      </c>
      <c r="T27" s="703" t="s">
        <v>14</v>
      </c>
      <c r="U27" s="704">
        <f>H27</f>
        <v>102</v>
      </c>
      <c r="V27" s="703" t="s">
        <v>14</v>
      </c>
      <c r="W27" s="704">
        <f>J27</f>
        <v>102</v>
      </c>
      <c r="X27" s="1351"/>
      <c r="Y27" s="3682"/>
      <c r="Z27" s="1352" t="str">
        <f>Q27</f>
        <v>楼层</v>
      </c>
      <c r="AA27" s="1349">
        <f t="shared" si="3"/>
        <v>0.98039215686274506</v>
      </c>
      <c r="AB27" s="1349">
        <f t="shared" si="4"/>
        <v>0.98039215686274506</v>
      </c>
      <c r="AC27" s="1958">
        <f t="shared" si="5"/>
        <v>0.98039215686274506</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2"/>
      <c r="M28" s="2713"/>
      <c r="N28" s="2713"/>
      <c r="O28" s="2713"/>
      <c r="P28" s="3680"/>
      <c r="Q28" s="1339" t="str">
        <f t="shared" si="11"/>
        <v>朝向</v>
      </c>
      <c r="R28" s="699" t="s">
        <v>14</v>
      </c>
      <c r="S28" s="700">
        <f>F28</f>
        <v>100</v>
      </c>
      <c r="T28" s="699" t="s">
        <v>14</v>
      </c>
      <c r="U28" s="700">
        <f>H28</f>
        <v>100</v>
      </c>
      <c r="V28" s="699" t="s">
        <v>14</v>
      </c>
      <c r="W28" s="700">
        <f>J28</f>
        <v>100</v>
      </c>
      <c r="X28" s="701"/>
      <c r="Y28" s="3682"/>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7"/>
      <c r="M29" s="2711"/>
      <c r="N29" s="2711"/>
      <c r="O29" s="2711"/>
      <c r="P29" s="3680"/>
      <c r="Q29" s="1348">
        <f t="shared" si="11"/>
        <v>111</v>
      </c>
      <c r="R29" s="703" t="s">
        <v>14</v>
      </c>
      <c r="S29" s="704">
        <f t="shared" ref="S29:S47" si="12">F29</f>
        <v>100</v>
      </c>
      <c r="T29" s="703" t="s">
        <v>14</v>
      </c>
      <c r="U29" s="704">
        <f t="shared" ref="U29:U47" si="13">H29</f>
        <v>100</v>
      </c>
      <c r="V29" s="703" t="s">
        <v>14</v>
      </c>
      <c r="W29" s="704">
        <f t="shared" ref="W29:W47" si="14">J29</f>
        <v>100</v>
      </c>
      <c r="X29" s="1351"/>
      <c r="Y29" s="3682"/>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7"/>
      <c r="M30" s="2711"/>
      <c r="N30" s="2711"/>
      <c r="O30" s="2711"/>
      <c r="P30" s="3680"/>
      <c r="Q30" s="1348">
        <f t="shared" si="11"/>
        <v>111</v>
      </c>
      <c r="R30" s="703" t="s">
        <v>14</v>
      </c>
      <c r="S30" s="704">
        <f t="shared" si="12"/>
        <v>100</v>
      </c>
      <c r="T30" s="703" t="s">
        <v>14</v>
      </c>
      <c r="U30" s="704">
        <f t="shared" si="13"/>
        <v>100</v>
      </c>
      <c r="V30" s="703" t="s">
        <v>14</v>
      </c>
      <c r="W30" s="704">
        <f t="shared" si="14"/>
        <v>100</v>
      </c>
      <c r="X30" s="1351"/>
      <c r="Y30" s="3682"/>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7"/>
      <c r="M31" s="2711"/>
      <c r="N31" s="2711"/>
      <c r="O31" s="2711"/>
      <c r="P31" s="3680"/>
      <c r="Q31" s="1348">
        <f t="shared" si="11"/>
        <v>111</v>
      </c>
      <c r="R31" s="703" t="s">
        <v>14</v>
      </c>
      <c r="S31" s="704">
        <f t="shared" si="12"/>
        <v>100</v>
      </c>
      <c r="T31" s="703" t="s">
        <v>14</v>
      </c>
      <c r="U31" s="704">
        <f t="shared" si="13"/>
        <v>100</v>
      </c>
      <c r="V31" s="703" t="s">
        <v>14</v>
      </c>
      <c r="W31" s="704">
        <f t="shared" si="14"/>
        <v>100</v>
      </c>
      <c r="X31" s="1351"/>
      <c r="Y31" s="3682"/>
      <c r="Z31" s="1352">
        <f t="shared" si="15"/>
        <v>111</v>
      </c>
      <c r="AA31" s="1349">
        <f t="shared" si="3"/>
        <v>1</v>
      </c>
      <c r="AB31" s="1349">
        <f t="shared" si="4"/>
        <v>1</v>
      </c>
      <c r="AC31" s="1958">
        <f t="shared" si="5"/>
        <v>1</v>
      </c>
    </row>
    <row r="32" spans="1:29" ht="15.6"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7"/>
      <c r="M32" s="2711"/>
      <c r="N32" s="2711"/>
      <c r="O32" s="2711"/>
      <c r="P32" s="3680"/>
      <c r="Q32" s="1348">
        <f t="shared" si="11"/>
        <v>111</v>
      </c>
      <c r="R32" s="703" t="s">
        <v>14</v>
      </c>
      <c r="S32" s="704">
        <f t="shared" si="12"/>
        <v>100</v>
      </c>
      <c r="T32" s="703" t="s">
        <v>14</v>
      </c>
      <c r="U32" s="704">
        <f t="shared" si="13"/>
        <v>100</v>
      </c>
      <c r="V32" s="703" t="s">
        <v>14</v>
      </c>
      <c r="W32" s="704">
        <f t="shared" si="14"/>
        <v>100</v>
      </c>
      <c r="X32" s="1351"/>
      <c r="Y32" s="3682"/>
      <c r="Z32" s="1352">
        <f t="shared" si="15"/>
        <v>111</v>
      </c>
      <c r="AA32" s="1349">
        <f t="shared" si="3"/>
        <v>1</v>
      </c>
      <c r="AB32" s="1349">
        <f t="shared" si="4"/>
        <v>1</v>
      </c>
      <c r="AC32" s="1958">
        <f t="shared" si="5"/>
        <v>1</v>
      </c>
    </row>
    <row r="33" spans="1:29" ht="15">
      <c r="A33" s="390" t="s">
        <v>1694</v>
      </c>
      <c r="B33" s="63" t="s">
        <v>1817</v>
      </c>
      <c r="C33" s="1963" t="s">
        <v>3434</v>
      </c>
      <c r="D33" s="417">
        <v>100</v>
      </c>
      <c r="E33" s="1963" t="s">
        <v>3406</v>
      </c>
      <c r="F33" s="411">
        <f>SUMIF(101:101,E33,102:102)-SUMIF(101:101,C33,102:102)+100</f>
        <v>101</v>
      </c>
      <c r="G33" s="1963" t="s">
        <v>3406</v>
      </c>
      <c r="H33" s="385">
        <f>SUMIF(101:101,G33,102:102)-SUMIF(101:101,C33,102:102)+100</f>
        <v>101</v>
      </c>
      <c r="I33" s="1963" t="s">
        <v>3406</v>
      </c>
      <c r="J33" s="417">
        <f>SUMIF(101:101,I33,102:102)-SUMIF(101:101,C33,102:102)+100</f>
        <v>101</v>
      </c>
      <c r="K33" s="560">
        <v>1</v>
      </c>
      <c r="L33" s="2717"/>
      <c r="M33" s="2711"/>
      <c r="N33" s="2711"/>
      <c r="O33" s="2711"/>
      <c r="P33" s="3683" t="s">
        <v>1696</v>
      </c>
      <c r="Q33" s="1348" t="str">
        <f t="shared" si="11"/>
        <v>建筑类型</v>
      </c>
      <c r="R33" s="703" t="s">
        <v>14</v>
      </c>
      <c r="S33" s="704">
        <f t="shared" si="12"/>
        <v>101</v>
      </c>
      <c r="T33" s="703" t="s">
        <v>14</v>
      </c>
      <c r="U33" s="704">
        <f t="shared" si="13"/>
        <v>101</v>
      </c>
      <c r="V33" s="703" t="s">
        <v>14</v>
      </c>
      <c r="W33" s="704">
        <f t="shared" si="14"/>
        <v>101</v>
      </c>
      <c r="X33" s="1351"/>
      <c r="Y33" s="3686" t="s">
        <v>1696</v>
      </c>
      <c r="Z33" s="1352" t="str">
        <f t="shared" si="15"/>
        <v>建筑类型</v>
      </c>
      <c r="AA33" s="1349">
        <f t="shared" si="3"/>
        <v>0.99009900990099009</v>
      </c>
      <c r="AB33" s="1349">
        <f t="shared" si="4"/>
        <v>0.99009900990099009</v>
      </c>
      <c r="AC33" s="1958">
        <f t="shared" si="5"/>
        <v>0.99009900990099009</v>
      </c>
    </row>
    <row r="34" spans="1:29" s="421" customFormat="1" ht="15">
      <c r="A34" s="418"/>
      <c r="B34" s="374" t="s">
        <v>1697</v>
      </c>
      <c r="C34" s="419">
        <f>'数据-汇总表'!E19</f>
        <v>36123.300000000003</v>
      </c>
      <c r="D34" s="126">
        <v>100</v>
      </c>
      <c r="E34" s="380">
        <v>250.91</v>
      </c>
      <c r="F34" s="375">
        <f>LOOKUP(E34,104:104,105:105)-LOOKUP(C34,104:104,105:105)+100</f>
        <v>104</v>
      </c>
      <c r="G34" s="379">
        <v>111.9</v>
      </c>
      <c r="H34" s="126">
        <f>LOOKUP(G34,104:104,105:105)-LOOKUP(C34,104:104,105:105)+100</f>
        <v>104</v>
      </c>
      <c r="I34" s="379">
        <v>127.91</v>
      </c>
      <c r="J34" s="126">
        <f>LOOKUP(I34,104:104,105:105)-LOOKUP(C34,104:104,105:105)+100</f>
        <v>104</v>
      </c>
      <c r="K34" s="561"/>
      <c r="L34" s="2716"/>
      <c r="M34" s="2718"/>
      <c r="N34" s="2718"/>
      <c r="O34" s="2718"/>
      <c r="P34" s="3684"/>
      <c r="Q34" s="705" t="str">
        <f t="shared" si="11"/>
        <v>项目建筑规模</v>
      </c>
      <c r="R34" s="706" t="s">
        <v>14</v>
      </c>
      <c r="S34" s="707">
        <f t="shared" si="12"/>
        <v>104</v>
      </c>
      <c r="T34" s="706" t="s">
        <v>14</v>
      </c>
      <c r="U34" s="707">
        <f t="shared" si="13"/>
        <v>104</v>
      </c>
      <c r="V34" s="706" t="s">
        <v>14</v>
      </c>
      <c r="W34" s="707">
        <f t="shared" si="14"/>
        <v>104</v>
      </c>
      <c r="X34" s="708"/>
      <c r="Y34" s="3686"/>
      <c r="Z34" s="709" t="str">
        <f t="shared" si="15"/>
        <v>项目建筑规模</v>
      </c>
      <c r="AA34" s="1349">
        <f t="shared" si="3"/>
        <v>0.96153846153846156</v>
      </c>
      <c r="AB34" s="1349">
        <f t="shared" si="4"/>
        <v>0.96153846153846156</v>
      </c>
      <c r="AC34" s="1958">
        <f t="shared" si="5"/>
        <v>0.96153846153846156</v>
      </c>
    </row>
    <row r="35" spans="1:29" ht="15">
      <c r="A35" s="422"/>
      <c r="B35" s="374" t="s">
        <v>1698</v>
      </c>
      <c r="C35" s="410" t="s">
        <v>3392</v>
      </c>
      <c r="D35" s="385">
        <v>100</v>
      </c>
      <c r="E35" s="410" t="s">
        <v>3392</v>
      </c>
      <c r="F35" s="411">
        <f>SUMIF(106:106,E35,107:107)-SUMIF(106:106,C35,107:107)+100</f>
        <v>100</v>
      </c>
      <c r="G35" s="410" t="s">
        <v>3392</v>
      </c>
      <c r="H35" s="385">
        <f>SUMIF(106:106,G35,107:107)-SUMIF(106:106,C35,107:107)+100</f>
        <v>100</v>
      </c>
      <c r="I35" s="410" t="s">
        <v>3392</v>
      </c>
      <c r="J35" s="385">
        <f>SUMIF(106:106,I35,107:107)-SUMIF(106:106,C35,107:107)+100</f>
        <v>100</v>
      </c>
      <c r="K35" s="560">
        <v>1</v>
      </c>
      <c r="L35" s="2717"/>
      <c r="M35" s="2711"/>
      <c r="N35" s="2711"/>
      <c r="O35" s="2711"/>
      <c r="P35" s="3684"/>
      <c r="Q35" s="1348" t="str">
        <f t="shared" si="11"/>
        <v>建筑结构</v>
      </c>
      <c r="R35" s="703" t="s">
        <v>14</v>
      </c>
      <c r="S35" s="704">
        <f t="shared" si="12"/>
        <v>100</v>
      </c>
      <c r="T35" s="703" t="s">
        <v>14</v>
      </c>
      <c r="U35" s="704">
        <f t="shared" si="13"/>
        <v>100</v>
      </c>
      <c r="V35" s="703" t="s">
        <v>14</v>
      </c>
      <c r="W35" s="704">
        <f t="shared" si="14"/>
        <v>100</v>
      </c>
      <c r="X35" s="1351"/>
      <c r="Y35" s="3686"/>
      <c r="Z35" s="1352" t="str">
        <f t="shared" si="15"/>
        <v>建筑结构</v>
      </c>
      <c r="AA35" s="1349">
        <f t="shared" si="3"/>
        <v>1</v>
      </c>
      <c r="AB35" s="1349">
        <f t="shared" si="4"/>
        <v>1</v>
      </c>
      <c r="AC35" s="1958">
        <f t="shared" si="5"/>
        <v>1</v>
      </c>
    </row>
    <row r="36" spans="1:29" ht="15">
      <c r="A36" s="422"/>
      <c r="B36" s="374" t="s">
        <v>1785</v>
      </c>
      <c r="C36" s="410" t="s">
        <v>3425</v>
      </c>
      <c r="D36" s="385">
        <v>100</v>
      </c>
      <c r="E36" s="410" t="s">
        <v>3425</v>
      </c>
      <c r="F36" s="411">
        <f>SUMIF(108:108,E36,109:109)-SUMIF(108:108,C36,109:109)+100</f>
        <v>100</v>
      </c>
      <c r="G36" s="410" t="s">
        <v>3425</v>
      </c>
      <c r="H36" s="385">
        <f>SUMIF(108:108,G36,109:109)-SUMIF(108:108,C36,109:109)+100</f>
        <v>100</v>
      </c>
      <c r="I36" s="410" t="s">
        <v>3425</v>
      </c>
      <c r="J36" s="385">
        <f>SUMIF(108:108,I36,109:109)-SUMIF(108:108,C36,109:109)+100</f>
        <v>100</v>
      </c>
      <c r="K36" s="560">
        <v>1</v>
      </c>
      <c r="L36" s="2717"/>
      <c r="M36" s="2711"/>
      <c r="N36" s="2711"/>
      <c r="O36" s="2711"/>
      <c r="P36" s="3684"/>
      <c r="Q36" s="1348" t="str">
        <f t="shared" si="11"/>
        <v>公共部分装修</v>
      </c>
      <c r="R36" s="703" t="s">
        <v>14</v>
      </c>
      <c r="S36" s="704">
        <f t="shared" si="12"/>
        <v>100</v>
      </c>
      <c r="T36" s="703" t="s">
        <v>14</v>
      </c>
      <c r="U36" s="704">
        <f t="shared" si="13"/>
        <v>100</v>
      </c>
      <c r="V36" s="703" t="s">
        <v>14</v>
      </c>
      <c r="W36" s="704">
        <f t="shared" si="14"/>
        <v>100</v>
      </c>
      <c r="X36" s="1351"/>
      <c r="Y36" s="3686"/>
      <c r="Z36" s="1352" t="str">
        <f t="shared" si="15"/>
        <v>公共部分装修</v>
      </c>
      <c r="AA36" s="1349">
        <f t="shared" si="3"/>
        <v>1</v>
      </c>
      <c r="AB36" s="1349">
        <f t="shared" si="4"/>
        <v>1</v>
      </c>
      <c r="AC36" s="1958">
        <f t="shared" si="5"/>
        <v>1</v>
      </c>
    </row>
    <row r="37" spans="1:29" ht="15">
      <c r="A37" s="422"/>
      <c r="B37" s="374" t="s">
        <v>1786</v>
      </c>
      <c r="C37" s="424">
        <f>'数据-取费表'!Y6</f>
        <v>1</v>
      </c>
      <c r="D37" s="385">
        <v>100</v>
      </c>
      <c r="E37" s="424">
        <v>0.8</v>
      </c>
      <c r="F37" s="411">
        <f>LOOKUP(E37,111:111,112:112)-LOOKUP(C37,111:111,112:112)+100</f>
        <v>100</v>
      </c>
      <c r="G37" s="424">
        <v>0.8</v>
      </c>
      <c r="H37" s="411">
        <f>LOOKUP(G37,111:111,112:112)-LOOKUP(C37,111:111,112:112)+100</f>
        <v>100</v>
      </c>
      <c r="I37" s="424">
        <v>0.8</v>
      </c>
      <c r="J37" s="385">
        <f>LOOKUP(I37,111:111,112:112)-LOOKUP(C37,111:111,112:112)+100</f>
        <v>100</v>
      </c>
      <c r="K37" s="560">
        <v>0</v>
      </c>
      <c r="L37" s="2717"/>
      <c r="M37" s="2711"/>
      <c r="N37" s="2711"/>
      <c r="O37" s="2711"/>
      <c r="P37" s="3684"/>
      <c r="Q37" s="1348" t="str">
        <f t="shared" si="11"/>
        <v>成新度</v>
      </c>
      <c r="R37" s="703" t="s">
        <v>14</v>
      </c>
      <c r="S37" s="704">
        <f t="shared" si="12"/>
        <v>100</v>
      </c>
      <c r="T37" s="703" t="s">
        <v>14</v>
      </c>
      <c r="U37" s="704">
        <f t="shared" si="13"/>
        <v>100</v>
      </c>
      <c r="V37" s="703" t="s">
        <v>14</v>
      </c>
      <c r="W37" s="704">
        <f t="shared" si="14"/>
        <v>100</v>
      </c>
      <c r="X37" s="1351"/>
      <c r="Y37" s="3686"/>
      <c r="Z37" s="1352" t="str">
        <f t="shared" si="15"/>
        <v>成新度</v>
      </c>
      <c r="AA37" s="1349">
        <f t="shared" si="3"/>
        <v>1</v>
      </c>
      <c r="AB37" s="1349">
        <f t="shared" si="4"/>
        <v>1</v>
      </c>
      <c r="AC37" s="1958">
        <f t="shared" si="5"/>
        <v>1</v>
      </c>
    </row>
    <row r="38" spans="1:29" s="108" customFormat="1" ht="15">
      <c r="A38" s="423"/>
      <c r="B38" s="374" t="s">
        <v>1818</v>
      </c>
      <c r="C38" s="410" t="s">
        <v>3420</v>
      </c>
      <c r="D38" s="126">
        <v>100</v>
      </c>
      <c r="E38" s="410" t="s">
        <v>3420</v>
      </c>
      <c r="F38" s="411">
        <f>SUMIF(113:113,E38,114:114)-SUMIF(113:113,C38,114:114)+100</f>
        <v>100</v>
      </c>
      <c r="G38" s="410" t="s">
        <v>3420</v>
      </c>
      <c r="H38" s="385">
        <f>SUMIF(113:113,G38,114:114)-SUMIF(113:113,C38,114:114)+100</f>
        <v>100</v>
      </c>
      <c r="I38" s="410" t="s">
        <v>3420</v>
      </c>
      <c r="J38" s="385">
        <f>SUMIF(113:113,I38,114:114)-SUMIF(113:113,C38,114:114)+100</f>
        <v>100</v>
      </c>
      <c r="K38" s="560">
        <v>1</v>
      </c>
      <c r="L38" s="2712"/>
      <c r="M38" s="2713"/>
      <c r="N38" s="2713"/>
      <c r="O38" s="2713"/>
      <c r="P38" s="3684"/>
      <c r="Q38" s="1339" t="str">
        <f t="shared" si="11"/>
        <v>写字楼等级</v>
      </c>
      <c r="R38" s="699" t="s">
        <v>14</v>
      </c>
      <c r="S38" s="700">
        <f t="shared" si="12"/>
        <v>100</v>
      </c>
      <c r="T38" s="699" t="s">
        <v>14</v>
      </c>
      <c r="U38" s="700">
        <f t="shared" si="13"/>
        <v>100</v>
      </c>
      <c r="V38" s="699" t="s">
        <v>14</v>
      </c>
      <c r="W38" s="700">
        <f t="shared" si="14"/>
        <v>100</v>
      </c>
      <c r="X38" s="701"/>
      <c r="Y38" s="3686"/>
      <c r="Z38" s="52" t="str">
        <f t="shared" si="15"/>
        <v>写字楼等级</v>
      </c>
      <c r="AA38" s="702">
        <f t="shared" si="3"/>
        <v>1</v>
      </c>
      <c r="AB38" s="702">
        <f t="shared" si="4"/>
        <v>1</v>
      </c>
      <c r="AC38" s="1955">
        <f t="shared" si="5"/>
        <v>1</v>
      </c>
    </row>
    <row r="39" spans="1:29" ht="15">
      <c r="A39" s="422"/>
      <c r="B39" s="374" t="s">
        <v>1819</v>
      </c>
      <c r="C39" s="410" t="s">
        <v>3418</v>
      </c>
      <c r="D39" s="385">
        <v>100</v>
      </c>
      <c r="E39" s="410" t="s">
        <v>3418</v>
      </c>
      <c r="F39" s="411">
        <f>SUMIF(115:115,E39,116:116)-SUMIF(115:115,C39,116:116)+100</f>
        <v>100</v>
      </c>
      <c r="G39" s="410" t="s">
        <v>3418</v>
      </c>
      <c r="H39" s="385">
        <f>SUMIF(115:115,G39,116:116)-SUMIF(115:115,C39,116:116)+100</f>
        <v>100</v>
      </c>
      <c r="I39" s="410" t="s">
        <v>3418</v>
      </c>
      <c r="J39" s="385">
        <f>SUMIF(115:115,I39,116:116)-SUMIF(115:115,C39,116:116)+100</f>
        <v>100</v>
      </c>
      <c r="K39" s="560">
        <v>1</v>
      </c>
      <c r="L39" s="2717"/>
      <c r="M39" s="2711"/>
      <c r="N39" s="2711"/>
      <c r="O39" s="2711"/>
      <c r="P39" s="3684" t="s">
        <v>1696</v>
      </c>
      <c r="Q39" s="1348" t="str">
        <f t="shared" si="11"/>
        <v>物业管理</v>
      </c>
      <c r="R39" s="703" t="s">
        <v>14</v>
      </c>
      <c r="S39" s="704">
        <f t="shared" si="12"/>
        <v>100</v>
      </c>
      <c r="T39" s="703" t="s">
        <v>14</v>
      </c>
      <c r="U39" s="704">
        <f t="shared" si="13"/>
        <v>100</v>
      </c>
      <c r="V39" s="703" t="s">
        <v>14</v>
      </c>
      <c r="W39" s="704">
        <f t="shared" si="14"/>
        <v>100</v>
      </c>
      <c r="X39" s="1351"/>
      <c r="Y39" s="3686" t="s">
        <v>1696</v>
      </c>
      <c r="Z39" s="1352" t="str">
        <f t="shared" si="15"/>
        <v>物业管理</v>
      </c>
      <c r="AA39" s="1349">
        <f t="shared" si="3"/>
        <v>1</v>
      </c>
      <c r="AB39" s="1349">
        <f t="shared" si="4"/>
        <v>1</v>
      </c>
      <c r="AC39" s="1958">
        <f t="shared" si="5"/>
        <v>1</v>
      </c>
    </row>
    <row r="40" spans="1:29" ht="15">
      <c r="A40" s="422"/>
      <c r="B40" s="374" t="s">
        <v>1787</v>
      </c>
      <c r="C40" s="410" t="s">
        <v>3415</v>
      </c>
      <c r="D40" s="385">
        <v>100</v>
      </c>
      <c r="E40" s="410" t="s">
        <v>3415</v>
      </c>
      <c r="F40" s="411">
        <f>SUMIF(117:117,E40,118:118)-SUMIF(117:117,C40,118:118)+100</f>
        <v>100</v>
      </c>
      <c r="G40" s="410" t="s">
        <v>3415</v>
      </c>
      <c r="H40" s="385">
        <f>SUMIF(117:117,G40,118:118)-SUMIF(117:117,C40,118:118)+100</f>
        <v>100</v>
      </c>
      <c r="I40" s="410" t="s">
        <v>3415</v>
      </c>
      <c r="J40" s="385">
        <f>SUMIF(117:117,I40,118:118)-SUMIF(117:117,C40,118:118)+100</f>
        <v>100</v>
      </c>
      <c r="K40" s="560">
        <v>1</v>
      </c>
      <c r="L40" s="2717"/>
      <c r="M40" s="2711"/>
      <c r="N40" s="2711"/>
      <c r="O40" s="2711"/>
      <c r="P40" s="3684"/>
      <c r="Q40" s="1348" t="str">
        <f t="shared" si="11"/>
        <v>市政基础设施</v>
      </c>
      <c r="R40" s="703" t="s">
        <v>14</v>
      </c>
      <c r="S40" s="704">
        <f t="shared" si="12"/>
        <v>100</v>
      </c>
      <c r="T40" s="703" t="s">
        <v>14</v>
      </c>
      <c r="U40" s="704">
        <f t="shared" si="13"/>
        <v>100</v>
      </c>
      <c r="V40" s="703" t="s">
        <v>14</v>
      </c>
      <c r="W40" s="704">
        <f t="shared" si="14"/>
        <v>100</v>
      </c>
      <c r="X40" s="1351"/>
      <c r="Y40" s="3686"/>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684"/>
      <c r="Q41" s="1348" t="str">
        <f t="shared" si="11"/>
        <v>层高</v>
      </c>
      <c r="R41" s="703" t="s">
        <v>14</v>
      </c>
      <c r="S41" s="704">
        <f t="shared" si="12"/>
        <v>100</v>
      </c>
      <c r="T41" s="703" t="s">
        <v>14</v>
      </c>
      <c r="U41" s="704">
        <f t="shared" si="13"/>
        <v>100</v>
      </c>
      <c r="V41" s="703" t="s">
        <v>14</v>
      </c>
      <c r="W41" s="704">
        <f t="shared" si="14"/>
        <v>100</v>
      </c>
      <c r="X41" s="1351"/>
      <c r="Y41" s="3686"/>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684"/>
      <c r="Q42" s="705" t="str">
        <f t="shared" si="11"/>
        <v>单套建筑面积</v>
      </c>
      <c r="R42" s="706" t="s">
        <v>14</v>
      </c>
      <c r="S42" s="707">
        <f t="shared" si="12"/>
        <v>100</v>
      </c>
      <c r="T42" s="706" t="s">
        <v>14</v>
      </c>
      <c r="U42" s="707">
        <f t="shared" si="13"/>
        <v>100</v>
      </c>
      <c r="V42" s="706" t="s">
        <v>14</v>
      </c>
      <c r="W42" s="707">
        <f t="shared" si="14"/>
        <v>100</v>
      </c>
      <c r="X42" s="708"/>
      <c r="Y42" s="3686"/>
      <c r="Z42" s="709" t="str">
        <f t="shared" si="15"/>
        <v>单套建筑面积</v>
      </c>
      <c r="AA42" s="1349">
        <f t="shared" si="3"/>
        <v>1</v>
      </c>
      <c r="AB42" s="1349">
        <f t="shared" si="4"/>
        <v>1</v>
      </c>
      <c r="AC42" s="1958">
        <f t="shared" si="5"/>
        <v>1</v>
      </c>
    </row>
    <row r="43" spans="1:29" ht="15">
      <c r="A43" s="422"/>
      <c r="B43" s="374" t="s">
        <v>1792</v>
      </c>
      <c r="C43" s="410" t="s">
        <v>3433</v>
      </c>
      <c r="D43" s="385">
        <v>100</v>
      </c>
      <c r="E43" s="410" t="s">
        <v>3433</v>
      </c>
      <c r="F43" s="411">
        <f>SUMIF(123:123,E43,124:124)-SUMIF(123:123,C43,124:124)+100</f>
        <v>100</v>
      </c>
      <c r="G43" s="410" t="s">
        <v>3433</v>
      </c>
      <c r="H43" s="385">
        <f>SUMIF(123:123,G43,124:124)-SUMIF(123:123,C43,124:124)+100</f>
        <v>100</v>
      </c>
      <c r="I43" s="410" t="s">
        <v>3433</v>
      </c>
      <c r="J43" s="385">
        <f>SUMIF(123:123,I43,124:124)-SUMIF(123:123,C43,124:124)+100</f>
        <v>100</v>
      </c>
      <c r="K43" s="560">
        <v>2</v>
      </c>
      <c r="L43" s="2717"/>
      <c r="M43" s="2711"/>
      <c r="N43" s="2711"/>
      <c r="O43" s="2711"/>
      <c r="P43" s="3684"/>
      <c r="Q43" s="1348" t="str">
        <f t="shared" si="11"/>
        <v>内部装修</v>
      </c>
      <c r="R43" s="703" t="s">
        <v>14</v>
      </c>
      <c r="S43" s="704">
        <f t="shared" si="12"/>
        <v>100</v>
      </c>
      <c r="T43" s="703" t="s">
        <v>14</v>
      </c>
      <c r="U43" s="704">
        <f t="shared" si="13"/>
        <v>100</v>
      </c>
      <c r="V43" s="703" t="s">
        <v>14</v>
      </c>
      <c r="W43" s="704">
        <f t="shared" si="14"/>
        <v>100</v>
      </c>
      <c r="X43" s="1351"/>
      <c r="Y43" s="3686"/>
      <c r="Z43" s="1352" t="str">
        <f t="shared" si="15"/>
        <v>内部装修</v>
      </c>
      <c r="AA43" s="1349">
        <f t="shared" si="3"/>
        <v>1</v>
      </c>
      <c r="AB43" s="1349">
        <f t="shared" si="4"/>
        <v>1</v>
      </c>
      <c r="AC43" s="1958">
        <f t="shared" si="5"/>
        <v>1</v>
      </c>
    </row>
    <row r="44" spans="1:29" ht="28.8">
      <c r="A44" s="422"/>
      <c r="B44" s="374" t="s">
        <v>1707</v>
      </c>
      <c r="C44" s="410" t="s">
        <v>3424</v>
      </c>
      <c r="D44" s="385">
        <v>100</v>
      </c>
      <c r="E44" s="410" t="s">
        <v>3424</v>
      </c>
      <c r="F44" s="411">
        <f>SUMIF(125:125,E44,126:126)-SUMIF(125:125,C44,126:126)+100</f>
        <v>100</v>
      </c>
      <c r="G44" s="410" t="s">
        <v>3424</v>
      </c>
      <c r="H44" s="385">
        <f>SUMIF(125:125,G44,126:126)-SUMIF(125:125,C44,126:126)+100</f>
        <v>100</v>
      </c>
      <c r="I44" s="410" t="s">
        <v>3424</v>
      </c>
      <c r="J44" s="385">
        <f>SUMIF(125:125,I44,126:126)-SUMIF(125:125,C44,126:126)+100</f>
        <v>100</v>
      </c>
      <c r="K44" s="560">
        <v>1</v>
      </c>
      <c r="L44" s="2717"/>
      <c r="M44" s="2711"/>
      <c r="N44" s="2711"/>
      <c r="O44" s="2711"/>
      <c r="P44" s="3684"/>
      <c r="Q44" s="1348" t="str">
        <f t="shared" si="11"/>
        <v>内部装修维护情况</v>
      </c>
      <c r="R44" s="703" t="s">
        <v>14</v>
      </c>
      <c r="S44" s="704">
        <f t="shared" si="12"/>
        <v>100</v>
      </c>
      <c r="T44" s="703" t="s">
        <v>14</v>
      </c>
      <c r="U44" s="704">
        <f t="shared" si="13"/>
        <v>100</v>
      </c>
      <c r="V44" s="703" t="s">
        <v>14</v>
      </c>
      <c r="W44" s="704">
        <f t="shared" si="14"/>
        <v>100</v>
      </c>
      <c r="X44" s="1351"/>
      <c r="Y44" s="3686"/>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684"/>
      <c r="Q45" s="1339">
        <f t="shared" si="11"/>
        <v>111</v>
      </c>
      <c r="R45" s="699" t="s">
        <v>14</v>
      </c>
      <c r="S45" s="700">
        <f t="shared" si="12"/>
        <v>100</v>
      </c>
      <c r="T45" s="699" t="s">
        <v>14</v>
      </c>
      <c r="U45" s="700">
        <f t="shared" si="13"/>
        <v>100</v>
      </c>
      <c r="V45" s="699" t="s">
        <v>14</v>
      </c>
      <c r="W45" s="700">
        <f t="shared" si="14"/>
        <v>100</v>
      </c>
      <c r="X45" s="701"/>
      <c r="Y45" s="3686"/>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684"/>
      <c r="Q46" s="1348">
        <f t="shared" si="11"/>
        <v>111</v>
      </c>
      <c r="R46" s="703" t="s">
        <v>14</v>
      </c>
      <c r="S46" s="704">
        <f t="shared" si="12"/>
        <v>100</v>
      </c>
      <c r="T46" s="703" t="s">
        <v>14</v>
      </c>
      <c r="U46" s="704">
        <f t="shared" si="13"/>
        <v>100</v>
      </c>
      <c r="V46" s="703" t="s">
        <v>14</v>
      </c>
      <c r="W46" s="704">
        <f t="shared" si="14"/>
        <v>100</v>
      </c>
      <c r="X46" s="1351"/>
      <c r="Y46" s="3686"/>
      <c r="Z46" s="1352">
        <f t="shared" si="15"/>
        <v>111</v>
      </c>
      <c r="AA46" s="1349">
        <f t="shared" si="3"/>
        <v>1</v>
      </c>
      <c r="AB46" s="1349">
        <f t="shared" si="4"/>
        <v>1</v>
      </c>
      <c r="AC46" s="1958">
        <f t="shared" si="5"/>
        <v>1</v>
      </c>
    </row>
    <row r="47" spans="1:29" ht="15.6"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685"/>
      <c r="Q47" s="1348">
        <f t="shared" si="11"/>
        <v>111</v>
      </c>
      <c r="R47" s="703" t="s">
        <v>14</v>
      </c>
      <c r="S47" s="704">
        <f t="shared" si="12"/>
        <v>100</v>
      </c>
      <c r="T47" s="703" t="s">
        <v>14</v>
      </c>
      <c r="U47" s="704">
        <f t="shared" si="13"/>
        <v>100</v>
      </c>
      <c r="V47" s="703" t="s">
        <v>14</v>
      </c>
      <c r="W47" s="704">
        <f t="shared" si="14"/>
        <v>100</v>
      </c>
      <c r="X47" s="1351"/>
      <c r="Y47" s="3687"/>
      <c r="Z47" s="1352">
        <f t="shared" si="15"/>
        <v>111</v>
      </c>
      <c r="AA47" s="1349">
        <f t="shared" si="3"/>
        <v>1</v>
      </c>
      <c r="AB47" s="1349">
        <f t="shared" si="4"/>
        <v>1</v>
      </c>
      <c r="AC47" s="1958">
        <f t="shared" si="5"/>
        <v>1</v>
      </c>
    </row>
    <row r="48" spans="1:29" ht="14.4">
      <c r="A48" s="429" t="s">
        <v>1708</v>
      </c>
      <c r="B48" s="430"/>
      <c r="C48" s="1150" t="s">
        <v>0</v>
      </c>
      <c r="D48" s="1151"/>
      <c r="E48" s="1152">
        <v>29500</v>
      </c>
      <c r="F48" s="1153"/>
      <c r="G48" s="1154">
        <v>28597</v>
      </c>
      <c r="H48" s="1155"/>
      <c r="I48" s="1152">
        <v>28145</v>
      </c>
      <c r="J48" s="435"/>
      <c r="K48" s="712"/>
      <c r="L48" s="2719"/>
      <c r="M48" s="2711"/>
      <c r="N48" s="2711"/>
      <c r="O48" s="2711"/>
      <c r="P48" s="3659" t="str">
        <f>A48</f>
        <v>成交单价（元/平方米）</v>
      </c>
      <c r="Q48" s="3688"/>
      <c r="R48" s="3689">
        <f>E48</f>
        <v>29500</v>
      </c>
      <c r="S48" s="3689"/>
      <c r="T48" s="3689">
        <f>G48</f>
        <v>28597</v>
      </c>
      <c r="U48" s="3689"/>
      <c r="V48" s="3689">
        <f>I48</f>
        <v>28145</v>
      </c>
      <c r="W48" s="3689"/>
      <c r="X48" s="396"/>
      <c r="Y48" s="710"/>
      <c r="Z48" s="396"/>
      <c r="AA48" s="396"/>
      <c r="AB48" s="396"/>
      <c r="AC48" s="577"/>
    </row>
    <row r="49" spans="1:29" ht="15" thickBot="1">
      <c r="A49" s="436" t="s">
        <v>1793</v>
      </c>
      <c r="B49" s="437"/>
      <c r="C49" s="1156">
        <f>R50</f>
        <v>26831</v>
      </c>
      <c r="D49" s="2313" t="s">
        <v>2138</v>
      </c>
      <c r="E49" s="1157">
        <f>R49</f>
        <v>27534</v>
      </c>
      <c r="F49" s="2314"/>
      <c r="G49" s="1156">
        <f>T49</f>
        <v>26691</v>
      </c>
      <c r="H49" s="2314"/>
      <c r="I49" s="1157">
        <f>V49</f>
        <v>26269</v>
      </c>
      <c r="J49" s="2314"/>
      <c r="K49" s="2316">
        <f>F49+H49+J49</f>
        <v>0</v>
      </c>
      <c r="L49" s="2719"/>
      <c r="M49" s="2711"/>
      <c r="N49" s="2711"/>
      <c r="O49" s="2711"/>
      <c r="P49" s="3659" t="str">
        <f>A49</f>
        <v>比较价值（元/平方米）</v>
      </c>
      <c r="Q49" s="3688"/>
      <c r="R49" s="3689">
        <f>IF(F1="售价",ROUND(PRODUCT(R48,AA7:AA47),0),ROUND(PRODUCT(R48,AA7:AA47),1))</f>
        <v>27534</v>
      </c>
      <c r="S49" s="3689"/>
      <c r="T49" s="3689">
        <f>IF(F1="售价",ROUND(PRODUCT(T48,AB7:AB47),0),ROUND(PRODUCT(T48,AB7:AB47),1))</f>
        <v>26691</v>
      </c>
      <c r="U49" s="3689"/>
      <c r="V49" s="3689">
        <f>IF(F1="售价",ROUND(PRODUCT(V48,AC7:AC47),0),ROUND(PRODUCT(V48,AC7:AC47),1))</f>
        <v>26269</v>
      </c>
      <c r="W49" s="3689"/>
      <c r="X49" s="396"/>
      <c r="Y49" s="396"/>
      <c r="Z49" s="396"/>
      <c r="AA49" s="396"/>
      <c r="AB49" s="396"/>
      <c r="AC49" s="577"/>
    </row>
    <row r="50" spans="1:29" ht="15" thickBot="1">
      <c r="A50" s="440" t="s">
        <v>1794</v>
      </c>
      <c r="B50" s="441"/>
      <c r="C50" s="1159">
        <f>R50</f>
        <v>26831</v>
      </c>
      <c r="D50" s="1159"/>
      <c r="E50" s="1159"/>
      <c r="F50" s="1159"/>
      <c r="G50" s="1159"/>
      <c r="H50" s="1159"/>
      <c r="I50" s="1159"/>
      <c r="J50" s="442"/>
      <c r="K50" s="713"/>
      <c r="L50" s="2719"/>
      <c r="M50" s="2711"/>
      <c r="N50" s="2711"/>
      <c r="O50" s="2711"/>
      <c r="P50" s="3690" t="str">
        <f>A50</f>
        <v>估价对象XX用房的比较价值（楼面单价，元/平方米）</v>
      </c>
      <c r="Q50" s="3691"/>
      <c r="R50" s="3692">
        <f>IF(F1="售价",ROUND(IF(D49="简单平均",AVERAGE(R49:V49),R49*F49+T49*H49+V49*J49),0),ROUND(IF(D49="简单平均",AVERAGE(R49:V49),R49*F49+T49*H49+V49*J49),1))</f>
        <v>26831</v>
      </c>
      <c r="S50" s="3692"/>
      <c r="T50" s="3692"/>
      <c r="U50" s="3692"/>
      <c r="V50" s="3692"/>
      <c r="W50" s="3692"/>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1795</v>
      </c>
      <c r="D53" s="446"/>
      <c r="E53" s="447">
        <f>IF(E48&lt;E49,E49/E48-1,E48/E49-1)</f>
        <v>7.1402629476283952E-2</v>
      </c>
      <c r="F53" s="448" t="str">
        <f>IF(OR(E53&gt;=0.3,E53&lt;=-0.3),"超过30%","")</f>
        <v/>
      </c>
      <c r="G53" s="447">
        <f>IF(G48&lt;G49,G49/G48-1,G48/G49-1)</f>
        <v>7.1409838522348279E-2</v>
      </c>
      <c r="H53" s="448" t="str">
        <f>IF(OR(G53&gt;=0.3,G53&lt;=-0.3),"超过30%","")</f>
        <v/>
      </c>
      <c r="I53" s="447">
        <f>IF(I48&lt;I49,I49/I48-1,I48/I49-1)</f>
        <v>7.1414975827020388E-2</v>
      </c>
      <c r="J53" s="448"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1796</v>
      </c>
      <c r="D54" s="449"/>
      <c r="E54" s="447">
        <f>IF(E49&lt;G49,G49/E49-1,E49/G49-1)</f>
        <v>3.1583679892098537E-2</v>
      </c>
      <c r="F54" s="448" t="str">
        <f>IF(OR(E54&gt;=0.2,E54&lt;=-0.2),"超过20%","")</f>
        <v/>
      </c>
      <c r="G54" s="447">
        <f>IF(G49&lt;I49,I49/G49-1,G49/I49-1)</f>
        <v>1.6064562792645232E-2</v>
      </c>
      <c r="H54" s="448" t="str">
        <f>IF(OR(G54&gt;=0.2,G54&lt;=-0.2),"超过20%","")</f>
        <v/>
      </c>
      <c r="I54" s="447">
        <f>IF(I49&lt;E49,E49/I49-1,I49/E49-1)</f>
        <v>4.8155620693593137E-2</v>
      </c>
      <c r="J54" s="448"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1797</v>
      </c>
      <c r="D55" s="449"/>
      <c r="E55" s="447">
        <f>IF(E48&lt;G48,G48/E48-1,E48/G48-1)</f>
        <v>3.1576738818757111E-2</v>
      </c>
      <c r="F55" s="448" t="str">
        <f>IF(OR(E55&gt;=0.3,E55&lt;=-0.3),"超过30%","")</f>
        <v/>
      </c>
      <c r="G55" s="447">
        <f>IF(G48&lt;I48,I48/G48-1,G48/I48-1)</f>
        <v>1.6059690886480738E-2</v>
      </c>
      <c r="H55" s="448" t="str">
        <f>IF(OR(G55&gt;=0.3,G55&lt;=-0.3),"超过30%","")</f>
        <v/>
      </c>
      <c r="I55" s="447">
        <f>IF(I48&lt;E48,E48/I48-1,I48/E48-1)</f>
        <v>4.8143542369870396E-2</v>
      </c>
      <c r="J55" s="448"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2.2" thickBot="1">
      <c r="A58" s="692" t="s">
        <v>1798</v>
      </c>
      <c r="B58" s="688"/>
      <c r="C58" s="693"/>
      <c r="D58" s="693"/>
      <c r="E58" s="693"/>
      <c r="F58" s="694"/>
      <c r="G58" s="694"/>
      <c r="H58" s="693"/>
      <c r="I58" s="693"/>
      <c r="J58" s="693"/>
      <c r="K58" s="695"/>
      <c r="L58" s="940"/>
      <c r="M58" s="938"/>
      <c r="N58" s="2764"/>
      <c r="O58" s="2764"/>
      <c r="P58" s="2753"/>
      <c r="Q58" s="2734"/>
      <c r="R58" s="2720"/>
      <c r="S58" s="2720"/>
      <c r="T58" s="2720"/>
      <c r="U58" s="2720"/>
      <c r="V58" s="2720"/>
      <c r="W58" s="2720"/>
      <c r="X58" s="2720"/>
      <c r="Y58" s="2720"/>
      <c r="Z58" s="2720"/>
      <c r="AA58" s="2720"/>
      <c r="AB58" s="2720"/>
      <c r="AC58" s="2720"/>
    </row>
    <row r="59" spans="1:29" s="456" customFormat="1" ht="14.4">
      <c r="A59" s="453" t="s">
        <v>1679</v>
      </c>
      <c r="B59" s="454"/>
      <c r="C59" s="1180" t="str">
        <f>YEAR(C7)&amp;"-"&amp;MONTH(C7)</f>
        <v>2023-7</v>
      </c>
      <c r="D59" s="1181">
        <f>EDATE(C59,-1)</f>
        <v>45078</v>
      </c>
      <c r="E59" s="1181">
        <f>EDATE(D59,-1)</f>
        <v>45047</v>
      </c>
      <c r="F59" s="1181">
        <f t="shared" ref="F59:O59" si="16">EDATE(E59,-1)</f>
        <v>45017</v>
      </c>
      <c r="G59" s="1181">
        <f t="shared" si="16"/>
        <v>44986</v>
      </c>
      <c r="H59" s="1181">
        <f t="shared" si="16"/>
        <v>44958</v>
      </c>
      <c r="I59" s="1181">
        <f t="shared" si="16"/>
        <v>44927</v>
      </c>
      <c r="J59" s="1181">
        <f t="shared" si="16"/>
        <v>44896</v>
      </c>
      <c r="K59" s="1181">
        <f t="shared" si="16"/>
        <v>44866</v>
      </c>
      <c r="L59" s="1181">
        <f t="shared" si="16"/>
        <v>44835</v>
      </c>
      <c r="M59" s="1181">
        <f t="shared" si="16"/>
        <v>44805</v>
      </c>
      <c r="N59" s="1181">
        <f t="shared" si="16"/>
        <v>44774</v>
      </c>
      <c r="O59" s="1181">
        <f t="shared" si="16"/>
        <v>44743</v>
      </c>
      <c r="P59" s="2754"/>
      <c r="Q59" s="2736"/>
      <c r="R59" s="2736"/>
      <c r="S59" s="2736"/>
      <c r="T59" s="2736"/>
      <c r="U59" s="2736"/>
      <c r="V59" s="2736"/>
      <c r="W59" s="2736"/>
      <c r="X59" s="2736"/>
      <c r="Y59" s="2736"/>
      <c r="Z59" s="2736"/>
      <c r="AA59" s="2736"/>
      <c r="AB59" s="2736"/>
      <c r="AC59" s="2736"/>
    </row>
    <row r="60" spans="1:29" s="108" customFormat="1">
      <c r="A60" s="457"/>
      <c r="B60" s="458"/>
      <c r="C60" s="1179">
        <v>100</v>
      </c>
      <c r="D60" s="460">
        <v>100</v>
      </c>
      <c r="E60" s="460"/>
      <c r="F60" s="460"/>
      <c r="G60" s="460"/>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 thickBot="1">
      <c r="A61" s="463" t="s">
        <v>1716</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4.4">
      <c r="A62" s="469" t="s">
        <v>1681</v>
      </c>
      <c r="B62" s="458"/>
      <c r="C62" s="470" t="s">
        <v>1776</v>
      </c>
      <c r="D62" s="3445" t="s">
        <v>3397</v>
      </c>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4.4" thickBot="1">
      <c r="A63" s="469"/>
      <c r="B63" s="458"/>
      <c r="C63" s="459">
        <v>100</v>
      </c>
      <c r="D63" s="460">
        <v>102</v>
      </c>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ht="14.4">
      <c r="A64" s="475" t="s">
        <v>1719</v>
      </c>
      <c r="B64" s="476" t="s">
        <v>1685</v>
      </c>
      <c r="C64" s="477" t="str">
        <f>C9</f>
        <v>办公</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4.4"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9.4" thickTop="1">
      <c r="A66" s="482"/>
      <c r="B66" s="486" t="s">
        <v>1688</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4.4"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4.4"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4.4"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4.4"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4.4"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4.4"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4.4"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ht="14.4">
      <c r="A77" s="475" t="s">
        <v>1690</v>
      </c>
      <c r="B77" s="476" t="s">
        <v>1821</v>
      </c>
      <c r="C77" s="521" t="s">
        <v>1721</v>
      </c>
      <c r="D77" s="521" t="s">
        <v>1722</v>
      </c>
      <c r="E77" s="521" t="s">
        <v>1723</v>
      </c>
      <c r="F77" s="521" t="s">
        <v>1724</v>
      </c>
      <c r="G77" s="521" t="s">
        <v>1725</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4.4" thickBot="1">
      <c r="A78" s="482"/>
      <c r="B78" s="491"/>
      <c r="C78" s="492">
        <v>100</v>
      </c>
      <c r="D78" s="492">
        <f>C78-$K15</f>
        <v>98</v>
      </c>
      <c r="E78" s="492">
        <f>D78-$K15</f>
        <v>96</v>
      </c>
      <c r="F78" s="492">
        <f>E78-$K15</f>
        <v>94</v>
      </c>
      <c r="G78" s="492">
        <f>F78-$K15</f>
        <v>92</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 thickTop="1">
      <c r="A79" s="482"/>
      <c r="B79" s="486" t="s">
        <v>1726</v>
      </c>
      <c r="C79" s="526" t="s">
        <v>1721</v>
      </c>
      <c r="D79" s="526" t="s">
        <v>1722</v>
      </c>
      <c r="E79" s="526" t="s">
        <v>1723</v>
      </c>
      <c r="F79" s="526" t="s">
        <v>1724</v>
      </c>
      <c r="G79" s="526" t="s">
        <v>1725</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4.4" thickBot="1">
      <c r="A80" s="482"/>
      <c r="B80" s="491"/>
      <c r="C80" s="492">
        <v>100</v>
      </c>
      <c r="D80" s="492">
        <f>C80-$K17</f>
        <v>98</v>
      </c>
      <c r="E80" s="492">
        <f>D80-$K17</f>
        <v>96</v>
      </c>
      <c r="F80" s="492">
        <f>E80-$K17</f>
        <v>94</v>
      </c>
      <c r="G80" s="492">
        <f>F80-$K17</f>
        <v>92</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 thickTop="1">
      <c r="A81" s="482"/>
      <c r="B81" s="486" t="s">
        <v>1727</v>
      </c>
      <c r="C81" s="526" t="s">
        <v>1721</v>
      </c>
      <c r="D81" s="526" t="s">
        <v>1722</v>
      </c>
      <c r="E81" s="526" t="s">
        <v>1723</v>
      </c>
      <c r="F81" s="526" t="s">
        <v>1724</v>
      </c>
      <c r="G81" s="526" t="s">
        <v>1725</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4.4" thickBot="1">
      <c r="A82" s="482"/>
      <c r="B82" s="491"/>
      <c r="C82" s="492">
        <v>100</v>
      </c>
      <c r="D82" s="492">
        <f>C82-$K19</f>
        <v>98</v>
      </c>
      <c r="E82" s="492">
        <f>D82-$K19</f>
        <v>96</v>
      </c>
      <c r="F82" s="492">
        <f>E82-$K19</f>
        <v>94</v>
      </c>
      <c r="G82" s="492">
        <f>F82-$K19</f>
        <v>92</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 thickTop="1">
      <c r="A83" s="482"/>
      <c r="B83" s="494" t="s">
        <v>1813</v>
      </c>
      <c r="C83" s="607" t="s">
        <v>1799</v>
      </c>
      <c r="D83" s="607" t="s">
        <v>1800</v>
      </c>
      <c r="E83" s="607" t="s">
        <v>1801</v>
      </c>
      <c r="F83" s="607" t="s">
        <v>1802</v>
      </c>
      <c r="G83" s="607" t="s">
        <v>1803</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4.4" thickBot="1">
      <c r="A84" s="482"/>
      <c r="B84" s="494"/>
      <c r="C84" s="492">
        <v>100</v>
      </c>
      <c r="D84" s="492">
        <f>C84-$K21</f>
        <v>98</v>
      </c>
      <c r="E84" s="492">
        <f>D84-$K21</f>
        <v>96</v>
      </c>
      <c r="F84" s="492">
        <f>E84-$K21</f>
        <v>94</v>
      </c>
      <c r="G84" s="492">
        <f>F84-$K21</f>
        <v>92</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 thickTop="1">
      <c r="A85" s="482"/>
      <c r="B85" s="486" t="s">
        <v>1822</v>
      </c>
      <c r="C85" s="526" t="s">
        <v>1721</v>
      </c>
      <c r="D85" s="526" t="s">
        <v>1722</v>
      </c>
      <c r="E85" s="526" t="s">
        <v>1723</v>
      </c>
      <c r="F85" s="526" t="s">
        <v>1724</v>
      </c>
      <c r="G85" s="526" t="s">
        <v>1725</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4.4" thickBot="1">
      <c r="A86" s="482"/>
      <c r="B86" s="491"/>
      <c r="C86" s="492">
        <v>100</v>
      </c>
      <c r="D86" s="492">
        <f>C86-$K23</f>
        <v>98</v>
      </c>
      <c r="E86" s="492">
        <f>D86-$K23</f>
        <v>96</v>
      </c>
      <c r="F86" s="492">
        <f>E86-$K23</f>
        <v>94</v>
      </c>
      <c r="G86" s="492">
        <f>F86-$K23</f>
        <v>92</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9.4" thickTop="1">
      <c r="A87" s="527"/>
      <c r="B87" s="486" t="s">
        <v>1823</v>
      </c>
      <c r="C87" s="3446" t="s">
        <v>3398</v>
      </c>
      <c r="D87" s="3446" t="s">
        <v>3399</v>
      </c>
      <c r="E87" s="3446" t="s">
        <v>3400</v>
      </c>
      <c r="F87" s="3446" t="s">
        <v>3401</v>
      </c>
      <c r="G87" s="3446" t="s">
        <v>3402</v>
      </c>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4.4"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49"/>
      <c r="O88" s="2749"/>
      <c r="P88" s="2757"/>
      <c r="Q88" s="2734"/>
      <c r="R88" s="2656"/>
      <c r="S88" s="2656"/>
      <c r="T88" s="2656"/>
      <c r="U88" s="2656"/>
      <c r="V88" s="2656"/>
      <c r="W88" s="2656"/>
      <c r="X88" s="2656"/>
      <c r="Y88" s="2656"/>
      <c r="Z88" s="2656"/>
      <c r="AA88" s="2656"/>
      <c r="AB88" s="2656"/>
      <c r="AC88" s="2656"/>
    </row>
    <row r="89" spans="1:29" s="108" customFormat="1" ht="14.4" thickTop="1">
      <c r="A89" s="527"/>
      <c r="B89" s="486" t="str">
        <f>B27</f>
        <v>楼层</v>
      </c>
      <c r="C89" s="502" t="s">
        <v>3403</v>
      </c>
      <c r="D89" s="502" t="s">
        <v>3404</v>
      </c>
      <c r="E89" s="502" t="s">
        <v>3405</v>
      </c>
      <c r="F89" s="1923"/>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9"/>
      <c r="O90" s="2749"/>
      <c r="P90" s="2757"/>
      <c r="Q90" s="2734"/>
      <c r="R90" s="2656"/>
      <c r="S90" s="2656"/>
      <c r="T90" s="2656"/>
      <c r="U90" s="2656"/>
      <c r="V90" s="2656"/>
      <c r="W90" s="2656"/>
      <c r="X90" s="2656"/>
      <c r="Y90" s="2656"/>
      <c r="Z90" s="2656"/>
      <c r="AA90" s="2656"/>
      <c r="AB90" s="2656"/>
      <c r="AC90" s="2656"/>
    </row>
    <row r="91" spans="1:29" s="421" customFormat="1" ht="14.4"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4.4" thickTop="1">
      <c r="A93" s="482"/>
      <c r="B93" s="486">
        <f>B29</f>
        <v>111</v>
      </c>
      <c r="C93" s="502"/>
      <c r="D93" s="502"/>
      <c r="E93" s="502"/>
      <c r="F93" s="502"/>
      <c r="G93" s="502"/>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4.4" thickBot="1">
      <c r="A94" s="482"/>
      <c r="B94" s="491"/>
      <c r="C94" s="508"/>
      <c r="D94" s="484"/>
      <c r="E94" s="484"/>
      <c r="F94" s="484"/>
      <c r="G94" s="484"/>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4.4"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4.4"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4.4"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4.4"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4.4"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4.4" thickBot="1">
      <c r="A100" s="1924"/>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ht="14.4">
      <c r="A101" s="475" t="s">
        <v>1694</v>
      </c>
      <c r="B101" s="476" t="s">
        <v>1736</v>
      </c>
      <c r="C101" s="3447" t="s">
        <v>3407</v>
      </c>
      <c r="D101" s="3447" t="s">
        <v>3435</v>
      </c>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4.4"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9"/>
      <c r="O102" s="2749"/>
      <c r="P102" s="2757"/>
      <c r="Q102" s="2734"/>
      <c r="R102" s="2720"/>
      <c r="S102" s="2720"/>
      <c r="T102" s="2720"/>
      <c r="U102" s="2720"/>
      <c r="V102" s="2720"/>
      <c r="W102" s="2720"/>
      <c r="X102" s="2720"/>
      <c r="Y102" s="2720"/>
      <c r="Z102" s="2720"/>
      <c r="AA102" s="2720"/>
      <c r="AB102" s="2720"/>
      <c r="AC102" s="2720"/>
    </row>
    <row r="103" spans="1:29" ht="28.2" thickTop="1">
      <c r="A103" s="482"/>
      <c r="B103" s="486" t="s">
        <v>1737</v>
      </c>
      <c r="C103" s="526" t="str">
        <f>C104&amp;"(含)"&amp;"-"&amp;D104</f>
        <v>0(含)-300</v>
      </c>
      <c r="D103" s="526" t="str">
        <f t="shared" ref="D103:L103" si="23">D104&amp;"(含)"&amp;"-"&amp;E104</f>
        <v>300(含)-500</v>
      </c>
      <c r="E103" s="526" t="str">
        <f t="shared" si="23"/>
        <v>500(含)-800</v>
      </c>
      <c r="F103" s="526" t="str">
        <f t="shared" si="23"/>
        <v>800(含)-4000</v>
      </c>
      <c r="G103" s="526" t="str">
        <f t="shared" si="23"/>
        <v>4000(含)-</v>
      </c>
      <c r="H103" s="526" t="str">
        <f t="shared" si="23"/>
        <v>(含)-</v>
      </c>
      <c r="I103" s="526" t="str">
        <f t="shared" si="23"/>
        <v>(含)-</v>
      </c>
      <c r="J103" s="526" t="str">
        <f t="shared" si="23"/>
        <v>(含)-</v>
      </c>
      <c r="K103" s="526" t="str">
        <f t="shared" si="23"/>
        <v>(含)-</v>
      </c>
      <c r="L103" s="526" t="str">
        <f t="shared" si="23"/>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v>0</v>
      </c>
      <c r="D104" s="543">
        <v>300</v>
      </c>
      <c r="E104" s="543">
        <v>500</v>
      </c>
      <c r="F104" s="543">
        <v>800</v>
      </c>
      <c r="G104" s="543">
        <v>4000</v>
      </c>
      <c r="H104" s="543"/>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4.4" thickBot="1">
      <c r="A105" s="501"/>
      <c r="B105" s="491"/>
      <c r="C105" s="3449">
        <v>98</v>
      </c>
      <c r="D105" s="3449">
        <v>100</v>
      </c>
      <c r="E105" s="3449">
        <v>98</v>
      </c>
      <c r="F105" s="3449">
        <v>96</v>
      </c>
      <c r="G105" s="3449">
        <v>94</v>
      </c>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1738</v>
      </c>
      <c r="C106" s="3446" t="s">
        <v>3408</v>
      </c>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4.4"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1740</v>
      </c>
      <c r="C108" s="3446" t="s">
        <v>3409</v>
      </c>
      <c r="D108" s="502"/>
      <c r="E108" s="502"/>
      <c r="F108" s="531"/>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4.4" thickBot="1">
      <c r="A109" s="482"/>
      <c r="B109" s="491"/>
      <c r="C109" s="492">
        <v>100</v>
      </c>
      <c r="D109" s="492">
        <f t="shared" ref="D109:M109" si="25">C109-$K36</f>
        <v>99</v>
      </c>
      <c r="E109" s="492">
        <f t="shared" si="25"/>
        <v>98</v>
      </c>
      <c r="F109" s="492">
        <f t="shared" si="25"/>
        <v>97</v>
      </c>
      <c r="G109" s="492">
        <f t="shared" si="25"/>
        <v>96</v>
      </c>
      <c r="H109" s="492">
        <f t="shared" si="25"/>
        <v>95</v>
      </c>
      <c r="I109" s="492">
        <f t="shared" si="25"/>
        <v>94</v>
      </c>
      <c r="J109" s="492">
        <f t="shared" si="25"/>
        <v>93</v>
      </c>
      <c r="K109" s="492">
        <f t="shared" si="25"/>
        <v>92</v>
      </c>
      <c r="L109" s="492">
        <f t="shared" si="25"/>
        <v>91</v>
      </c>
      <c r="M109" s="493">
        <f t="shared" si="25"/>
        <v>90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1824</v>
      </c>
      <c r="C113" s="3446" t="s">
        <v>3421</v>
      </c>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4.4" thickBot="1">
      <c r="A114" s="501"/>
      <c r="B114" s="491"/>
      <c r="C114" s="492">
        <v>100</v>
      </c>
      <c r="D114" s="492">
        <f>C114-$K38</f>
        <v>99</v>
      </c>
      <c r="E114" s="492">
        <f t="shared" ref="E114:M114" si="27">D114-$K38</f>
        <v>98</v>
      </c>
      <c r="F114" s="492">
        <f t="shared" si="27"/>
        <v>97</v>
      </c>
      <c r="G114" s="492">
        <f t="shared" si="27"/>
        <v>96</v>
      </c>
      <c r="H114" s="492">
        <f t="shared" si="27"/>
        <v>95</v>
      </c>
      <c r="I114" s="492">
        <f t="shared" si="27"/>
        <v>94</v>
      </c>
      <c r="J114" s="492">
        <f t="shared" si="27"/>
        <v>93</v>
      </c>
      <c r="K114" s="492">
        <f t="shared" si="27"/>
        <v>92</v>
      </c>
      <c r="L114" s="492">
        <f t="shared" si="27"/>
        <v>91</v>
      </c>
      <c r="M114" s="492">
        <f t="shared" si="27"/>
        <v>90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1741</v>
      </c>
      <c r="C115" s="3446" t="s">
        <v>3419</v>
      </c>
      <c r="D115" s="502"/>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4.4" thickBot="1">
      <c r="A116" s="482"/>
      <c r="B116" s="491"/>
      <c r="C116" s="492">
        <v>100</v>
      </c>
      <c r="D116" s="492">
        <f t="shared" ref="D116:M116" si="28">C116-$K39</f>
        <v>99</v>
      </c>
      <c r="E116" s="492">
        <f t="shared" si="28"/>
        <v>98</v>
      </c>
      <c r="F116" s="492">
        <f t="shared" si="28"/>
        <v>97</v>
      </c>
      <c r="G116" s="492">
        <f t="shared" si="28"/>
        <v>96</v>
      </c>
      <c r="H116" s="492">
        <f t="shared" si="28"/>
        <v>95</v>
      </c>
      <c r="I116" s="492">
        <f t="shared" si="28"/>
        <v>94</v>
      </c>
      <c r="J116" s="492">
        <f t="shared" si="28"/>
        <v>93</v>
      </c>
      <c r="K116" s="492">
        <f t="shared" si="28"/>
        <v>92</v>
      </c>
      <c r="L116" s="492">
        <f t="shared" si="28"/>
        <v>91</v>
      </c>
      <c r="M116" s="493">
        <f t="shared" si="28"/>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1742</v>
      </c>
      <c r="C117" s="502" t="s">
        <v>3413</v>
      </c>
      <c r="D117" s="502" t="s">
        <v>3414</v>
      </c>
      <c r="E117" s="502" t="s">
        <v>3415</v>
      </c>
      <c r="F117" s="502" t="s">
        <v>3416</v>
      </c>
      <c r="G117" s="502" t="s">
        <v>3417</v>
      </c>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1825</v>
      </c>
      <c r="C119" s="531"/>
      <c r="D119" s="531"/>
      <c r="E119" s="531"/>
      <c r="F119" s="531"/>
      <c r="G119" s="531"/>
      <c r="H119" s="531"/>
      <c r="I119" s="531"/>
      <c r="J119" s="531"/>
      <c r="K119" s="531"/>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1808</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4.4"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1744</v>
      </c>
      <c r="C123" s="3446" t="s">
        <v>3410</v>
      </c>
      <c r="D123" s="3446" t="s">
        <v>3411</v>
      </c>
      <c r="E123" s="3446" t="s">
        <v>3412</v>
      </c>
      <c r="F123" s="531"/>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9"/>
      <c r="O124" s="2749"/>
      <c r="P124" s="2757"/>
      <c r="Q124" s="2734"/>
      <c r="R124" s="2720"/>
      <c r="S124" s="2720"/>
      <c r="T124" s="2720"/>
      <c r="U124" s="2720"/>
      <c r="V124" s="2720"/>
      <c r="W124" s="2720"/>
      <c r="X124" s="2720"/>
      <c r="Y124" s="2720"/>
      <c r="Z124" s="2720"/>
      <c r="AA124" s="2720"/>
      <c r="AB124" s="2720"/>
      <c r="AC124" s="2720"/>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4.4" thickBot="1">
      <c r="A126" s="482"/>
      <c r="B126" s="491"/>
      <c r="C126" s="492">
        <v>100</v>
      </c>
      <c r="D126" s="492">
        <f>C126-$K44</f>
        <v>99</v>
      </c>
      <c r="E126" s="492">
        <f>D126-$K44</f>
        <v>98</v>
      </c>
      <c r="F126" s="492">
        <f>E126-$K44</f>
        <v>97</v>
      </c>
      <c r="G126" s="492">
        <f>F126-$K44</f>
        <v>96</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4.4"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4.4"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4.4"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4.4"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4.4"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4.4" thickBot="1">
      <c r="A132" s="1924"/>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E26" sqref="E26"/>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5" t="s">
        <v>1594</v>
      </c>
      <c r="B1" s="1187"/>
      <c r="C1" s="1188"/>
      <c r="D1" s="1186"/>
      <c r="E1" s="2801"/>
      <c r="F1" s="2801"/>
      <c r="G1" s="2666"/>
      <c r="H1" s="2801"/>
      <c r="I1" s="2801"/>
      <c r="J1" s="2801"/>
      <c r="K1" s="2802">
        <f>MATCH(C1,'数据-取费表'!A6:A16,0)+5</f>
        <v>7</v>
      </c>
    </row>
    <row r="2" spans="1:33" ht="18" customHeight="1">
      <c r="A2" s="200" t="s">
        <v>1462</v>
      </c>
      <c r="B2" s="203">
        <f ca="1">C32</f>
        <v>25503</v>
      </c>
      <c r="C2" s="275" t="s">
        <v>1595</v>
      </c>
      <c r="D2" s="275"/>
      <c r="E2" s="2801"/>
      <c r="F2" s="2801"/>
      <c r="G2" s="2801"/>
      <c r="H2" s="2801"/>
      <c r="I2" s="2801"/>
      <c r="J2" s="2801"/>
      <c r="K2" s="2801"/>
    </row>
    <row r="3" spans="1:33" ht="18" customHeight="1" thickBot="1">
      <c r="A3" s="202" t="s">
        <v>1464</v>
      </c>
      <c r="B3" s="203">
        <f ca="1">ROUND(B2*10000/IF(C1="",'数据-汇总表'!E3,INDIRECT("'数据-取费表'!K"&amp;$K$1)),0)</f>
        <v>6763</v>
      </c>
      <c r="C3" s="275" t="s">
        <v>1596</v>
      </c>
      <c r="D3" s="275"/>
      <c r="E3" s="2801"/>
      <c r="F3" s="2801"/>
      <c r="G3" s="2801"/>
      <c r="H3" s="2801"/>
      <c r="I3" s="2801"/>
      <c r="J3" s="2801"/>
      <c r="K3" s="2801"/>
    </row>
    <row r="4" spans="1:33" s="783" customFormat="1" ht="16.5" customHeight="1">
      <c r="A4" s="780" t="s">
        <v>1597</v>
      </c>
      <c r="B4" s="781"/>
      <c r="C4" s="822">
        <f ca="1">SUM(C8:K8)</f>
        <v>27877</v>
      </c>
      <c r="D4" s="781"/>
      <c r="E4" s="781"/>
      <c r="F4" s="781"/>
      <c r="G4" s="781"/>
      <c r="H4" s="781"/>
      <c r="I4" s="781"/>
      <c r="J4" s="781"/>
      <c r="K4" s="782"/>
    </row>
    <row r="5" spans="1:33" s="787" customFormat="1" ht="14.4">
      <c r="A5" s="784" t="s">
        <v>1598</v>
      </c>
      <c r="B5" s="785" t="s">
        <v>1599</v>
      </c>
      <c r="C5" s="1856" t="s">
        <v>3</v>
      </c>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f ca="1">收益法!B3</f>
        <v>7717</v>
      </c>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36123.300000000003</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f ca="1">收益法!B2</f>
        <v>27877</v>
      </c>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113</v>
      </c>
      <c r="D11" s="800"/>
      <c r="E11" s="328"/>
      <c r="F11" s="810">
        <f ca="1">1-IF('数据-取费表'!B24=0,1,IF(C1="",'数据-取费表'!N16,INDIRECT("'数据-取费表'!n"&amp;$K$1)))</f>
        <v>1.0000000000000009E-2</v>
      </c>
      <c r="G11" s="5"/>
      <c r="H11" s="795"/>
      <c r="I11" s="795"/>
      <c r="J11" s="795"/>
      <c r="K11" s="796"/>
    </row>
    <row r="12" spans="1:33" s="801" customFormat="1" ht="13.5" customHeight="1">
      <c r="A12" s="798" t="s">
        <v>636</v>
      </c>
      <c r="B12" s="799" t="s">
        <v>1613</v>
      </c>
      <c r="C12" s="21">
        <f ca="1">ROUND(C11*F12,0)</f>
        <v>4</v>
      </c>
      <c r="D12" s="800"/>
      <c r="E12" s="328"/>
      <c r="F12" s="810">
        <f>'数据-取费表'!B33</f>
        <v>3.5000000000000003E-2</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8</v>
      </c>
      <c r="D14" s="844">
        <f ca="1">IF(C1="",'数据-汇总表'!E3,INDIRECT("'数据-取费表'!K"&amp;$K$1)+INDIRECT("'数据-取费表'!S"&amp;$K$1))</f>
        <v>37711.240000000005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2</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127</v>
      </c>
      <c r="D16" s="804"/>
      <c r="E16" s="809"/>
      <c r="F16" s="810"/>
      <c r="G16" s="130"/>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37711.240000000005</v>
      </c>
      <c r="E17" s="21">
        <f>'数据-取费表'!B32</f>
        <v>0</v>
      </c>
      <c r="F17" s="804"/>
      <c r="G17" s="130"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58" t="s">
        <v>3461</v>
      </c>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5"/>
      <c r="I19" s="807"/>
      <c r="J19" s="807"/>
      <c r="K19" s="808"/>
    </row>
    <row r="20" spans="1:33" s="801" customFormat="1" ht="13.5" customHeight="1">
      <c r="A20" s="798" t="s">
        <v>361</v>
      </c>
      <c r="B20" s="799" t="s">
        <v>1627</v>
      </c>
      <c r="C20" s="21">
        <f ca="1">ROUND(D20*E20/10000,0)</f>
        <v>717</v>
      </c>
      <c r="D20" s="844">
        <f ca="1">IF(C1="",'数据-汇总表'!E6,IF(INDIRECT("'数据-取费表'!c"&amp;$K$1)="住宅",INDIRECT("'数据-取费表'!s"&amp;$K$1),INDIRECT("'数据-取费表'!k"&amp;$K$1)+INDIRECT("'数据-取费表'!s"&amp;$K$1)))</f>
        <v>37711.240000000005</v>
      </c>
      <c r="E20" s="21">
        <f>'数据-取费表'!B28</f>
        <v>190</v>
      </c>
      <c r="F20" s="802"/>
      <c r="G20" s="12"/>
      <c r="H20" s="807"/>
      <c r="I20" s="807"/>
      <c r="J20" s="807"/>
      <c r="K20" s="808"/>
    </row>
    <row r="21" spans="1:33" s="801" customFormat="1" ht="13.5" customHeight="1">
      <c r="A21" s="788" t="s">
        <v>357</v>
      </c>
      <c r="B21" s="811" t="s">
        <v>1628</v>
      </c>
      <c r="C21" s="812">
        <f ca="1">C16+C17+C18</f>
        <v>127</v>
      </c>
      <c r="D21" s="813"/>
      <c r="E21" s="280"/>
      <c r="F21" s="280"/>
      <c r="G21" s="130" t="s">
        <v>1629</v>
      </c>
      <c r="H21" s="805"/>
      <c r="I21" s="805"/>
      <c r="J21" s="805"/>
      <c r="K21" s="806"/>
    </row>
    <row r="22" spans="1:33" s="801" customFormat="1" ht="13.5" customHeight="1">
      <c r="A22" s="788" t="s">
        <v>1601</v>
      </c>
      <c r="B22" s="811" t="s">
        <v>1630</v>
      </c>
      <c r="C22" s="812">
        <f ca="1">ROUND(C21*F22,0)</f>
        <v>3</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6</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3798">
        <f ca="1">C27</f>
        <v>0.02</v>
      </c>
      <c r="D25" s="279">
        <f ca="1">C26</f>
        <v>4.0000000000000002E-4</v>
      </c>
      <c r="E25" s="281" t="s">
        <v>12</v>
      </c>
      <c r="F25" s="282">
        <f ca="1">'数据-取费表'!B40</f>
        <v>3.5499999999999997E-2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4.0000000000000002E-4</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598">
        <f ca="1">ROUND(IF('数据-取费表'!B22&lt;=1,(C21+C22+C23)*F25*'数据-取费表'!B24/2,(C21+C22+C23)*(POWER((1+F25),'数据-取费表'!B24/2)-1)),2)</f>
        <v>0.02</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10</v>
      </c>
      <c r="D28" s="279">
        <f ca="1">C29</f>
        <v>6.9999999999999999E-4</v>
      </c>
      <c r="E28" s="281" t="s">
        <v>12</v>
      </c>
      <c r="F28" s="287">
        <f ca="1">IF(C1="",'数据-取费表'!Q16,INDIRECT("'数据-取费表'!q"&amp;$K$1))</f>
        <v>7.0000000000000007E-2</v>
      </c>
      <c r="G28" s="815"/>
      <c r="H28" s="816"/>
      <c r="I28" s="816"/>
      <c r="J28" s="816"/>
      <c r="K28" s="817"/>
    </row>
    <row r="29" spans="1:33" s="290" customFormat="1" ht="13.5" customHeight="1">
      <c r="A29" s="798" t="s">
        <v>358</v>
      </c>
      <c r="B29" s="820" t="s">
        <v>1643</v>
      </c>
      <c r="C29" s="283">
        <f ca="1">ROUND((1+C24)*F28*'数据-取费表'!B24/'数据-取费表'!B20,4)</f>
        <v>6.9999999999999999E-4</v>
      </c>
      <c r="D29" s="283"/>
      <c r="E29" s="284"/>
      <c r="F29" s="289"/>
      <c r="G29" s="130" t="s">
        <v>1644</v>
      </c>
      <c r="H29" s="805"/>
      <c r="I29" s="805"/>
      <c r="J29" s="805"/>
      <c r="K29" s="806"/>
    </row>
    <row r="30" spans="1:33" s="290" customFormat="1" ht="13.5" customHeight="1">
      <c r="A30" s="798" t="s">
        <v>359</v>
      </c>
      <c r="B30" s="820" t="s">
        <v>1645</v>
      </c>
      <c r="C30" s="291">
        <f ca="1">ROUND((C21+C22+C23)*F28,0)</f>
        <v>10</v>
      </c>
      <c r="D30" s="283"/>
      <c r="E30" s="284"/>
      <c r="F30" s="289"/>
      <c r="G30" s="130"/>
      <c r="H30" s="805"/>
      <c r="I30" s="805"/>
      <c r="J30" s="805"/>
      <c r="K30" s="806"/>
    </row>
    <row r="31" spans="1:33" s="801" customFormat="1" ht="13.5" customHeight="1" thickBot="1">
      <c r="A31" s="1862" t="s">
        <v>1646</v>
      </c>
      <c r="B31" s="831" t="s">
        <v>1647</v>
      </c>
      <c r="C31" s="832">
        <f ca="1">ROUND(C4*F31/(1+'数据-取费表'!C42),0)</f>
        <v>1460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25503</v>
      </c>
      <c r="D32" s="827"/>
      <c r="E32" s="827"/>
      <c r="F32" s="827"/>
      <c r="G32" s="829" t="s">
        <v>1650</v>
      </c>
      <c r="H32" s="827"/>
      <c r="I32" s="827"/>
      <c r="J32" s="827"/>
      <c r="K32" s="830"/>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11"/>
      <c r="C1" s="1375" t="s">
        <v>3</v>
      </c>
      <c r="D1" s="1358" t="s">
        <v>3471</v>
      </c>
      <c r="E1" s="1359" t="s">
        <v>678</v>
      </c>
      <c r="F1" s="1060">
        <f ca="1">J53</f>
        <v>33.96</v>
      </c>
      <c r="G1" s="1374">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27877</v>
      </c>
      <c r="C2" s="1383" t="s">
        <v>805</v>
      </c>
      <c r="D2" s="1383"/>
      <c r="E2" s="1384"/>
      <c r="F2" s="1385"/>
      <c r="G2" s="2701"/>
      <c r="H2" s="2690"/>
      <c r="I2" s="2690"/>
      <c r="J2" s="2690"/>
      <c r="K2" s="2691"/>
      <c r="L2" s="2690"/>
      <c r="M2" s="2690"/>
    </row>
    <row r="3" spans="1:37" ht="18" customHeight="1" thickBot="1">
      <c r="A3" s="1386" t="s">
        <v>806</v>
      </c>
      <c r="B3" s="1387">
        <f ca="1">IF(ISERROR(B2*10000/F43),0,ROUND(B2*10000/F43,0))</f>
        <v>7717</v>
      </c>
      <c r="C3" s="1383" t="s">
        <v>807</v>
      </c>
      <c r="D3" s="1383"/>
      <c r="E3" s="1384"/>
      <c r="F3" s="1385"/>
      <c r="G3" s="2701"/>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8">
        <f ca="1">C6+C10+C12</f>
        <v>1907</v>
      </c>
      <c r="D5" s="1360" t="s">
        <v>693</v>
      </c>
      <c r="E5" s="1069"/>
      <c r="F5" s="1070"/>
      <c r="G5" s="1380"/>
      <c r="H5" s="298">
        <v>1</v>
      </c>
      <c r="I5" s="299" t="s">
        <v>692</v>
      </c>
      <c r="J5" s="1068">
        <f ca="1">J6+J10+J12</f>
        <v>0</v>
      </c>
      <c r="K5" s="1360" t="s">
        <v>693</v>
      </c>
      <c r="L5" s="1069"/>
      <c r="M5" s="1070"/>
    </row>
    <row r="6" spans="1:37" ht="18" customHeight="1">
      <c r="A6" s="1067" t="s">
        <v>398</v>
      </c>
      <c r="B6" s="3695" t="s">
        <v>694</v>
      </c>
      <c r="C6" s="1072">
        <f ca="1">ROUND(F6*F8*F7*(1-F9)/10000,0)</f>
        <v>1905</v>
      </c>
      <c r="D6" s="154" t="s">
        <v>2109</v>
      </c>
      <c r="E6" s="301" t="s">
        <v>696</v>
      </c>
      <c r="F6" s="302">
        <f ca="1">INDIRECT("'数据-取费表'!u"&amp;$G$1)</f>
        <v>1.7</v>
      </c>
      <c r="G6" s="1380"/>
      <c r="H6" s="1067" t="s">
        <v>398</v>
      </c>
      <c r="I6" s="3695" t="s">
        <v>694</v>
      </c>
      <c r="J6" s="300">
        <f ca="1">ROUND(M6*M8*M7*(1-M9)/10000,0)</f>
        <v>0</v>
      </c>
      <c r="K6" s="154" t="s">
        <v>2108</v>
      </c>
      <c r="L6" s="301" t="s">
        <v>696</v>
      </c>
      <c r="M6" s="302">
        <f ca="1">INDIRECT("'数据-取费表'!z"&amp;$G$1)</f>
        <v>0</v>
      </c>
    </row>
    <row r="7" spans="1:37" ht="18" customHeight="1">
      <c r="A7" s="1071"/>
      <c r="B7" s="3696"/>
      <c r="C7" s="1073"/>
      <c r="D7" s="306"/>
      <c r="E7" s="1074" t="s">
        <v>697</v>
      </c>
      <c r="F7" s="302">
        <f ca="1">IF(INDIRECT("'数据-取费表'!ah"&amp;$G$1)="",INDIRECT("'数据-取费表'!k"&amp;$G$1),INDIRECT("'数据-取费表'!ah"&amp;$G$1))</f>
        <v>36123.300000000003</v>
      </c>
      <c r="G7" s="1380"/>
      <c r="H7" s="303"/>
      <c r="I7" s="3696"/>
      <c r="J7" s="305"/>
      <c r="K7" s="306"/>
      <c r="L7" s="301" t="s">
        <v>697</v>
      </c>
      <c r="M7" s="302">
        <f ca="1">F7</f>
        <v>36123.300000000003</v>
      </c>
    </row>
    <row r="8" spans="1:37" ht="18" customHeight="1">
      <c r="A8" s="303"/>
      <c r="B8" s="3696"/>
      <c r="C8" s="305"/>
      <c r="D8" s="306"/>
      <c r="E8" s="301" t="s">
        <v>698</v>
      </c>
      <c r="F8" s="302">
        <f ca="1">INDIRECT("'数据-取费表'!ai"&amp;$G$1)</f>
        <v>365</v>
      </c>
      <c r="G8" s="1380"/>
      <c r="H8" s="303"/>
      <c r="I8" s="3696"/>
      <c r="J8" s="305"/>
      <c r="K8" s="306"/>
      <c r="L8" s="301" t="s">
        <v>698</v>
      </c>
      <c r="M8" s="302">
        <f ca="1">INDIRECT("'数据-取费表'!ai"&amp;$G$1)</f>
        <v>365</v>
      </c>
    </row>
    <row r="9" spans="1:37" ht="18" customHeight="1">
      <c r="A9" s="303"/>
      <c r="B9" s="3697"/>
      <c r="C9" s="305"/>
      <c r="D9" s="306"/>
      <c r="E9" s="301" t="s">
        <v>699</v>
      </c>
      <c r="F9" s="311">
        <f ca="1">INDIRECT("'数据-取费表'!w"&amp;$G$1)</f>
        <v>0.15</v>
      </c>
      <c r="G9" s="1380"/>
      <c r="H9" s="303"/>
      <c r="I9" s="3697"/>
      <c r="J9" s="305"/>
      <c r="K9" s="306"/>
      <c r="L9" s="312" t="s">
        <v>699</v>
      </c>
      <c r="M9" s="313">
        <f ca="1">INDIRECT("'数据-取费表'!ab"&amp;$G$1)</f>
        <v>0</v>
      </c>
    </row>
    <row r="10" spans="1:37" ht="18" customHeight="1">
      <c r="A10" s="1067" t="s">
        <v>402</v>
      </c>
      <c r="B10" s="1361" t="s">
        <v>700</v>
      </c>
      <c r="C10" s="315">
        <f ca="1">ROUND(IF(F10="押一",C6/12*F11,IF(F10="押二",C6/12*2*F11,IF(F10="押三",C6/12*3*F11,C11*F11))),0)</f>
        <v>2</v>
      </c>
      <c r="D10" s="1362" t="s">
        <v>2117</v>
      </c>
      <c r="E10" s="312" t="s">
        <v>701</v>
      </c>
      <c r="F10" s="1112" t="s">
        <v>3391</v>
      </c>
      <c r="G10" s="1380"/>
      <c r="H10" s="1067" t="s">
        <v>402</v>
      </c>
      <c r="I10" s="1361" t="s">
        <v>700</v>
      </c>
      <c r="J10" s="300">
        <f ca="1">ROUND(IF(M10="押一",J6/12*M11,IF(M10="押二",J6/12*2*M11,IF(M10="押三",J6/12*3*M11,J11*M11))),0)</f>
        <v>0</v>
      </c>
      <c r="K10" s="1362" t="s">
        <v>2116</v>
      </c>
      <c r="L10" s="312" t="s">
        <v>701</v>
      </c>
      <c r="M10" s="1112"/>
    </row>
    <row r="11" spans="1:37" ht="18" customHeight="1">
      <c r="A11" s="307"/>
      <c r="B11" s="1363" t="s">
        <v>679</v>
      </c>
      <c r="C11" s="957"/>
      <c r="D11" s="1364"/>
      <c r="E11" s="312" t="s">
        <v>702</v>
      </c>
      <c r="F11" s="313">
        <f ca="1">'数据-取费表'!B39</f>
        <v>1.4999999999999999E-2</v>
      </c>
      <c r="G11" s="1380"/>
      <c r="H11" s="1075"/>
      <c r="I11" s="1363" t="s">
        <v>679</v>
      </c>
      <c r="J11" s="957"/>
      <c r="K11" s="682"/>
      <c r="L11" s="312" t="s">
        <v>702</v>
      </c>
      <c r="M11" s="860">
        <f ca="1">'数据-取费表'!B39</f>
        <v>1.4999999999999999E-2</v>
      </c>
    </row>
    <row r="12" spans="1:37" ht="18" customHeight="1" thickBot="1">
      <c r="A12" s="1081" t="s">
        <v>437</v>
      </c>
      <c r="B12" s="1365" t="s">
        <v>703</v>
      </c>
      <c r="C12" s="1082"/>
      <c r="D12" s="1083"/>
      <c r="E12" s="1088"/>
      <c r="F12" s="1084"/>
      <c r="G12" s="1380"/>
      <c r="H12" s="1081" t="s">
        <v>437</v>
      </c>
      <c r="I12" s="1365" t="s">
        <v>703</v>
      </c>
      <c r="J12" s="1082"/>
      <c r="K12" s="1096"/>
      <c r="L12" s="1088"/>
      <c r="M12" s="1097"/>
    </row>
    <row r="13" spans="1:37" ht="18" customHeight="1" thickTop="1">
      <c r="A13" s="1077">
        <v>2</v>
      </c>
      <c r="B13" s="1078" t="s">
        <v>704</v>
      </c>
      <c r="C13" s="309">
        <f ca="1">ROUND(C29*F13,0)</f>
        <v>15139</v>
      </c>
      <c r="D13" s="1079" t="s">
        <v>705</v>
      </c>
      <c r="E13" s="1079" t="s">
        <v>706</v>
      </c>
      <c r="F13" s="1080">
        <f ca="1">INDIRECT("'数据-取费表'!y"&amp;$G$1)</f>
        <v>1</v>
      </c>
      <c r="G13" s="1380"/>
      <c r="H13" s="1077">
        <v>2</v>
      </c>
      <c r="I13" s="1078" t="s">
        <v>704</v>
      </c>
      <c r="J13" s="1066">
        <f ca="1">ROUND(J14*J15,0)</f>
        <v>0</v>
      </c>
      <c r="K13" s="1085" t="s">
        <v>705</v>
      </c>
      <c r="L13" s="1388"/>
      <c r="M13" s="1389"/>
    </row>
    <row r="14" spans="1:37" ht="18" customHeight="1">
      <c r="A14" s="980" t="s">
        <v>397</v>
      </c>
      <c r="B14" s="301" t="s">
        <v>707</v>
      </c>
      <c r="C14" s="317">
        <f ca="1">INDIRECT("'数据-取费表'!m"&amp;$G$1)+INDIRECT("'数据-取费表'!t"&amp;$G$1)</f>
        <v>11313</v>
      </c>
      <c r="D14" s="1341" t="s">
        <v>708</v>
      </c>
      <c r="E14" s="1338"/>
      <c r="F14" s="318"/>
      <c r="G14" s="1380"/>
      <c r="H14" s="980" t="s">
        <v>398</v>
      </c>
      <c r="I14" s="301" t="s">
        <v>709</v>
      </c>
      <c r="J14" s="21">
        <f ca="1">C29</f>
        <v>15139</v>
      </c>
      <c r="K14" s="12"/>
      <c r="L14" s="805"/>
      <c r="M14" s="806"/>
    </row>
    <row r="15" spans="1:37" s="1393" customFormat="1" ht="18" customHeight="1" thickBot="1">
      <c r="A15" s="980" t="s">
        <v>399</v>
      </c>
      <c r="B15" s="301" t="s">
        <v>710</v>
      </c>
      <c r="C15" s="21">
        <f ca="1">ROUND(C14*F15,0)</f>
        <v>396</v>
      </c>
      <c r="D15" s="319" t="s">
        <v>711</v>
      </c>
      <c r="E15" s="319" t="s">
        <v>712</v>
      </c>
      <c r="F15" s="320">
        <f>'数据-取费表'!B33</f>
        <v>3.5000000000000003E-2</v>
      </c>
      <c r="G15" s="1392"/>
      <c r="H15" s="1087" t="s">
        <v>402</v>
      </c>
      <c r="I15" s="1088" t="s">
        <v>706</v>
      </c>
      <c r="J15" s="1097">
        <f ca="1">INDIRECT("'数据-取费表'!ad"&amp;$G$1)</f>
        <v>0</v>
      </c>
      <c r="K15" s="1098"/>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0"/>
      <c r="H16" s="1077" t="s">
        <v>393</v>
      </c>
      <c r="I16" s="1078" t="s">
        <v>714</v>
      </c>
      <c r="J16" s="309">
        <f ca="1">ROUND(J17+J22+J23+J24,0)</f>
        <v>154</v>
      </c>
      <c r="K16" s="1085" t="s">
        <v>715</v>
      </c>
      <c r="L16" s="1086"/>
      <c r="M16" s="1070"/>
    </row>
    <row r="17" spans="1:37" s="1393" customFormat="1" ht="18" customHeight="1">
      <c r="A17" s="980" t="s">
        <v>681</v>
      </c>
      <c r="B17" s="301" t="s">
        <v>716</v>
      </c>
      <c r="C17" s="21">
        <f ca="1">ROUND(F17*(F43+INDIRECT("'数据-取费表'!S"&amp;$G$1))/10000,0)</f>
        <v>754</v>
      </c>
      <c r="D17" s="301" t="s">
        <v>717</v>
      </c>
      <c r="E17" s="301" t="s">
        <v>718</v>
      </c>
      <c r="F17" s="23">
        <f>'数据-取费表'!B35</f>
        <v>200</v>
      </c>
      <c r="G17" s="1392"/>
      <c r="H17" s="980" t="s">
        <v>398</v>
      </c>
      <c r="I17" s="301" t="s">
        <v>719</v>
      </c>
      <c r="J17" s="2312">
        <f ca="1">ROUND(IF(AND(项目基本情况!B11="自然人",项目基本情况!B10="北京市"),J6*M17/(1+'数据-取费表'!C42),J18+J19+J20),2)</f>
        <v>2.73</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170</v>
      </c>
      <c r="D18" s="301" t="s">
        <v>711</v>
      </c>
      <c r="E18" s="301" t="s">
        <v>712</v>
      </c>
      <c r="F18" s="321">
        <f>'数据-取费表'!B36</f>
        <v>1.4999999999999999E-2</v>
      </c>
      <c r="G18" s="1392"/>
      <c r="H18" s="980" t="s">
        <v>397</v>
      </c>
      <c r="I18" s="301" t="s">
        <v>723</v>
      </c>
      <c r="J18" s="21">
        <f ca="1">ROUND(J6*M18/(1+'数据-取费表'!C42),2)</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12633</v>
      </c>
      <c r="D19" s="130" t="s">
        <v>726</v>
      </c>
      <c r="E19" s="1356"/>
      <c r="F19" s="23"/>
      <c r="G19" s="1380"/>
      <c r="H19" s="980" t="s">
        <v>399</v>
      </c>
      <c r="I19" s="301" t="s">
        <v>727</v>
      </c>
      <c r="J19" s="21">
        <f ca="1">IF(K19="按租金收入计税",ROUND(J6*M19/(1+'数据-取费表'!C42),2),ROUND(C29*M19*0.7,2))</f>
        <v>0</v>
      </c>
      <c r="K19" s="1366" t="s">
        <v>3340</v>
      </c>
      <c r="L19" s="301" t="s">
        <v>712</v>
      </c>
      <c r="M19" s="321">
        <f>IF(K19="按租金收入计税",'数据-取费表'!B51,'数据-取费表'!B50)</f>
        <v>0.12</v>
      </c>
    </row>
    <row r="20" spans="1:37" s="1393" customFormat="1" ht="18" customHeight="1">
      <c r="A20" s="980" t="s">
        <v>402</v>
      </c>
      <c r="B20" s="301" t="s">
        <v>728</v>
      </c>
      <c r="C20" s="21">
        <f ca="1">ROUND(C19*F20,0)</f>
        <v>253</v>
      </c>
      <c r="D20" s="322" t="s">
        <v>729</v>
      </c>
      <c r="E20" s="301" t="s">
        <v>712</v>
      </c>
      <c r="F20" s="321">
        <f>'数据-取费表'!B37</f>
        <v>0.02</v>
      </c>
      <c r="G20" s="1392"/>
      <c r="H20" s="980" t="s">
        <v>680</v>
      </c>
      <c r="I20" s="154" t="s">
        <v>730</v>
      </c>
      <c r="J20" s="22">
        <f ca="1">ROUND(M20*M21/10000,2)</f>
        <v>2.73</v>
      </c>
      <c r="K20" s="323" t="s">
        <v>731</v>
      </c>
      <c r="L20" s="301" t="s">
        <v>732</v>
      </c>
      <c r="M20" s="324">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15</v>
      </c>
      <c r="D21" s="322" t="s">
        <v>734</v>
      </c>
      <c r="E21" s="301" t="s">
        <v>735</v>
      </c>
      <c r="F21" s="321">
        <f>'数据-取费表'!B38</f>
        <v>0.02</v>
      </c>
      <c r="G21" s="1392"/>
      <c r="H21" s="325"/>
      <c r="I21" s="310"/>
      <c r="J21" s="26"/>
      <c r="K21" s="326"/>
      <c r="L21" s="301" t="s">
        <v>736</v>
      </c>
      <c r="M21" s="302">
        <f ca="1">INDIRECT("'数据-取费表'!r"&amp;$G$1)</f>
        <v>18193.390000000003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6"/>
      <c r="F22" s="23"/>
      <c r="G22" s="1380"/>
      <c r="H22" s="980" t="s">
        <v>402</v>
      </c>
      <c r="I22" s="301" t="s">
        <v>738</v>
      </c>
      <c r="J22" s="21">
        <f ca="1">ROUND(J14*M22,2)</f>
        <v>151.38999999999999</v>
      </c>
      <c r="K22" s="1340" t="s">
        <v>739</v>
      </c>
      <c r="L22" s="301" t="s">
        <v>712</v>
      </c>
      <c r="M22" s="327">
        <f ca="1">INDIRECT("'数据-取费表'!Ak"&amp;$G$1)</f>
        <v>0.01</v>
      </c>
    </row>
    <row r="23" spans="1:37" s="1393" customFormat="1" ht="18" customHeight="1">
      <c r="A23" s="980" t="s">
        <v>397</v>
      </c>
      <c r="B23" s="301" t="s">
        <v>740</v>
      </c>
      <c r="C23" s="21">
        <f ca="1">IF('数据-取费表'!B22&lt;=1,ROUND(C19*F24*F23/2,0)+ROUND(C20*F24*F23/2,0),ROUND(C19*(POWER((1+F24),F23/2)-1),0)+ROUND(C20*(POWER((1+F24),F23/2)-1),0))</f>
        <v>228</v>
      </c>
      <c r="D23" s="328" t="str">
        <f>IF(F23&lt;=1,"(建造成本+管理费用)×利率×(建设周期÷2)","(建造成本+管理费用)×((1+利率)^(建设周期÷2)-1)")</f>
        <v>(建造成本+管理费用)×利率×(建设周期÷2)</v>
      </c>
      <c r="E23" s="301" t="s">
        <v>741</v>
      </c>
      <c r="F23" s="324">
        <f>'数据-取费表'!B20</f>
        <v>1</v>
      </c>
      <c r="G23" s="1392"/>
      <c r="H23" s="980" t="s">
        <v>437</v>
      </c>
      <c r="I23" s="301" t="s">
        <v>742</v>
      </c>
      <c r="J23" s="21">
        <f ca="1">ROUND(J13*M23,2)</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3.5499999999999997E-2</v>
      </c>
      <c r="G24" s="1392"/>
      <c r="H24" s="1087" t="s">
        <v>684</v>
      </c>
      <c r="I24" s="1088" t="s">
        <v>728</v>
      </c>
      <c r="J24" s="1089">
        <f ca="1">ROUND(J5*M24,2)</f>
        <v>0</v>
      </c>
      <c r="K24" s="1090" t="s">
        <v>748</v>
      </c>
      <c r="L24" s="1088" t="s">
        <v>744</v>
      </c>
      <c r="M24" s="1084">
        <f ca="1">INDIRECT("'数据-取费表'!Am"&amp;$G$1)</f>
        <v>8.5000000000000006E-3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1" t="s">
        <v>750</v>
      </c>
      <c r="C25" s="21"/>
      <c r="D25" s="130" t="s">
        <v>751</v>
      </c>
      <c r="E25" s="1356"/>
      <c r="F25" s="23"/>
      <c r="G25" s="1380"/>
      <c r="H25" s="1077" t="s">
        <v>394</v>
      </c>
      <c r="I25" s="1092" t="s">
        <v>752</v>
      </c>
      <c r="J25" s="309">
        <f ca="1">J5-J16</f>
        <v>-154</v>
      </c>
      <c r="K25" s="1093" t="s">
        <v>753</v>
      </c>
      <c r="L25" s="1094"/>
      <c r="M25" s="1095"/>
    </row>
    <row r="26" spans="1:37">
      <c r="A26" s="980" t="s">
        <v>397</v>
      </c>
      <c r="B26" s="301" t="s">
        <v>754</v>
      </c>
      <c r="C26" s="21">
        <f ca="1">ROUND((C19+C20)*F26,0)</f>
        <v>902</v>
      </c>
      <c r="D26" s="322" t="s">
        <v>755</v>
      </c>
      <c r="E26" s="312" t="s">
        <v>756</v>
      </c>
      <c r="F26" s="311">
        <f ca="1">INDIRECT("'数据-取费表'!q"&amp;$G$1)</f>
        <v>7.0000000000000007E-2</v>
      </c>
      <c r="G26" s="1380"/>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1.4E-3</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7" t="s">
        <v>401</v>
      </c>
      <c r="B29" s="1088" t="s">
        <v>767</v>
      </c>
      <c r="C29" s="1089">
        <f ca="1">ROUND((C19+C20+C23+C26)/(1-F21-C24-C27-C28),0)</f>
        <v>15139</v>
      </c>
      <c r="D29" s="1090"/>
      <c r="E29" s="1088"/>
      <c r="F29" s="1091"/>
      <c r="G29" s="1392"/>
      <c r="H29" s="333" t="s">
        <v>396</v>
      </c>
      <c r="I29" s="334" t="s">
        <v>768</v>
      </c>
      <c r="J29" s="335">
        <f ca="1">ROUND(J26/(1+F40)^F41,0)</f>
        <v>0</v>
      </c>
      <c r="K29" s="336" t="s">
        <v>769</v>
      </c>
      <c r="L29" s="337"/>
      <c r="M29" s="338">
        <f ca="1">INDIRECT("'数据-取费表'!k"&amp;$G$1)</f>
        <v>36123.300000000003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7" t="s">
        <v>393</v>
      </c>
      <c r="B30" s="1078" t="s">
        <v>714</v>
      </c>
      <c r="C30" s="309">
        <f ca="1">ROUND(C31+C36+C37+C38,0)</f>
        <v>503</v>
      </c>
      <c r="D30" s="1085" t="s">
        <v>715</v>
      </c>
      <c r="E30" s="1086"/>
      <c r="F30" s="1070"/>
      <c r="G30" s="1380"/>
      <c r="H30" s="2692"/>
      <c r="I30" s="1394"/>
      <c r="J30" s="1395"/>
      <c r="K30" s="2470"/>
      <c r="L30" s="2693"/>
      <c r="M30" s="2694"/>
    </row>
    <row r="31" spans="1:37" ht="18" customHeight="1">
      <c r="A31" s="980" t="s">
        <v>398</v>
      </c>
      <c r="B31" s="301" t="s">
        <v>719</v>
      </c>
      <c r="C31" s="2312">
        <f ca="1">ROUND(IF(AND(项目基本情况!B11="自然人",项目基本情况!B10="北京市"),C6*F31/(1+'数据-取费表'!C42),C32+C33+C34),2)</f>
        <v>320.23</v>
      </c>
      <c r="D31" s="1341" t="s">
        <v>720</v>
      </c>
      <c r="E31" s="1340" t="s">
        <v>770</v>
      </c>
      <c r="F31" s="2311" t="str">
        <f>IF(项目基本情况!B11="企业","——",IF(M47="住宅",IF(F6*F7*F8/12/(1+'数据-取费表'!F30)&gt;100000,4%,2.5%),IF(F6*F7*F8/12/(1+'数据-取费表'!F30)&gt;100000,12%,7%)))</f>
        <v>——</v>
      </c>
      <c r="G31" s="1380"/>
      <c r="H31" s="2803" t="s">
        <v>2310</v>
      </c>
      <c r="I31" s="1394"/>
      <c r="J31" s="1395"/>
      <c r="K31" s="2470"/>
      <c r="L31" s="2693"/>
      <c r="M31" s="2694"/>
    </row>
    <row r="32" spans="1:37" ht="18" customHeight="1">
      <c r="A32" s="980" t="s">
        <v>397</v>
      </c>
      <c r="B32" s="301" t="s">
        <v>723</v>
      </c>
      <c r="C32" s="21">
        <f ca="1">IF(项目基本情况!B11="自然人","——",ROUND(C6*F32/(1+'数据-取费表'!C42),2))</f>
        <v>99.79</v>
      </c>
      <c r="D32" s="1340" t="s">
        <v>724</v>
      </c>
      <c r="E32" s="301" t="s">
        <v>712</v>
      </c>
      <c r="F32" s="330">
        <f>'数据-取费表'!B41</f>
        <v>5.5000000000000007E-2</v>
      </c>
      <c r="G32" s="1380"/>
      <c r="H32" s="2692"/>
      <c r="I32" s="1394"/>
      <c r="J32" s="1395"/>
      <c r="K32" s="2470"/>
      <c r="L32" s="2693"/>
      <c r="M32" s="2694"/>
    </row>
    <row r="33" spans="1:18" ht="18" customHeight="1">
      <c r="A33" s="980" t="s">
        <v>399</v>
      </c>
      <c r="B33" s="301" t="s">
        <v>727</v>
      </c>
      <c r="C33" s="21">
        <f ca="1">IF(项目基本情况!B11="自然人","——",IF(D33="按租金收入计税",ROUND(C6*F33/(1+'数据-取费表'!C42),2),IF(D33="按房产原值计税",ROUND(C29*F33*0.7,2),INDIRECT("'数据-取费表'!Aj"&amp;$G$1))))</f>
        <v>217.71</v>
      </c>
      <c r="D33" s="1366" t="s">
        <v>3340</v>
      </c>
      <c r="E33" s="301" t="s">
        <v>712</v>
      </c>
      <c r="F33" s="321">
        <f>IF(D33="按票据","——",IF(D33="按租金收入计税",'数据-取费表'!B51,'数据-取费表'!B50))</f>
        <v>0.12</v>
      </c>
      <c r="G33" s="1380"/>
      <c r="H33" s="2695"/>
      <c r="I33" s="1394"/>
      <c r="J33" s="1395"/>
      <c r="K33" s="2696"/>
      <c r="L33" s="2695"/>
      <c r="M33" s="2695"/>
    </row>
    <row r="34" spans="1:18" ht="18" customHeight="1">
      <c r="A34" s="1067" t="s">
        <v>680</v>
      </c>
      <c r="B34" s="154" t="s">
        <v>730</v>
      </c>
      <c r="C34" s="22">
        <f ca="1">IF(项目基本情况!B11="自然人","——",ROUND(F34*F35/10000,2))</f>
        <v>2.73</v>
      </c>
      <c r="D34" s="323" t="s">
        <v>731</v>
      </c>
      <c r="E34" s="301" t="s">
        <v>732</v>
      </c>
      <c r="F34" s="324">
        <f>'数据-取费表'!B52</f>
        <v>1.5</v>
      </c>
      <c r="G34" s="1380"/>
      <c r="H34" s="2692"/>
      <c r="I34" s="1394"/>
      <c r="J34" s="1395"/>
      <c r="K34" s="2697"/>
      <c r="L34" s="2698"/>
      <c r="M34" s="2698"/>
    </row>
    <row r="35" spans="1:18" ht="18" customHeight="1">
      <c r="A35" s="1101"/>
      <c r="B35" s="1099"/>
      <c r="C35" s="26"/>
      <c r="D35" s="326"/>
      <c r="E35" s="301" t="s">
        <v>736</v>
      </c>
      <c r="F35" s="302">
        <f ca="1">INDIRECT("'数据-取费表'!r"&amp;$G$1)</f>
        <v>18193.390000000003</v>
      </c>
      <c r="G35" s="1380"/>
      <c r="H35" s="2692"/>
      <c r="I35" s="1394"/>
      <c r="J35" s="1395"/>
      <c r="K35" s="2696"/>
      <c r="L35" s="2695"/>
      <c r="M35" s="2695"/>
    </row>
    <row r="36" spans="1:18" ht="18" customHeight="1">
      <c r="A36" s="1100" t="s">
        <v>402</v>
      </c>
      <c r="B36" s="301" t="s">
        <v>738</v>
      </c>
      <c r="C36" s="21">
        <f ca="1">ROUND(C29*F36,2)</f>
        <v>151.38999999999999</v>
      </c>
      <c r="D36" s="1340" t="s">
        <v>771</v>
      </c>
      <c r="E36" s="301" t="s">
        <v>712</v>
      </c>
      <c r="F36" s="327">
        <f ca="1">INDIRECT("'数据-取费表'!Ak"&amp;$G$1)</f>
        <v>0.01</v>
      </c>
      <c r="G36" s="1380"/>
      <c r="H36" s="2695"/>
      <c r="I36" s="1394"/>
      <c r="J36" s="1395"/>
      <c r="K36" s="2539"/>
      <c r="L36" s="2695"/>
      <c r="M36" s="2695"/>
    </row>
    <row r="37" spans="1:18" ht="18" customHeight="1">
      <c r="A37" s="980" t="s">
        <v>437</v>
      </c>
      <c r="B37" s="301" t="s">
        <v>742</v>
      </c>
      <c r="C37" s="21">
        <f ca="1">ROUND(C13*F37,2)</f>
        <v>15.14</v>
      </c>
      <c r="D37" s="1340" t="s">
        <v>743</v>
      </c>
      <c r="E37" s="301" t="s">
        <v>744</v>
      </c>
      <c r="F37" s="329">
        <f ca="1">INDIRECT("'数据-取费表'!Al"&amp;$G$1)</f>
        <v>1E-3</v>
      </c>
      <c r="G37" s="1380"/>
      <c r="H37" s="2695"/>
      <c r="I37" s="1394"/>
      <c r="J37" s="1395"/>
      <c r="K37" s="2539"/>
      <c r="L37" s="2695"/>
      <c r="M37" s="2695"/>
    </row>
    <row r="38" spans="1:18" ht="18" customHeight="1" thickBot="1">
      <c r="A38" s="1087" t="s">
        <v>684</v>
      </c>
      <c r="B38" s="1088" t="s">
        <v>728</v>
      </c>
      <c r="C38" s="1089">
        <f ca="1">ROUND(C5*F38,2)</f>
        <v>16.21</v>
      </c>
      <c r="D38" s="1090" t="s">
        <v>748</v>
      </c>
      <c r="E38" s="1088" t="s">
        <v>744</v>
      </c>
      <c r="F38" s="1084">
        <f ca="1">INDIRECT("'数据-取费表'!Am"&amp;$G$1)</f>
        <v>8.5000000000000006E-3</v>
      </c>
      <c r="G38" s="1380"/>
      <c r="H38" s="2695"/>
      <c r="I38" s="1394"/>
      <c r="J38" s="1395"/>
      <c r="K38" s="2699"/>
      <c r="L38" s="2695"/>
      <c r="M38" s="2695"/>
    </row>
    <row r="39" spans="1:18" ht="24.6" customHeight="1" thickTop="1">
      <c r="A39" s="1077" t="s">
        <v>394</v>
      </c>
      <c r="B39" s="1092" t="s">
        <v>772</v>
      </c>
      <c r="C39" s="309">
        <f ca="1">C5-C30</f>
        <v>1404</v>
      </c>
      <c r="D39" s="1093" t="s">
        <v>773</v>
      </c>
      <c r="E39" s="1094"/>
      <c r="F39" s="1095"/>
      <c r="G39" s="1380"/>
      <c r="H39" s="2695"/>
      <c r="I39" s="1394"/>
      <c r="J39" s="1395"/>
      <c r="K39" s="2699"/>
      <c r="L39" s="2695"/>
      <c r="M39" s="2695"/>
    </row>
    <row r="40" spans="1:18" ht="18" customHeight="1">
      <c r="A40" s="298" t="s">
        <v>395</v>
      </c>
      <c r="B40" s="299" t="s">
        <v>774</v>
      </c>
      <c r="C40" s="300">
        <f ca="1">ROUND(C39*(1-((1+F42)/(1+F40))^F41)/(F40-F42),0)</f>
        <v>27358</v>
      </c>
      <c r="D40" s="323" t="s">
        <v>758</v>
      </c>
      <c r="E40" s="301" t="s">
        <v>759</v>
      </c>
      <c r="F40" s="311">
        <f ca="1">INDIRECT("'数据-取费表'!I"&amp;$G$1)</f>
        <v>5.5E-2</v>
      </c>
      <c r="G40" s="1380"/>
      <c r="H40" s="1457"/>
      <c r="I40" s="1394"/>
      <c r="J40" s="1395"/>
      <c r="K40" s="2699"/>
      <c r="L40" s="1457"/>
      <c r="M40" s="1457"/>
    </row>
    <row r="41" spans="1:18" ht="18" customHeight="1">
      <c r="A41" s="303"/>
      <c r="B41" s="304"/>
      <c r="C41" s="305"/>
      <c r="D41" s="331" t="s">
        <v>775</v>
      </c>
      <c r="E41" s="301" t="s">
        <v>763</v>
      </c>
      <c r="F41" s="332">
        <f ca="1">IF(INDIRECT("'数据-取费表'!af"&amp;$G$1)=0,INDIRECT("'数据-取费表'!ae"&amp;$G$1),INDIRECT("'数据-取费表'!af"&amp;$G$1))</f>
        <v>33.96</v>
      </c>
      <c r="G41" s="1380"/>
      <c r="H41" s="1187"/>
      <c r="I41" s="1394"/>
      <c r="J41" s="1395"/>
      <c r="K41" s="2539"/>
      <c r="L41" s="1187"/>
      <c r="M41" s="1187"/>
    </row>
    <row r="42" spans="1:18" ht="18" customHeight="1">
      <c r="A42" s="307"/>
      <c r="B42" s="308"/>
      <c r="C42" s="309"/>
      <c r="D42" s="326"/>
      <c r="E42" s="301" t="s">
        <v>766</v>
      </c>
      <c r="F42" s="311">
        <f ca="1">INDIRECT("'数据-取费表'!v"&amp;$G$1)</f>
        <v>0.02</v>
      </c>
      <c r="G42" s="1380"/>
      <c r="H42" s="1187"/>
      <c r="I42" s="1394"/>
      <c r="J42" s="1395"/>
      <c r="K42" s="2539"/>
      <c r="L42" s="1187"/>
      <c r="M42" s="1187"/>
    </row>
    <row r="43" spans="1:18" ht="18" customHeight="1" thickBot="1">
      <c r="A43" s="333" t="s">
        <v>396</v>
      </c>
      <c r="B43" s="334" t="s">
        <v>776</v>
      </c>
      <c r="C43" s="335">
        <f ca="1">ROUND(C40*10000/F43,0)</f>
        <v>7574</v>
      </c>
      <c r="D43" s="336" t="s">
        <v>777</v>
      </c>
      <c r="E43" s="337" t="s">
        <v>778</v>
      </c>
      <c r="F43" s="338">
        <f ca="1">INDIRECT("'数据-取费表'!k"&amp;$G$1)</f>
        <v>36123.300000000003</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808</v>
      </c>
      <c r="P45" s="1457"/>
      <c r="Q45" s="1457"/>
      <c r="R45" s="1457"/>
    </row>
    <row r="46" spans="1:18" s="1380" customFormat="1" ht="13.8" thickBot="1">
      <c r="A46" s="1400" t="s">
        <v>809</v>
      </c>
      <c r="C46" s="1401">
        <f ca="1">C68-C40</f>
        <v>-29947</v>
      </c>
      <c r="D46" s="1402" t="str">
        <f>C2</f>
        <v>万元</v>
      </c>
      <c r="E46" s="1396"/>
      <c r="F46" s="1396"/>
      <c r="I46" s="1403" t="s">
        <v>810</v>
      </c>
      <c r="J46" s="1404"/>
      <c r="K46" s="1405"/>
      <c r="L46" s="1406">
        <f ca="1">IF(M47="住宅",0,IF(L48&gt;J51,L60,J60))</f>
        <v>519</v>
      </c>
      <c r="O46" s="1407" t="s">
        <v>811</v>
      </c>
      <c r="P46" s="1408" t="s">
        <v>812</v>
      </c>
      <c r="Q46" s="1409" t="s">
        <v>813</v>
      </c>
      <c r="R46" s="1409" t="s">
        <v>814</v>
      </c>
    </row>
    <row r="47" spans="1:18" s="1380" customFormat="1" ht="13.8" thickBot="1">
      <c r="A47" s="944" t="s">
        <v>687</v>
      </c>
      <c r="B47" s="976" t="s">
        <v>688</v>
      </c>
      <c r="C47" s="1113" t="s">
        <v>689</v>
      </c>
      <c r="D47" s="976" t="s">
        <v>690</v>
      </c>
      <c r="E47" s="1056" t="s">
        <v>691</v>
      </c>
      <c r="F47" s="1057"/>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27358</v>
      </c>
      <c r="R47" s="1416" t="s">
        <v>818</v>
      </c>
    </row>
    <row r="48" spans="1:18" s="1380" customFormat="1" ht="40.200000000000003" thickBot="1">
      <c r="A48" s="1106" t="s">
        <v>438</v>
      </c>
      <c r="B48" s="299" t="s">
        <v>692</v>
      </c>
      <c r="C48" s="1355">
        <f ca="1">C49+C53+C55</f>
        <v>0</v>
      </c>
      <c r="D48" s="1108"/>
      <c r="E48" s="1109"/>
      <c r="F48" s="960"/>
      <c r="G48" s="720"/>
      <c r="H48" s="721"/>
      <c r="I48" s="1417" t="s">
        <v>819</v>
      </c>
      <c r="J48" s="1418" t="s">
        <v>3454</v>
      </c>
      <c r="K48" s="1419" t="s">
        <v>820</v>
      </c>
      <c r="L48" s="1420">
        <f ca="1">INDIRECT("'数据-取费表'!f"&amp;$G$1)</f>
        <v>33.97</v>
      </c>
      <c r="O48" s="1414" t="s">
        <v>404</v>
      </c>
      <c r="P48" s="1415" t="s">
        <v>821</v>
      </c>
      <c r="Q48" s="1416">
        <f ca="1">J60</f>
        <v>519</v>
      </c>
      <c r="R48" s="1416" t="s">
        <v>822</v>
      </c>
    </row>
    <row r="49" spans="1:18" s="1380" customFormat="1" ht="13.8" thickBot="1">
      <c r="A49" s="973" t="s">
        <v>439</v>
      </c>
      <c r="B49" s="1367" t="s">
        <v>779</v>
      </c>
      <c r="C49" s="1110">
        <f ca="1">ROUND(F49*F51*F50*(1-F52)/10000,0)</f>
        <v>0</v>
      </c>
      <c r="D49" s="1053" t="s">
        <v>2110</v>
      </c>
      <c r="E49" s="1368" t="s">
        <v>780</v>
      </c>
      <c r="F49" s="1058"/>
      <c r="G49" s="1421"/>
      <c r="H49" s="721"/>
      <c r="I49" s="1417" t="s">
        <v>823</v>
      </c>
      <c r="J49" s="1422">
        <v>2022</v>
      </c>
      <c r="K49" s="1419" t="s">
        <v>824</v>
      </c>
      <c r="L49" s="1423"/>
      <c r="O49" s="1424" t="s">
        <v>405</v>
      </c>
      <c r="P49" s="1415" t="s">
        <v>825</v>
      </c>
      <c r="Q49" s="1416">
        <f ca="1">C29</f>
        <v>15139</v>
      </c>
      <c r="R49" s="1416" t="s">
        <v>818</v>
      </c>
    </row>
    <row r="50" spans="1:18" s="1380" customFormat="1" ht="13.8" thickBot="1">
      <c r="A50" s="974"/>
      <c r="B50" s="977"/>
      <c r="C50" s="1114"/>
      <c r="D50" s="951"/>
      <c r="E50" s="1054" t="s">
        <v>697</v>
      </c>
      <c r="F50" s="1055">
        <f ca="1">F7</f>
        <v>36123.300000000003</v>
      </c>
      <c r="H50" s="721"/>
      <c r="I50" s="1417" t="s">
        <v>826</v>
      </c>
      <c r="J50" s="1425">
        <f>SUMPRODUCT((I63:I65=J47)*(J62:L62=J48)*(J63:L65))</f>
        <v>50</v>
      </c>
      <c r="K50" s="1419" t="s">
        <v>827</v>
      </c>
      <c r="L50" s="1423"/>
      <c r="M50" s="1426"/>
      <c r="O50" s="1424" t="s">
        <v>406</v>
      </c>
      <c r="P50" s="1415" t="s">
        <v>828</v>
      </c>
      <c r="Q50" s="1427">
        <f ca="1">J58</f>
        <v>0.4</v>
      </c>
      <c r="R50" s="1416"/>
    </row>
    <row r="51" spans="1:18" s="1380" customFormat="1" ht="13.8" thickBot="1">
      <c r="A51" s="975"/>
      <c r="B51" s="977"/>
      <c r="C51" s="978"/>
      <c r="D51" s="951"/>
      <c r="E51" s="979" t="s">
        <v>698</v>
      </c>
      <c r="F51" s="302">
        <f ca="1">F8</f>
        <v>365</v>
      </c>
      <c r="I51" s="1428" t="s">
        <v>829</v>
      </c>
      <c r="J51" s="1429">
        <f>IF(J49="",J50,J49+J50-YEAR('数据-取费表'!B2))</f>
        <v>49</v>
      </c>
      <c r="K51" s="1430" t="s">
        <v>830</v>
      </c>
      <c r="L51" s="1431">
        <f ca="1">ROUND(-PV(INDIRECT("'数据-取费表'!h"&amp;$G$1),J51,(C39-C13*C76),0),0)</f>
        <v>6255</v>
      </c>
      <c r="M51" s="1432"/>
      <c r="O51" s="1424" t="s">
        <v>407</v>
      </c>
      <c r="P51" s="1415" t="s">
        <v>831</v>
      </c>
      <c r="Q51" s="1427">
        <f>J52</f>
        <v>7.4999999999999997E-2</v>
      </c>
      <c r="R51" s="1416"/>
    </row>
    <row r="52" spans="1:18" s="1380" customFormat="1" ht="13.8" thickBot="1">
      <c r="A52" s="975"/>
      <c r="B52" s="977"/>
      <c r="C52" s="978"/>
      <c r="D52" s="951"/>
      <c r="E52" s="979" t="s">
        <v>699</v>
      </c>
      <c r="F52" s="1052"/>
      <c r="I52" s="1433" t="s">
        <v>832</v>
      </c>
      <c r="J52" s="1434">
        <v>7.4999999999999997E-2</v>
      </c>
      <c r="K52" s="1433" t="s">
        <v>833</v>
      </c>
      <c r="L52" s="1434"/>
      <c r="O52" s="1424" t="s">
        <v>408</v>
      </c>
      <c r="P52" s="1415" t="s">
        <v>834</v>
      </c>
      <c r="Q52" s="1416">
        <f ca="1">J53</f>
        <v>33.96</v>
      </c>
      <c r="R52" s="1416" t="s">
        <v>835</v>
      </c>
    </row>
    <row r="53" spans="1:18" s="1380" customFormat="1" ht="36.6"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33.96</v>
      </c>
      <c r="K53" s="3693" t="s">
        <v>837</v>
      </c>
      <c r="L53" s="3694"/>
      <c r="O53" s="1414" t="s">
        <v>409</v>
      </c>
      <c r="P53" s="1415" t="s">
        <v>838</v>
      </c>
      <c r="Q53" s="1416">
        <f ca="1">Q47+Q48</f>
        <v>27877</v>
      </c>
      <c r="R53" s="1416" t="s">
        <v>410</v>
      </c>
    </row>
    <row r="54" spans="1:18" s="1380" customFormat="1" ht="24.6" thickBot="1">
      <c r="A54" s="1149"/>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81" t="s">
        <v>437</v>
      </c>
      <c r="B55" s="1365" t="s">
        <v>703</v>
      </c>
      <c r="C55" s="1082"/>
      <c r="D55" s="1362"/>
      <c r="E55" s="1370"/>
      <c r="F55" s="1436"/>
      <c r="I55" s="1439" t="s">
        <v>840</v>
      </c>
      <c r="J55" s="1440">
        <f ca="1">ROUND(IF(J47="钢混",J57/J50,1-(1-2%)*(J50-J57)/J50),3)</f>
        <v>0.30099999999999999</v>
      </c>
      <c r="K55" s="1441" t="s">
        <v>841</v>
      </c>
      <c r="L55" s="1442"/>
      <c r="O55" s="1407" t="s">
        <v>811</v>
      </c>
      <c r="P55" s="1408" t="s">
        <v>812</v>
      </c>
      <c r="Q55" s="1409" t="s">
        <v>813</v>
      </c>
      <c r="R55" s="1409" t="s">
        <v>814</v>
      </c>
    </row>
    <row r="56" spans="1:18" s="1380" customFormat="1" ht="37.200000000000003" thickTop="1" thickBot="1">
      <c r="A56" s="955">
        <v>2</v>
      </c>
      <c r="B56" s="956" t="s">
        <v>704</v>
      </c>
      <c r="C56" s="231">
        <f ca="1">C13</f>
        <v>15139</v>
      </c>
      <c r="D56" s="1443"/>
      <c r="E56" s="1444"/>
      <c r="F56" s="1436"/>
      <c r="I56" s="1445" t="s">
        <v>842</v>
      </c>
      <c r="J56" s="3805" t="s">
        <v>3380</v>
      </c>
      <c r="K56" s="1417" t="s">
        <v>843</v>
      </c>
      <c r="L56" s="1420" t="str">
        <f ca="1">IF(L48&lt;J51,"——",L48-J53)</f>
        <v>——</v>
      </c>
      <c r="O56" s="1414" t="s">
        <v>403</v>
      </c>
      <c r="P56" s="1415" t="s">
        <v>817</v>
      </c>
      <c r="Q56" s="1416">
        <f ca="1">C40+J29</f>
        <v>27358</v>
      </c>
      <c r="R56" s="1416" t="s">
        <v>818</v>
      </c>
    </row>
    <row r="57" spans="1:18" s="1380" customFormat="1" ht="24.6" thickBot="1">
      <c r="A57" s="1447"/>
      <c r="B57" s="948" t="s">
        <v>767</v>
      </c>
      <c r="C57" s="237">
        <f ca="1">C29</f>
        <v>15139</v>
      </c>
      <c r="D57" s="1448"/>
      <c r="E57" s="1449"/>
      <c r="F57" s="1450"/>
      <c r="I57" s="1451" t="s">
        <v>844</v>
      </c>
      <c r="J57" s="1452">
        <f ca="1">IF(OR(M47="住宅",J51&lt;L48,J56="是"),"——",J51-L48)</f>
        <v>15.030000000000001</v>
      </c>
      <c r="K57" s="1417" t="s">
        <v>845</v>
      </c>
      <c r="L57" s="1420" t="str">
        <f ca="1">IF(L48&lt;J51,"——",IF(L55="比较法",L49,IF(L55="基准地价",L50,L51)))</f>
        <v>——</v>
      </c>
      <c r="O57" s="1414" t="s">
        <v>404</v>
      </c>
      <c r="P57" s="1415" t="s">
        <v>846</v>
      </c>
      <c r="Q57" s="1416">
        <f ca="1">L60</f>
        <v>0</v>
      </c>
      <c r="R57" s="1416" t="s">
        <v>847</v>
      </c>
    </row>
    <row r="58" spans="1:18" s="1380" customFormat="1" ht="24.6" thickBot="1">
      <c r="A58" s="314" t="s">
        <v>393</v>
      </c>
      <c r="B58" s="956" t="s">
        <v>714</v>
      </c>
      <c r="C58" s="315">
        <f ca="1">ROUND(C59+C64+C65+C66,0)</f>
        <v>170</v>
      </c>
      <c r="D58" s="958" t="s">
        <v>715</v>
      </c>
      <c r="E58" s="959"/>
      <c r="F58" s="960"/>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80" t="s">
        <v>398</v>
      </c>
      <c r="B59" s="948" t="s">
        <v>719</v>
      </c>
      <c r="C59" s="2312">
        <f ca="1">ROUND(IF(AND(项目基本情况!B11="自然人",项目基本情况!B10="北京市"),C49*F59/(1+'数据-取费表'!C42),C60+C61+C62),0)</f>
        <v>3</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6056</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80" t="s">
        <v>397</v>
      </c>
      <c r="B60" s="948" t="s">
        <v>723</v>
      </c>
      <c r="C60" s="21">
        <f ca="1">IF(项目基本情况!B11="自然人","——",ROUND(C48*F60/(1+'数据-取费表'!C42),2))</f>
        <v>0</v>
      </c>
      <c r="D60" s="962" t="s">
        <v>724</v>
      </c>
      <c r="E60" s="948" t="s">
        <v>712</v>
      </c>
      <c r="F60" s="330">
        <f t="shared" ref="F60:F66" si="0">F32</f>
        <v>5.5000000000000007E-2</v>
      </c>
      <c r="I60" s="1454" t="s">
        <v>853</v>
      </c>
      <c r="J60" s="1455">
        <f ca="1">IF(OR(M47="住宅",J51&lt;L48,J56="是"),"0",ROUND(J59/(1+J52)^J53,0))</f>
        <v>519</v>
      </c>
      <c r="K60" s="1456" t="s">
        <v>854</v>
      </c>
      <c r="L60" s="1455">
        <f ca="1">IF(OR(M47="住宅",L48&lt;J51),0,ROUND(L57*(L58/L59-1),0))</f>
        <v>0</v>
      </c>
      <c r="O60" s="1424" t="s">
        <v>407</v>
      </c>
      <c r="P60" s="1415" t="s">
        <v>855</v>
      </c>
      <c r="Q60" s="1416" t="e">
        <f ca="1">L58</f>
        <v>#DIV/0!</v>
      </c>
      <c r="R60" s="1416" t="s">
        <v>856</v>
      </c>
    </row>
    <row r="61" spans="1:18" s="1380" customFormat="1" ht="13.8" thickBot="1">
      <c r="A61" s="980" t="s">
        <v>781</v>
      </c>
      <c r="B61" s="948" t="s">
        <v>782</v>
      </c>
      <c r="C61" s="21">
        <f ca="1">IF(项目基本情况!B11="自然人","——",IF(D61="按租金收入计税",ROUND(C49*F61/(1+'数据-取费表'!C42),2),IF(D61="按房产原值计税",ROUND(C57*F61*0.7,2),INDIRECT("'数据-取费表'!Aj"&amp;$G$1))))</f>
        <v>0</v>
      </c>
      <c r="D61" s="1366" t="s">
        <v>3340</v>
      </c>
      <c r="E61" s="948" t="s">
        <v>783</v>
      </c>
      <c r="F61" s="321">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8" thickBot="1">
      <c r="A62" s="980" t="s">
        <v>784</v>
      </c>
      <c r="B62" s="947" t="s">
        <v>785</v>
      </c>
      <c r="C62" s="22">
        <f ca="1">IF(项目基本情况!B11="自然人","——",ROUND(F62*F63/10000,2))</f>
        <v>2.73</v>
      </c>
      <c r="D62" s="963" t="s">
        <v>786</v>
      </c>
      <c r="E62" s="948" t="s">
        <v>787</v>
      </c>
      <c r="F62" s="324">
        <f t="shared" si="0"/>
        <v>1.5</v>
      </c>
      <c r="I62" s="1458" t="s">
        <v>858</v>
      </c>
      <c r="J62" s="1459" t="s">
        <v>859</v>
      </c>
      <c r="K62" s="1459" t="s">
        <v>860</v>
      </c>
      <c r="L62" s="1459" t="s">
        <v>861</v>
      </c>
      <c r="M62" s="1460" t="s">
        <v>862</v>
      </c>
      <c r="O62" s="1414" t="s">
        <v>409</v>
      </c>
      <c r="P62" s="1415" t="s">
        <v>863</v>
      </c>
      <c r="Q62" s="1416">
        <f ca="1">Q56+Q57</f>
        <v>27358</v>
      </c>
      <c r="R62" s="1416" t="s">
        <v>410</v>
      </c>
    </row>
    <row r="63" spans="1:18" s="1380" customFormat="1" ht="13.8" thickBot="1">
      <c r="A63" s="325"/>
      <c r="B63" s="954"/>
      <c r="C63" s="26"/>
      <c r="D63" s="964"/>
      <c r="E63" s="948" t="s">
        <v>788</v>
      </c>
      <c r="F63" s="302">
        <f t="shared" ca="1" si="0"/>
        <v>18193.390000000003</v>
      </c>
      <c r="I63" s="1458" t="s">
        <v>864</v>
      </c>
      <c r="J63" s="1459">
        <v>70</v>
      </c>
      <c r="K63" s="1459">
        <v>50</v>
      </c>
      <c r="L63" s="1459">
        <v>80</v>
      </c>
      <c r="M63" s="1461">
        <v>0.02</v>
      </c>
      <c r="O63" s="1399" t="s">
        <v>865</v>
      </c>
      <c r="P63" s="1377"/>
      <c r="Q63" s="1377"/>
      <c r="R63" s="1377"/>
    </row>
    <row r="64" spans="1:18" s="1380" customFormat="1" ht="13.8" thickBot="1">
      <c r="A64" s="980" t="s">
        <v>789</v>
      </c>
      <c r="B64" s="948" t="s">
        <v>790</v>
      </c>
      <c r="C64" s="21">
        <f ca="1">ROUND(C57*F64,2)</f>
        <v>151.38999999999999</v>
      </c>
      <c r="D64" s="962" t="s">
        <v>791</v>
      </c>
      <c r="E64" s="948" t="s">
        <v>783</v>
      </c>
      <c r="F64" s="327">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80" t="s">
        <v>792</v>
      </c>
      <c r="B65" s="948" t="s">
        <v>742</v>
      </c>
      <c r="C65" s="21">
        <f ca="1">ROUND(C56*F65,2)</f>
        <v>15.14</v>
      </c>
      <c r="D65" s="962" t="s">
        <v>743</v>
      </c>
      <c r="E65" s="948" t="s">
        <v>744</v>
      </c>
      <c r="F65" s="329">
        <f t="shared" ca="1" si="0"/>
        <v>1E-3</v>
      </c>
      <c r="I65" s="1458" t="s">
        <v>867</v>
      </c>
      <c r="J65" s="1459">
        <v>40</v>
      </c>
      <c r="K65" s="1459">
        <v>30</v>
      </c>
      <c r="L65" s="1459">
        <v>50</v>
      </c>
      <c r="M65" s="1461">
        <v>0.02</v>
      </c>
      <c r="O65" s="1414" t="s">
        <v>403</v>
      </c>
      <c r="P65" s="1415" t="s">
        <v>868</v>
      </c>
      <c r="Q65" s="1416">
        <f ca="1">C40+J29</f>
        <v>27358</v>
      </c>
      <c r="R65" s="1416" t="s">
        <v>818</v>
      </c>
    </row>
    <row r="66" spans="1:18" s="1380" customFormat="1" ht="16.2" thickBot="1">
      <c r="A66" s="980" t="s">
        <v>793</v>
      </c>
      <c r="B66" s="948" t="s">
        <v>728</v>
      </c>
      <c r="C66" s="21">
        <f ca="1">ROUND(C48*F66,2)</f>
        <v>0</v>
      </c>
      <c r="D66" s="962" t="s">
        <v>794</v>
      </c>
      <c r="E66" s="948" t="s">
        <v>712</v>
      </c>
      <c r="F66" s="311">
        <f t="shared" ca="1" si="0"/>
        <v>8.5000000000000006E-3</v>
      </c>
      <c r="O66" s="1414" t="s">
        <v>404</v>
      </c>
      <c r="P66" s="1415" t="s">
        <v>846</v>
      </c>
      <c r="Q66" s="1416">
        <f ca="1">L60</f>
        <v>0</v>
      </c>
      <c r="R66" s="1416" t="s">
        <v>869</v>
      </c>
    </row>
    <row r="67" spans="1:18" s="1380" customFormat="1" ht="24.6" thickBot="1">
      <c r="A67" s="955" t="s">
        <v>394</v>
      </c>
      <c r="B67" s="965" t="s">
        <v>752</v>
      </c>
      <c r="C67" s="315">
        <f ca="1">C48-C58</f>
        <v>-170</v>
      </c>
      <c r="D67" s="961" t="s">
        <v>753</v>
      </c>
      <c r="E67" s="966"/>
      <c r="F67" s="967"/>
      <c r="O67" s="1424" t="s">
        <v>405</v>
      </c>
      <c r="P67" s="1415" t="s">
        <v>850</v>
      </c>
      <c r="Q67" s="1462">
        <f ca="1">L51</f>
        <v>6255</v>
      </c>
      <c r="R67" s="1416" t="s">
        <v>870</v>
      </c>
    </row>
    <row r="68" spans="1:18" s="1380" customFormat="1" ht="16.2" thickBot="1">
      <c r="A68" s="945" t="s">
        <v>395</v>
      </c>
      <c r="B68" s="946" t="s">
        <v>774</v>
      </c>
      <c r="C68" s="300">
        <f ca="1">ROUND(C67*(1-((1+F70)/(1+F68))^F69)/(F68-F70),0)</f>
        <v>-2589</v>
      </c>
      <c r="D68" s="963" t="s">
        <v>758</v>
      </c>
      <c r="E68" s="948" t="s">
        <v>759</v>
      </c>
      <c r="F68" s="311">
        <f ca="1">F40</f>
        <v>5.5E-2</v>
      </c>
      <c r="O68" s="1424" t="s">
        <v>406</v>
      </c>
      <c r="P68" s="1463" t="s">
        <v>871</v>
      </c>
      <c r="Q68" s="1416">
        <f ca="1">ROUND(Q69-Q70*Q71,0)</f>
        <v>344</v>
      </c>
      <c r="R68" s="1416" t="s">
        <v>414</v>
      </c>
    </row>
    <row r="69" spans="1:18" s="1380" customFormat="1" ht="13.8" thickBot="1">
      <c r="A69" s="949"/>
      <c r="B69" s="950"/>
      <c r="C69" s="305"/>
      <c r="D69" s="968" t="s">
        <v>762</v>
      </c>
      <c r="E69" s="948" t="s">
        <v>763</v>
      </c>
      <c r="F69" s="332">
        <f ca="1">F41</f>
        <v>33.96</v>
      </c>
      <c r="O69" s="1424" t="s">
        <v>411</v>
      </c>
      <c r="P69" s="1463" t="s">
        <v>872</v>
      </c>
      <c r="Q69" s="1416">
        <f ca="1">C39</f>
        <v>1404</v>
      </c>
      <c r="R69" s="1416" t="s">
        <v>818</v>
      </c>
    </row>
    <row r="70" spans="1:18" s="1380" customFormat="1" ht="13.8" thickBot="1">
      <c r="A70" s="952"/>
      <c r="B70" s="953"/>
      <c r="C70" s="309"/>
      <c r="D70" s="964"/>
      <c r="E70" s="948" t="s">
        <v>766</v>
      </c>
      <c r="F70" s="1052"/>
      <c r="O70" s="1424" t="s">
        <v>412</v>
      </c>
      <c r="P70" s="1463" t="s">
        <v>873</v>
      </c>
      <c r="Q70" s="1416">
        <f ca="1">C13</f>
        <v>15139</v>
      </c>
      <c r="R70" s="1416" t="s">
        <v>818</v>
      </c>
    </row>
    <row r="71" spans="1:18" s="1380" customFormat="1" ht="13.8" thickBot="1">
      <c r="A71" s="969" t="s">
        <v>396</v>
      </c>
      <c r="B71" s="970" t="s">
        <v>776</v>
      </c>
      <c r="C71" s="335">
        <f ca="1">ROUND(C68*10000/F71,0)</f>
        <v>-717</v>
      </c>
      <c r="D71" s="971" t="s">
        <v>777</v>
      </c>
      <c r="E71" s="972" t="s">
        <v>778</v>
      </c>
      <c r="F71" s="338">
        <f ca="1">F43</f>
        <v>36123.300000000003</v>
      </c>
      <c r="O71" s="1424" t="s">
        <v>413</v>
      </c>
      <c r="P71" s="1463" t="s">
        <v>874</v>
      </c>
      <c r="Q71" s="1427">
        <f ca="1">C76</f>
        <v>7.0000000000000007E-2</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续建工期及建筑物耐用年限下的土地年期修正系数Kn</v>
      </c>
      <c r="Q74" s="1416" t="e">
        <f ca="1">L59</f>
        <v>#DIV/0!</v>
      </c>
      <c r="R74" s="1416" t="s">
        <v>857</v>
      </c>
    </row>
    <row r="75" spans="1:18" ht="13.8" thickBot="1">
      <c r="A75" s="1380"/>
      <c r="B75" s="339" t="s">
        <v>795</v>
      </c>
      <c r="C75" s="340">
        <f ca="1">ROUND(C13*C76,0)</f>
        <v>1060</v>
      </c>
      <c r="D75" s="1380"/>
      <c r="E75" s="1380"/>
      <c r="F75" s="1380"/>
      <c r="K75" s="1398"/>
      <c r="L75" s="1380"/>
      <c r="O75" s="1414" t="s">
        <v>409</v>
      </c>
      <c r="P75" s="1415" t="s">
        <v>838</v>
      </c>
      <c r="Q75" s="1416">
        <f ca="1">Q65+Q66</f>
        <v>27358</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0.245</v>
      </c>
    </row>
    <row r="80" spans="1:18">
      <c r="B80" s="339" t="s">
        <v>800</v>
      </c>
      <c r="C80" s="273">
        <f ca="1">ROUND(C75/C39,3)</f>
        <v>0.755</v>
      </c>
    </row>
    <row r="81" spans="2:3">
      <c r="B81" s="269" t="s">
        <v>801</v>
      </c>
      <c r="C81" s="237"/>
    </row>
    <row r="82" spans="2:3">
      <c r="B82" s="272" t="s">
        <v>802</v>
      </c>
      <c r="C82" s="274">
        <f ca="1">1-C83</f>
        <v>0.44699999999999995</v>
      </c>
    </row>
    <row r="83" spans="2:3">
      <c r="B83" s="272" t="s">
        <v>803</v>
      </c>
      <c r="C83" s="273">
        <f ca="1">ROUND(C13/C40,3)</f>
        <v>0.55300000000000005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11"/>
      <c r="C1" s="1375" t="s">
        <v>21</v>
      </c>
      <c r="D1" s="1358" t="s">
        <v>43</v>
      </c>
      <c r="E1" s="1359" t="s">
        <v>678</v>
      </c>
      <c r="F1" s="1060" t="e">
        <f ca="1">J53</f>
        <v>#N/A</v>
      </c>
      <c r="G1" s="1374" t="e">
        <f>MATCH(C1,'数据-取费表'!A6:A16,0)+5</f>
        <v>#N/A</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0" t="e">
        <f ca="1">ROUND(D2/10000,4)</f>
        <v>#N/A</v>
      </c>
      <c r="C2" s="1383" t="s">
        <v>879</v>
      </c>
      <c r="D2" s="1467" t="e">
        <f ca="1">C40+J29+L46</f>
        <v>#N/A</v>
      </c>
      <c r="E2" s="1384" t="s">
        <v>880</v>
      </c>
      <c r="F2" s="1385"/>
      <c r="G2" s="2701"/>
      <c r="H2" s="2690"/>
      <c r="I2" s="2690"/>
      <c r="J2" s="2690"/>
      <c r="K2" s="2691"/>
      <c r="L2" s="2690"/>
      <c r="M2" s="2690"/>
    </row>
    <row r="3" spans="1:37" ht="18" customHeight="1" thickBot="1">
      <c r="A3" s="1386" t="s">
        <v>881</v>
      </c>
      <c r="B3" s="1387">
        <f ca="1">IF(ISERROR(D2/F43),0,ROUND(D2/F43,0))</f>
        <v>0</v>
      </c>
      <c r="C3" s="1383" t="s">
        <v>882</v>
      </c>
      <c r="D3" s="1383"/>
      <c r="E3" s="1384"/>
      <c r="F3" s="1385"/>
      <c r="G3" s="2701"/>
      <c r="H3" s="681"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8" t="e">
        <f ca="1">C6+C10+C12</f>
        <v>#N/A</v>
      </c>
      <c r="D5" s="1360" t="s">
        <v>889</v>
      </c>
      <c r="E5" s="1069"/>
      <c r="F5" s="1070"/>
      <c r="G5" s="1380"/>
      <c r="H5" s="298">
        <v>1</v>
      </c>
      <c r="I5" s="299" t="s">
        <v>888</v>
      </c>
      <c r="J5" s="1068" t="e">
        <f ca="1">J6+J10+J12</f>
        <v>#N/A</v>
      </c>
      <c r="K5" s="1360" t="s">
        <v>889</v>
      </c>
      <c r="L5" s="1069"/>
      <c r="M5" s="1070"/>
    </row>
    <row r="6" spans="1:37" ht="18" customHeight="1">
      <c r="A6" s="1067" t="s">
        <v>398</v>
      </c>
      <c r="B6" s="3695" t="s">
        <v>694</v>
      </c>
      <c r="C6" s="1072" t="e">
        <f ca="1">ROUND(F6*F8*F7*(1-F9),0)</f>
        <v>#N/A</v>
      </c>
      <c r="D6" s="154" t="s">
        <v>2106</v>
      </c>
      <c r="E6" s="301" t="s">
        <v>696</v>
      </c>
      <c r="F6" s="302" t="e">
        <f ca="1">INDIRECT("'数据-取费表'!u"&amp;$G$1)</f>
        <v>#N/A</v>
      </c>
      <c r="G6" s="1380"/>
      <c r="H6" s="1067" t="s">
        <v>398</v>
      </c>
      <c r="I6" s="3695" t="s">
        <v>694</v>
      </c>
      <c r="J6" s="300" t="e">
        <f ca="1">ROUND(M6*M8*M7*(1-M9),0)</f>
        <v>#N/A</v>
      </c>
      <c r="K6" s="1372" t="s">
        <v>2107</v>
      </c>
      <c r="L6" s="301" t="s">
        <v>696</v>
      </c>
      <c r="M6" s="302" t="e">
        <f ca="1">INDIRECT("'数据-取费表'!z"&amp;$G$1)</f>
        <v>#N/A</v>
      </c>
    </row>
    <row r="7" spans="1:37" ht="18" customHeight="1">
      <c r="A7" s="1071"/>
      <c r="B7" s="3696"/>
      <c r="C7" s="1073"/>
      <c r="D7" s="306"/>
      <c r="E7" s="1074" t="s">
        <v>697</v>
      </c>
      <c r="F7" s="302" t="e">
        <f ca="1">IF(INDIRECT("'数据-取费表'!ah"&amp;$G$1)="",INDIRECT("'数据-取费表'!k"&amp;$G$1),INDIRECT("'数据-取费表'!ah"&amp;$G$1))</f>
        <v>#N/A</v>
      </c>
      <c r="G7" s="1380"/>
      <c r="H7" s="303"/>
      <c r="I7" s="3696"/>
      <c r="J7" s="305"/>
      <c r="K7" s="306"/>
      <c r="L7" s="301" t="s">
        <v>697</v>
      </c>
      <c r="M7" s="302" t="e">
        <f ca="1">F7</f>
        <v>#N/A</v>
      </c>
    </row>
    <row r="8" spans="1:37" ht="18" customHeight="1">
      <c r="A8" s="303"/>
      <c r="B8" s="3696"/>
      <c r="C8" s="305"/>
      <c r="D8" s="306"/>
      <c r="E8" s="301" t="s">
        <v>698</v>
      </c>
      <c r="F8" s="302" t="e">
        <f ca="1">INDIRECT("'数据-取费表'!ai"&amp;$G$1)</f>
        <v>#N/A</v>
      </c>
      <c r="G8" s="1380"/>
      <c r="H8" s="303"/>
      <c r="I8" s="3696"/>
      <c r="J8" s="305"/>
      <c r="K8" s="306"/>
      <c r="L8" s="301" t="s">
        <v>698</v>
      </c>
      <c r="M8" s="302" t="e">
        <f ca="1">INDIRECT("'数据-取费表'!ai"&amp;$G$1)</f>
        <v>#N/A</v>
      </c>
    </row>
    <row r="9" spans="1:37" ht="18" customHeight="1">
      <c r="A9" s="303"/>
      <c r="B9" s="3697"/>
      <c r="C9" s="305"/>
      <c r="D9" s="306"/>
      <c r="E9" s="301" t="s">
        <v>699</v>
      </c>
      <c r="F9" s="311" t="e">
        <f ca="1">INDIRECT("'数据-取费表'!w"&amp;$G$1)</f>
        <v>#N/A</v>
      </c>
      <c r="G9" s="1380"/>
      <c r="H9" s="303"/>
      <c r="I9" s="3697"/>
      <c r="J9" s="305"/>
      <c r="K9" s="306"/>
      <c r="L9" s="312" t="s">
        <v>699</v>
      </c>
      <c r="M9" s="313" t="e">
        <f ca="1">INDIRECT("'数据-取费表'!ab"&amp;$G$1)</f>
        <v>#N/A</v>
      </c>
    </row>
    <row r="10" spans="1:37" ht="18" customHeight="1">
      <c r="A10" s="1067" t="s">
        <v>402</v>
      </c>
      <c r="B10" s="1361" t="s">
        <v>700</v>
      </c>
      <c r="C10" s="315" t="e">
        <f ca="1">ROUND(IF(F10="押一",C6/12*F11,IF(F10="押二",C6/12*2*F11,IF(F10="押三",C6/12*3*F11,C11*F11))),0)</f>
        <v>#N/A</v>
      </c>
      <c r="D10" s="1362" t="s">
        <v>2116</v>
      </c>
      <c r="E10" s="312" t="s">
        <v>701</v>
      </c>
      <c r="F10" s="1112" t="s">
        <v>3391</v>
      </c>
      <c r="G10" s="1380"/>
      <c r="H10" s="1067" t="s">
        <v>402</v>
      </c>
      <c r="I10" s="1361" t="s">
        <v>700</v>
      </c>
      <c r="J10" s="300">
        <f ca="1">ROUND(IF(M10="押一",J6/12*M11,IF(M10="押二",J6/12*2*M11,IF(M10="押三",J6/12*3*M11,J11*M11))),0)</f>
        <v>0</v>
      </c>
      <c r="K10" s="1373" t="s">
        <v>2118</v>
      </c>
      <c r="L10" s="312" t="s">
        <v>701</v>
      </c>
      <c r="M10" s="1112"/>
    </row>
    <row r="11" spans="1:37" ht="18" customHeight="1">
      <c r="A11" s="307"/>
      <c r="B11" s="1363" t="s">
        <v>890</v>
      </c>
      <c r="C11" s="957"/>
      <c r="D11" s="306"/>
      <c r="E11" s="312" t="s">
        <v>702</v>
      </c>
      <c r="F11" s="313">
        <f ca="1">'数据-取费表'!B39</f>
        <v>1.4999999999999999E-2</v>
      </c>
      <c r="G11" s="1380"/>
      <c r="H11" s="1075"/>
      <c r="I11" s="1363" t="s">
        <v>891</v>
      </c>
      <c r="J11" s="957"/>
      <c r="K11" s="682"/>
      <c r="L11" s="312" t="s">
        <v>702</v>
      </c>
      <c r="M11" s="860">
        <f ca="1">'数据-取费表'!B39</f>
        <v>1.4999999999999999E-2</v>
      </c>
    </row>
    <row r="12" spans="1:37" ht="18" customHeight="1" thickBot="1">
      <c r="A12" s="1081" t="s">
        <v>437</v>
      </c>
      <c r="B12" s="1365" t="s">
        <v>703</v>
      </c>
      <c r="C12" s="1082"/>
      <c r="D12" s="1083"/>
      <c r="E12" s="1088"/>
      <c r="F12" s="1084"/>
      <c r="G12" s="1380"/>
      <c r="H12" s="1081" t="s">
        <v>437</v>
      </c>
      <c r="I12" s="1365"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0"/>
      <c r="H13" s="1077">
        <v>2</v>
      </c>
      <c r="I13" s="1078" t="s">
        <v>704</v>
      </c>
      <c r="J13" s="1066" t="e">
        <f ca="1">ROUND(J14*J15,0)</f>
        <v>#N/A</v>
      </c>
      <c r="K13" s="1085" t="s">
        <v>705</v>
      </c>
      <c r="L13" s="1388"/>
      <c r="M13" s="1389"/>
    </row>
    <row r="14" spans="1:37" ht="18" customHeight="1">
      <c r="A14" s="980" t="s">
        <v>397</v>
      </c>
      <c r="B14" s="301" t="s">
        <v>707</v>
      </c>
      <c r="C14" s="317" t="e">
        <f ca="1">ROUND(INDIRECT("'数据-取费表'!l"&amp;$G$1)*F43+'数据-取费表'!L14*INDIRECT("'数据-取费表'!S"&amp;$G$1),0)</f>
        <v>#N/A</v>
      </c>
      <c r="D14" s="1341" t="s">
        <v>708</v>
      </c>
      <c r="E14" s="1338"/>
      <c r="F14" s="318"/>
      <c r="G14" s="1380"/>
      <c r="H14" s="980" t="s">
        <v>398</v>
      </c>
      <c r="I14" s="301" t="s">
        <v>709</v>
      </c>
      <c r="J14" s="21" t="e">
        <f ca="1">C29</f>
        <v>#N/A</v>
      </c>
      <c r="K14" s="12"/>
      <c r="L14" s="805"/>
      <c r="M14" s="806"/>
    </row>
    <row r="15" spans="1:37" s="1393" customFormat="1" ht="18" customHeight="1" thickBot="1">
      <c r="A15" s="980" t="s">
        <v>399</v>
      </c>
      <c r="B15" s="301" t="s">
        <v>710</v>
      </c>
      <c r="C15" s="21" t="e">
        <f ca="1">ROUND(C14*F15,0)</f>
        <v>#N/A</v>
      </c>
      <c r="D15" s="319" t="s">
        <v>711</v>
      </c>
      <c r="E15" s="319" t="s">
        <v>712</v>
      </c>
      <c r="F15" s="320">
        <f>'数据-取费表'!B33</f>
        <v>3.5000000000000003E-2</v>
      </c>
      <c r="G15" s="1392"/>
      <c r="H15" s="1087" t="s">
        <v>402</v>
      </c>
      <c r="I15" s="1088" t="s">
        <v>706</v>
      </c>
      <c r="J15" s="1097" t="e">
        <f ca="1">INDIRECT("'数据-取费表'!ad"&amp;$G$1)</f>
        <v>#N/A</v>
      </c>
      <c r="K15" s="1098"/>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t="e">
        <f ca="1">ROUND(INDIRECT("'数据-取费表'!l"&amp;$G$1)*F43*F16,0)</f>
        <v>#N/A</v>
      </c>
      <c r="D16" s="301" t="s">
        <v>711</v>
      </c>
      <c r="E16" s="301" t="s">
        <v>712</v>
      </c>
      <c r="F16" s="321" t="e">
        <f ca="1">IF(INDIRECT("'数据-取费表'!c"&amp;$G$1)="住宅",'数据-取费表'!B34,0)</f>
        <v>#N/A</v>
      </c>
      <c r="G16" s="1380"/>
      <c r="H16" s="1077" t="s">
        <v>393</v>
      </c>
      <c r="I16" s="1078" t="s">
        <v>714</v>
      </c>
      <c r="J16" s="309" t="e">
        <f ca="1">ROUND(J17+J22+J23+J24,0)</f>
        <v>#N/A</v>
      </c>
      <c r="K16" s="1085" t="s">
        <v>715</v>
      </c>
      <c r="L16" s="1086"/>
      <c r="M16" s="1070"/>
    </row>
    <row r="17" spans="1:37" s="1393" customFormat="1" ht="18" customHeight="1">
      <c r="A17" s="980" t="s">
        <v>681</v>
      </c>
      <c r="B17" s="301" t="s">
        <v>716</v>
      </c>
      <c r="C17" s="21" t="e">
        <f ca="1">ROUND(F17*(F43+INDIRECT("'数据-取费表'!S"&amp;$G$1)),0)</f>
        <v>#N/A</v>
      </c>
      <c r="D17" s="301" t="s">
        <v>717</v>
      </c>
      <c r="E17" s="301" t="s">
        <v>718</v>
      </c>
      <c r="F17" s="23">
        <f>'数据-取费表'!B35</f>
        <v>200</v>
      </c>
      <c r="G17" s="1392"/>
      <c r="H17" s="980" t="s">
        <v>398</v>
      </c>
      <c r="I17" s="301" t="s">
        <v>719</v>
      </c>
      <c r="J17" s="2312" t="e">
        <f ca="1">ROUND(IF(AND(项目基本情况!B11="自然人",项目基本情况!B10="北京市"),J6*M17/(1+'数据-取费表'!C42),J18+J19+J20),0)</f>
        <v>#N/A</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t="e">
        <f ca="1">ROUND(C14*F18,0)</f>
        <v>#N/A</v>
      </c>
      <c r="D18" s="301" t="s">
        <v>711</v>
      </c>
      <c r="E18" s="301" t="s">
        <v>712</v>
      </c>
      <c r="F18" s="321">
        <f>'数据-取费表'!B36</f>
        <v>1.4999999999999999E-2</v>
      </c>
      <c r="G18" s="1392"/>
      <c r="H18" s="980" t="s">
        <v>397</v>
      </c>
      <c r="I18" s="301" t="s">
        <v>723</v>
      </c>
      <c r="J18" s="21" t="e">
        <f ca="1">ROUND(J6*M18/(1+'数据-取费表'!C42),0)</f>
        <v>#N/A</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t="e">
        <f ca="1">SUM(C14:C18)</f>
        <v>#N/A</v>
      </c>
      <c r="D19" s="130" t="s">
        <v>726</v>
      </c>
      <c r="E19" s="1356"/>
      <c r="F19" s="23"/>
      <c r="G19" s="1380"/>
      <c r="H19" s="980" t="s">
        <v>399</v>
      </c>
      <c r="I19" s="301" t="s">
        <v>727</v>
      </c>
      <c r="J19" s="21" t="e">
        <f ca="1">IF(K19="按租金收入计税",ROUND(J6*M19/(1+'数据-取费表'!C42),0),ROUND(C29*M19*0.7,0))</f>
        <v>#N/A</v>
      </c>
      <c r="K19" s="1366" t="s">
        <v>3340</v>
      </c>
      <c r="L19" s="301" t="s">
        <v>712</v>
      </c>
      <c r="M19" s="321">
        <f>IF(K19="按租金收入计税",'数据-取费表'!B51,'数据-取费表'!B50)</f>
        <v>0.12</v>
      </c>
    </row>
    <row r="20" spans="1:37" s="1393" customFormat="1" ht="18" customHeight="1">
      <c r="A20" s="980" t="s">
        <v>402</v>
      </c>
      <c r="B20" s="301" t="s">
        <v>728</v>
      </c>
      <c r="C20" s="21" t="e">
        <f ca="1">ROUND(C19*F20,0)</f>
        <v>#N/A</v>
      </c>
      <c r="D20" s="322" t="s">
        <v>729</v>
      </c>
      <c r="E20" s="301" t="s">
        <v>712</v>
      </c>
      <c r="F20" s="321">
        <f>'数据-取费表'!B37</f>
        <v>0.02</v>
      </c>
      <c r="G20" s="1392"/>
      <c r="H20" s="980" t="s">
        <v>680</v>
      </c>
      <c r="I20" s="154" t="s">
        <v>730</v>
      </c>
      <c r="J20" s="22" t="e">
        <f ca="1">ROUND(M20*M21,0)</f>
        <v>#N/A</v>
      </c>
      <c r="K20" s="323" t="s">
        <v>731</v>
      </c>
      <c r="L20" s="301" t="s">
        <v>732</v>
      </c>
      <c r="M20" s="324">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0</v>
      </c>
      <c r="D21" s="322" t="s">
        <v>734</v>
      </c>
      <c r="E21" s="301" t="s">
        <v>735</v>
      </c>
      <c r="F21" s="321">
        <f>'数据-取费表'!B38</f>
        <v>0.02</v>
      </c>
      <c r="G21" s="1392"/>
      <c r="H21" s="325"/>
      <c r="I21" s="310"/>
      <c r="J21" s="26"/>
      <c r="K21" s="326"/>
      <c r="L21" s="301" t="s">
        <v>736</v>
      </c>
      <c r="M21" s="302"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6"/>
      <c r="F22" s="23"/>
      <c r="G22" s="1380"/>
      <c r="H22" s="980" t="s">
        <v>402</v>
      </c>
      <c r="I22" s="301" t="s">
        <v>738</v>
      </c>
      <c r="J22" s="21" t="e">
        <f ca="1">ROUND(J14*M22,0)</f>
        <v>#N/A</v>
      </c>
      <c r="K22" s="1340" t="s">
        <v>739</v>
      </c>
      <c r="L22" s="301" t="s">
        <v>712</v>
      </c>
      <c r="M22" s="327" t="e">
        <f ca="1">INDIRECT("'数据-取费表'!Ak"&amp;$G$1)</f>
        <v>#N/A</v>
      </c>
    </row>
    <row r="23" spans="1:37" s="1393"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2"/>
      <c r="H23" s="980" t="s">
        <v>437</v>
      </c>
      <c r="I23" s="301" t="s">
        <v>742</v>
      </c>
      <c r="J23" s="21" t="e">
        <f ca="1">ROUND(J13*M23,0)</f>
        <v>#N/A</v>
      </c>
      <c r="K23" s="1340" t="s">
        <v>743</v>
      </c>
      <c r="L23" s="301" t="s">
        <v>744</v>
      </c>
      <c r="M23" s="329"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3.5499999999999997E-2</v>
      </c>
      <c r="G24" s="1392"/>
      <c r="H24" s="1087" t="s">
        <v>684</v>
      </c>
      <c r="I24" s="1088" t="s">
        <v>728</v>
      </c>
      <c r="J24" s="1089" t="e">
        <f ca="1">ROUND(J5*M24,0)</f>
        <v>#N/A</v>
      </c>
      <c r="K24" s="1090" t="s">
        <v>748</v>
      </c>
      <c r="L24" s="1088" t="s">
        <v>744</v>
      </c>
      <c r="M24" s="1084"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1" t="s">
        <v>750</v>
      </c>
      <c r="C25" s="21"/>
      <c r="D25" s="130" t="s">
        <v>751</v>
      </c>
      <c r="E25" s="1356"/>
      <c r="F25" s="23"/>
      <c r="G25" s="1380"/>
      <c r="H25" s="1077" t="s">
        <v>394</v>
      </c>
      <c r="I25" s="1092" t="s">
        <v>752</v>
      </c>
      <c r="J25" s="309" t="e">
        <f ca="1">J5-J16</f>
        <v>#N/A</v>
      </c>
      <c r="K25" s="1093" t="s">
        <v>753</v>
      </c>
      <c r="L25" s="1094"/>
      <c r="M25" s="1095"/>
    </row>
    <row r="26" spans="1:37" ht="18" customHeight="1">
      <c r="A26" s="980" t="s">
        <v>397</v>
      </c>
      <c r="B26" s="301" t="s">
        <v>754</v>
      </c>
      <c r="C26" s="21" t="e">
        <f ca="1">ROUND((C19+C20)*F26,0)</f>
        <v>#N/A</v>
      </c>
      <c r="D26" s="322" t="s">
        <v>755</v>
      </c>
      <c r="E26" s="312" t="s">
        <v>756</v>
      </c>
      <c r="F26" s="311" t="e">
        <f ca="1">INDIRECT("'数据-取费表'!q"&amp;$G$1)</f>
        <v>#N/A</v>
      </c>
      <c r="G26" s="1380"/>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0"/>
      <c r="H27" s="303"/>
      <c r="I27" s="304"/>
      <c r="J27" s="305"/>
      <c r="K27" s="331" t="s">
        <v>762</v>
      </c>
      <c r="L27" s="301" t="s">
        <v>763</v>
      </c>
      <c r="M27" s="332" t="e">
        <f ca="1">INDIRECT("'数据-取费表'!ag"&amp;$G$1)</f>
        <v>#N/A</v>
      </c>
    </row>
    <row r="28" spans="1:37" s="1393" customFormat="1" ht="18" customHeight="1">
      <c r="A28" s="980" t="s">
        <v>400</v>
      </c>
      <c r="B28" s="301" t="s">
        <v>764</v>
      </c>
      <c r="C28" s="21">
        <f>ROUND(F28/(1+'数据-取费表'!C42),4)</f>
        <v>5.2400000000000002E-2</v>
      </c>
      <c r="D28" s="322" t="s">
        <v>765</v>
      </c>
      <c r="E28" s="301" t="s">
        <v>712</v>
      </c>
      <c r="F28" s="321">
        <f>'数据-取费表'!B41</f>
        <v>5.5000000000000007E-2</v>
      </c>
      <c r="G28" s="1392"/>
      <c r="H28" s="307"/>
      <c r="I28" s="308"/>
      <c r="J28" s="309"/>
      <c r="K28" s="326"/>
      <c r="L28" s="301" t="s">
        <v>766</v>
      </c>
      <c r="M28" s="311"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7" t="s">
        <v>401</v>
      </c>
      <c r="B29" s="1088" t="s">
        <v>767</v>
      </c>
      <c r="C29" s="1089" t="e">
        <f ca="1">ROUND((C19+C20+C23+C26)/(1-F21-C24-C27-C28),0)</f>
        <v>#N/A</v>
      </c>
      <c r="D29" s="1090"/>
      <c r="E29" s="1088"/>
      <c r="F29" s="1091"/>
      <c r="G29" s="1392"/>
      <c r="H29" s="333" t="s">
        <v>396</v>
      </c>
      <c r="I29" s="334" t="s">
        <v>768</v>
      </c>
      <c r="J29" s="335" t="e">
        <f ca="1">ROUND(J26/(1+F40)^F41,0)</f>
        <v>#N/A</v>
      </c>
      <c r="K29" s="336" t="s">
        <v>769</v>
      </c>
      <c r="L29" s="337"/>
      <c r="M29" s="338"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7" t="s">
        <v>393</v>
      </c>
      <c r="B30" s="1078" t="s">
        <v>714</v>
      </c>
      <c r="C30" s="309" t="e">
        <f ca="1">ROUND(C31+C36+C37+C38,0)</f>
        <v>#N/A</v>
      </c>
      <c r="D30" s="1085" t="s">
        <v>715</v>
      </c>
      <c r="E30" s="1086"/>
      <c r="F30" s="1070"/>
      <c r="G30" s="1380"/>
      <c r="H30" s="2692"/>
      <c r="I30" s="1394"/>
      <c r="J30" s="1395"/>
      <c r="K30" s="2470"/>
      <c r="L30" s="2693"/>
      <c r="M30" s="2694"/>
    </row>
    <row r="31" spans="1:37" ht="18" customHeight="1">
      <c r="A31" s="980" t="s">
        <v>398</v>
      </c>
      <c r="B31" s="301" t="s">
        <v>719</v>
      </c>
      <c r="C31" s="2312" t="e">
        <f ca="1">ROUND(IF(AND(项目基本情况!B11="自然人",项目基本情况!B10="北京市"),C6*F31/(1+'数据-取费表'!C42),C32+C33+C34),0)</f>
        <v>#N/A</v>
      </c>
      <c r="D31" s="1341" t="s">
        <v>720</v>
      </c>
      <c r="E31" s="1340" t="s">
        <v>770</v>
      </c>
      <c r="F31" s="2311" t="str">
        <f>IF(项目基本情况!B11="企业","——",IF(M47="住宅",IF(F6*F7*F8/12/(1+'数据-取费表'!F30)&gt;100000,4%,2.5%),IF(F6*F7*F8/12/(1+'数据-取费表'!F30)&gt;100000,12%,7%)))</f>
        <v>——</v>
      </c>
      <c r="G31" s="1380"/>
      <c r="H31" s="2803" t="s">
        <v>2310</v>
      </c>
      <c r="I31" s="1394"/>
      <c r="J31" s="1395"/>
      <c r="K31" s="2470"/>
      <c r="L31" s="2693"/>
      <c r="M31" s="2694"/>
    </row>
    <row r="32" spans="1:37" ht="18" customHeight="1">
      <c r="A32" s="980" t="s">
        <v>397</v>
      </c>
      <c r="B32" s="301" t="s">
        <v>723</v>
      </c>
      <c r="C32" s="21" t="e">
        <f ca="1">IF(项目基本情况!B11="自然人","——",ROUND(C6*F32/(1+'数据-取费表'!C42),0))</f>
        <v>#N/A</v>
      </c>
      <c r="D32" s="1340" t="s">
        <v>724</v>
      </c>
      <c r="E32" s="301" t="s">
        <v>712</v>
      </c>
      <c r="F32" s="330">
        <f>'数据-取费表'!B41</f>
        <v>5.5000000000000007E-2</v>
      </c>
      <c r="G32" s="1380"/>
      <c r="H32" s="2692"/>
      <c r="I32" s="1394"/>
      <c r="J32" s="1395"/>
      <c r="K32" s="2470"/>
      <c r="L32" s="2693"/>
      <c r="M32" s="2694"/>
    </row>
    <row r="33" spans="1:18" ht="18" customHeight="1">
      <c r="A33" s="980" t="s">
        <v>399</v>
      </c>
      <c r="B33" s="301" t="s">
        <v>727</v>
      </c>
      <c r="C33" s="21" t="e">
        <f ca="1">IF(项目基本情况!B11="自然人","——",IF(D33="按租金收入计税",ROUND(C6*F33/(1+'数据-取费表'!C42),0),IF(D33="按房产原值计税",ROUND(C29*F33*0.7,0),INDIRECT("'数据-取费表'!Aj"&amp;$G$1))))</f>
        <v>#N/A</v>
      </c>
      <c r="D33" s="1366" t="s">
        <v>3340</v>
      </c>
      <c r="E33" s="301" t="s">
        <v>712</v>
      </c>
      <c r="F33" s="321">
        <f>IF(D33="按票据","——",IF(D33="按租金收入计税",'数据-取费表'!B51,'数据-取费表'!B50))</f>
        <v>0.12</v>
      </c>
      <c r="G33" s="1380"/>
      <c r="H33" s="2695"/>
      <c r="I33" s="1394"/>
      <c r="J33" s="1395"/>
      <c r="K33" s="2696"/>
      <c r="L33" s="2695"/>
      <c r="M33" s="2695"/>
    </row>
    <row r="34" spans="1:18" ht="18" customHeight="1">
      <c r="A34" s="1067" t="s">
        <v>680</v>
      </c>
      <c r="B34" s="154" t="s">
        <v>730</v>
      </c>
      <c r="C34" s="22" t="e">
        <f ca="1">IF(项目基本情况!B11="自然人","——",ROUND(F34*F35,0))</f>
        <v>#N/A</v>
      </c>
      <c r="D34" s="323" t="s">
        <v>731</v>
      </c>
      <c r="E34" s="301" t="s">
        <v>732</v>
      </c>
      <c r="F34" s="324">
        <f>'数据-取费表'!B52</f>
        <v>1.5</v>
      </c>
      <c r="G34" s="1380"/>
      <c r="H34" s="2692"/>
      <c r="I34" s="1394"/>
      <c r="J34" s="1395"/>
      <c r="K34" s="2697"/>
      <c r="L34" s="2698"/>
      <c r="M34" s="2698"/>
    </row>
    <row r="35" spans="1:18" ht="18" customHeight="1">
      <c r="A35" s="1101"/>
      <c r="B35" s="1099"/>
      <c r="C35" s="26"/>
      <c r="D35" s="326"/>
      <c r="E35" s="301" t="s">
        <v>736</v>
      </c>
      <c r="F35" s="302" t="e">
        <f ca="1">INDIRECT("'数据-取费表'!r"&amp;$G$1)</f>
        <v>#N/A</v>
      </c>
      <c r="G35" s="1380"/>
      <c r="H35" s="2692"/>
      <c r="I35" s="1394"/>
      <c r="J35" s="1395"/>
      <c r="K35" s="2696"/>
      <c r="L35" s="2695"/>
      <c r="M35" s="2695"/>
    </row>
    <row r="36" spans="1:18" ht="18" customHeight="1">
      <c r="A36" s="1100" t="s">
        <v>402</v>
      </c>
      <c r="B36" s="301" t="s">
        <v>738</v>
      </c>
      <c r="C36" s="21" t="e">
        <f ca="1">ROUND(C29*F36,0)</f>
        <v>#N/A</v>
      </c>
      <c r="D36" s="1340" t="s">
        <v>771</v>
      </c>
      <c r="E36" s="301" t="s">
        <v>712</v>
      </c>
      <c r="F36" s="327" t="e">
        <f ca="1">INDIRECT("'数据-取费表'!Ak"&amp;$G$1)</f>
        <v>#N/A</v>
      </c>
      <c r="G36" s="1380"/>
      <c r="H36" s="2695"/>
      <c r="I36" s="1394"/>
      <c r="J36" s="1395"/>
      <c r="K36" s="2539"/>
      <c r="L36" s="2695"/>
      <c r="M36" s="2695"/>
    </row>
    <row r="37" spans="1:18" ht="18" customHeight="1">
      <c r="A37" s="980" t="s">
        <v>437</v>
      </c>
      <c r="B37" s="301" t="s">
        <v>742</v>
      </c>
      <c r="C37" s="21" t="e">
        <f ca="1">ROUND(C13*F37,0)</f>
        <v>#N/A</v>
      </c>
      <c r="D37" s="1340" t="s">
        <v>743</v>
      </c>
      <c r="E37" s="301" t="s">
        <v>744</v>
      </c>
      <c r="F37" s="329" t="e">
        <f ca="1">INDIRECT("'数据-取费表'!Al"&amp;$G$1)</f>
        <v>#N/A</v>
      </c>
      <c r="G37" s="1380"/>
      <c r="H37" s="2695"/>
      <c r="I37" s="1394"/>
      <c r="J37" s="1395"/>
      <c r="K37" s="2539"/>
      <c r="L37" s="2695"/>
      <c r="M37" s="2695"/>
    </row>
    <row r="38" spans="1:18" ht="18" customHeight="1" thickBot="1">
      <c r="A38" s="1087" t="s">
        <v>684</v>
      </c>
      <c r="B38" s="1088" t="s">
        <v>728</v>
      </c>
      <c r="C38" s="1089" t="e">
        <f ca="1">ROUND(C5*F38,0)</f>
        <v>#N/A</v>
      </c>
      <c r="D38" s="1090" t="s">
        <v>748</v>
      </c>
      <c r="E38" s="1088" t="s">
        <v>744</v>
      </c>
      <c r="F38" s="1084" t="e">
        <f ca="1">INDIRECT("'数据-取费表'!Am"&amp;$G$1)</f>
        <v>#N/A</v>
      </c>
      <c r="G38" s="1380"/>
      <c r="H38" s="2695"/>
      <c r="I38" s="1394"/>
      <c r="J38" s="1395"/>
      <c r="K38" s="2699"/>
      <c r="L38" s="2695"/>
      <c r="M38" s="2695"/>
    </row>
    <row r="39" spans="1:18" ht="24.6" customHeight="1" thickTop="1">
      <c r="A39" s="1077" t="s">
        <v>394</v>
      </c>
      <c r="B39" s="1092" t="s">
        <v>772</v>
      </c>
      <c r="C39" s="309" t="e">
        <f ca="1">C5-C30</f>
        <v>#N/A</v>
      </c>
      <c r="D39" s="1093" t="s">
        <v>773</v>
      </c>
      <c r="E39" s="1094"/>
      <c r="F39" s="1095"/>
      <c r="G39" s="1380"/>
      <c r="H39" s="2695" t="e">
        <f ca="1">C39/C5</f>
        <v>#N/A</v>
      </c>
      <c r="I39" s="1394"/>
      <c r="J39" s="1395"/>
      <c r="K39" s="2699"/>
      <c r="L39" s="2695"/>
      <c r="M39" s="2695"/>
    </row>
    <row r="40" spans="1:18" ht="18" customHeight="1">
      <c r="A40" s="298" t="s">
        <v>395</v>
      </c>
      <c r="B40" s="299" t="s">
        <v>774</v>
      </c>
      <c r="C40" s="300" t="e">
        <f ca="1">ROUND(C39*(1-((1+F42)/(1+F40))^F41)/(F40-F42),0)</f>
        <v>#N/A</v>
      </c>
      <c r="D40" s="323" t="s">
        <v>758</v>
      </c>
      <c r="E40" s="301" t="s">
        <v>759</v>
      </c>
      <c r="F40" s="311" t="e">
        <f ca="1">INDIRECT("'数据-取费表'!I"&amp;$G$1)</f>
        <v>#N/A</v>
      </c>
      <c r="G40" s="1380"/>
      <c r="H40" s="1457"/>
      <c r="I40" s="1394"/>
      <c r="J40" s="1395"/>
      <c r="K40" s="2699"/>
      <c r="L40" s="1457"/>
      <c r="M40" s="1457"/>
    </row>
    <row r="41" spans="1:18" ht="18" customHeight="1">
      <c r="A41" s="303"/>
      <c r="B41" s="304"/>
      <c r="C41" s="305"/>
      <c r="D41" s="331" t="s">
        <v>775</v>
      </c>
      <c r="E41" s="301" t="s">
        <v>763</v>
      </c>
      <c r="F41" s="332" t="e">
        <f ca="1">IF(INDIRECT("'数据-取费表'!af"&amp;$G$1)=0,INDIRECT("'数据-取费表'!ae"&amp;$G$1),INDIRECT("'数据-取费表'!af"&amp;$G$1))</f>
        <v>#N/A</v>
      </c>
      <c r="G41" s="1380"/>
      <c r="H41" s="1187"/>
      <c r="I41" s="1394"/>
      <c r="J41" s="1395"/>
      <c r="K41" s="2539"/>
      <c r="L41" s="1187"/>
      <c r="M41" s="1187"/>
    </row>
    <row r="42" spans="1:18" ht="18" customHeight="1">
      <c r="A42" s="307"/>
      <c r="B42" s="308"/>
      <c r="C42" s="309"/>
      <c r="D42" s="326"/>
      <c r="E42" s="301" t="s">
        <v>766</v>
      </c>
      <c r="F42" s="311" t="e">
        <f ca="1">INDIRECT("'数据-取费表'!v"&amp;$G$1)</f>
        <v>#N/A</v>
      </c>
      <c r="G42" s="1380"/>
      <c r="H42" s="1187"/>
      <c r="I42" s="1394"/>
      <c r="J42" s="1395"/>
      <c r="K42" s="2539"/>
      <c r="L42" s="1187"/>
      <c r="M42" s="1187"/>
    </row>
    <row r="43" spans="1:18" ht="18" customHeight="1" thickBot="1">
      <c r="A43" s="333" t="s">
        <v>396</v>
      </c>
      <c r="B43" s="334" t="s">
        <v>776</v>
      </c>
      <c r="C43" s="335" t="e">
        <f ca="1">ROUND(C40/F43,0)</f>
        <v>#N/A</v>
      </c>
      <c r="D43" s="336" t="s">
        <v>777</v>
      </c>
      <c r="E43" s="337" t="s">
        <v>778</v>
      </c>
      <c r="F43" s="338" t="e">
        <f ca="1">INDIRECT("'数据-取费表'!k"&amp;$G$1)</f>
        <v>#N/A</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3426" t="s">
        <v>3356</v>
      </c>
      <c r="B45" s="1396"/>
      <c r="C45" s="1468" t="e">
        <f ca="1">ROUND((C68-C40)/10000,4)</f>
        <v>#N/A</v>
      </c>
      <c r="D45" s="3427" t="s">
        <v>3357</v>
      </c>
      <c r="E45" s="1396"/>
      <c r="F45" s="1396"/>
      <c r="O45" s="1399" t="s">
        <v>808</v>
      </c>
      <c r="P45" s="1457"/>
      <c r="Q45" s="1457"/>
      <c r="R45" s="1457"/>
    </row>
    <row r="46" spans="1:18" s="1380" customFormat="1" ht="13.8" thickBot="1">
      <c r="A46" s="1400" t="s">
        <v>809</v>
      </c>
      <c r="C46" s="1401" t="e">
        <f ca="1">ROUND(C45,0)</f>
        <v>#N/A</v>
      </c>
      <c r="D46" s="1402" t="str">
        <f>C2</f>
        <v>万元</v>
      </c>
      <c r="I46" s="1403" t="s">
        <v>810</v>
      </c>
      <c r="J46" s="1404"/>
      <c r="K46" s="1405"/>
      <c r="L46" s="1406" t="e">
        <f ca="1">IF(M47="住宅",0,IF(L48&gt;J51,L60,J60))</f>
        <v>#N/A</v>
      </c>
      <c r="O46" s="1407" t="s">
        <v>811</v>
      </c>
      <c r="P46" s="1408" t="s">
        <v>812</v>
      </c>
      <c r="Q46" s="1409" t="s">
        <v>813</v>
      </c>
      <c r="R46" s="1409" t="s">
        <v>814</v>
      </c>
    </row>
    <row r="47" spans="1:18" s="1380" customFormat="1" ht="13.8" thickBot="1">
      <c r="A47" s="944" t="s">
        <v>687</v>
      </c>
      <c r="B47" s="976" t="s">
        <v>688</v>
      </c>
      <c r="C47" s="976" t="s">
        <v>689</v>
      </c>
      <c r="D47" s="976" t="s">
        <v>690</v>
      </c>
      <c r="E47" s="1056" t="s">
        <v>691</v>
      </c>
      <c r="F47" s="1057"/>
      <c r="G47" s="720"/>
      <c r="I47" s="1410" t="s">
        <v>815</v>
      </c>
      <c r="J47" s="1411" t="s">
        <v>3392</v>
      </c>
      <c r="K47" s="1412" t="s">
        <v>816</v>
      </c>
      <c r="L47" s="1413" t="e">
        <f ca="1">INDIRECT("'数据-取费表'!d"&amp;$G$1)</f>
        <v>#N/A</v>
      </c>
      <c r="M47" s="1376" t="str">
        <f>IF(ISNUMBER(FIND("住宅",C1)),"住宅","非住宅")</f>
        <v>非住宅</v>
      </c>
      <c r="O47" s="1414" t="s">
        <v>403</v>
      </c>
      <c r="P47" s="1415" t="s">
        <v>817</v>
      </c>
      <c r="Q47" s="1416" t="e">
        <f ca="1">C40+J29</f>
        <v>#N/A</v>
      </c>
      <c r="R47" s="1416" t="s">
        <v>818</v>
      </c>
    </row>
    <row r="48" spans="1:18" s="1380" customFormat="1" ht="40.200000000000003" thickBot="1">
      <c r="A48" s="1106" t="s">
        <v>438</v>
      </c>
      <c r="B48" s="299" t="s">
        <v>692</v>
      </c>
      <c r="C48" s="1355" t="e">
        <f ca="1">C49+C53+C55</f>
        <v>#N/A</v>
      </c>
      <c r="D48" s="1108"/>
      <c r="E48" s="1109"/>
      <c r="F48" s="960"/>
      <c r="G48" s="720"/>
      <c r="H48" s="721"/>
      <c r="I48" s="1417" t="s">
        <v>819</v>
      </c>
      <c r="J48" s="1418" t="s">
        <v>3393</v>
      </c>
      <c r="K48" s="1419" t="s">
        <v>820</v>
      </c>
      <c r="L48" s="1420" t="e">
        <f ca="1">INDIRECT("'数据-取费表'!f"&amp;$G$1)</f>
        <v>#N/A</v>
      </c>
      <c r="O48" s="1414" t="s">
        <v>404</v>
      </c>
      <c r="P48" s="1415" t="s">
        <v>821</v>
      </c>
      <c r="Q48" s="1416" t="e">
        <f ca="1">J60</f>
        <v>#N/A</v>
      </c>
      <c r="R48" s="1416" t="s">
        <v>822</v>
      </c>
    </row>
    <row r="49" spans="1:18" s="1380" customFormat="1" ht="13.8" thickBot="1">
      <c r="A49" s="973" t="s">
        <v>439</v>
      </c>
      <c r="B49" s="1367" t="s">
        <v>779</v>
      </c>
      <c r="C49" s="1110" t="e">
        <f ca="1">ROUND(F49*F51*F50*(1-F52),0)</f>
        <v>#N/A</v>
      </c>
      <c r="D49" s="1053" t="s">
        <v>695</v>
      </c>
      <c r="E49" s="1368" t="s">
        <v>780</v>
      </c>
      <c r="F49" s="1058"/>
      <c r="G49" s="1421"/>
      <c r="H49" s="721"/>
      <c r="I49" s="1417" t="s">
        <v>823</v>
      </c>
      <c r="J49" s="1422">
        <v>2008</v>
      </c>
      <c r="K49" s="1419" t="s">
        <v>824</v>
      </c>
      <c r="L49" s="1423"/>
      <c r="O49" s="1424" t="s">
        <v>405</v>
      </c>
      <c r="P49" s="1415" t="s">
        <v>825</v>
      </c>
      <c r="Q49" s="1416" t="e">
        <f ca="1">C29</f>
        <v>#N/A</v>
      </c>
      <c r="R49" s="1416" t="s">
        <v>818</v>
      </c>
    </row>
    <row r="50" spans="1:18" s="1380" customFormat="1" ht="13.8" thickBot="1">
      <c r="A50" s="974"/>
      <c r="B50" s="977"/>
      <c r="C50" s="978"/>
      <c r="D50" s="951"/>
      <c r="E50" s="1054" t="s">
        <v>697</v>
      </c>
      <c r="F50" s="1055" t="e">
        <f ca="1">F7</f>
        <v>#N/A</v>
      </c>
      <c r="H50" s="721"/>
      <c r="I50" s="1417" t="s">
        <v>826</v>
      </c>
      <c r="J50" s="1425">
        <f>SUMPRODUCT((I63:I65=J47)*(J62:L62=J48)*(J63:L65))</f>
        <v>60</v>
      </c>
      <c r="K50" s="1419" t="s">
        <v>827</v>
      </c>
      <c r="L50" s="1423"/>
      <c r="M50" s="1426"/>
      <c r="O50" s="1424" t="s">
        <v>406</v>
      </c>
      <c r="P50" s="1415" t="s">
        <v>828</v>
      </c>
      <c r="Q50" s="1427" t="e">
        <f ca="1">J58</f>
        <v>#N/A</v>
      </c>
      <c r="R50" s="1416"/>
    </row>
    <row r="51" spans="1:18" s="1380" customFormat="1" ht="13.8" thickBot="1">
      <c r="A51" s="975"/>
      <c r="B51" s="977"/>
      <c r="C51" s="978"/>
      <c r="D51" s="951"/>
      <c r="E51" s="979" t="s">
        <v>698</v>
      </c>
      <c r="F51" s="302" t="e">
        <f ca="1">F8</f>
        <v>#N/A</v>
      </c>
      <c r="I51" s="1428" t="s">
        <v>829</v>
      </c>
      <c r="J51" s="1429">
        <f>IF(J49="",J50,J49+J50-YEAR('数据-取费表'!B2))</f>
        <v>45</v>
      </c>
      <c r="K51" s="1430" t="s">
        <v>830</v>
      </c>
      <c r="L51" s="1431" t="e">
        <f ca="1">ROUND(-PV(INDIRECT("'数据-取费表'!h"&amp;$G$1),J51,(C39-C13*C76),0),0)</f>
        <v>#N/A</v>
      </c>
      <c r="M51" s="1432"/>
      <c r="O51" s="1424" t="s">
        <v>407</v>
      </c>
      <c r="P51" s="1415" t="s">
        <v>831</v>
      </c>
      <c r="Q51" s="1427">
        <f>J52</f>
        <v>7.4999999999999997E-2</v>
      </c>
      <c r="R51" s="1416"/>
    </row>
    <row r="52" spans="1:18" s="1380" customFormat="1" ht="13.8" thickBot="1">
      <c r="A52" s="975"/>
      <c r="B52" s="977"/>
      <c r="C52" s="978"/>
      <c r="D52" s="951"/>
      <c r="E52" s="979" t="s">
        <v>699</v>
      </c>
      <c r="F52" s="1052"/>
      <c r="I52" s="1433" t="s">
        <v>832</v>
      </c>
      <c r="J52" s="1434">
        <v>7.4999999999999997E-2</v>
      </c>
      <c r="K52" s="1433" t="s">
        <v>833</v>
      </c>
      <c r="L52" s="1434"/>
      <c r="O52" s="1424" t="s">
        <v>408</v>
      </c>
      <c r="P52" s="1415" t="s">
        <v>834</v>
      </c>
      <c r="Q52" s="1416" t="e">
        <f ca="1">J53</f>
        <v>#N/A</v>
      </c>
      <c r="R52" s="1416" t="s">
        <v>835</v>
      </c>
    </row>
    <row r="53" spans="1:18" s="1380" customFormat="1" ht="30.75" customHeight="1" thickBot="1">
      <c r="A53" s="1107" t="s">
        <v>440</v>
      </c>
      <c r="B53" s="322" t="s">
        <v>700</v>
      </c>
      <c r="C53" s="315">
        <f ca="1">ROUND(IF(F53="押一",C49/12*F11,IF(F53="押二",C49/12*2*F11,IF(F53="押三",C49/12*3*F11,C54*F11))),0)</f>
        <v>0</v>
      </c>
      <c r="D53" s="1362" t="s">
        <v>2119</v>
      </c>
      <c r="E53" s="312" t="s">
        <v>701</v>
      </c>
      <c r="F53" s="1112"/>
      <c r="I53" s="1435" t="s">
        <v>836</v>
      </c>
      <c r="J53" s="2164" t="e">
        <f ca="1">IF(M47="住宅",IF(D1="——",MAX(J51,L48),MAX(J51,L48-'数据-取费表'!B24)),IF(D1="——",MIN(J51,L48),MIN(J51,L48-'数据-取费表'!B24)))</f>
        <v>#N/A</v>
      </c>
      <c r="K53" s="3693" t="s">
        <v>837</v>
      </c>
      <c r="L53" s="3694"/>
      <c r="O53" s="1414" t="s">
        <v>409</v>
      </c>
      <c r="P53" s="1415" t="s">
        <v>838</v>
      </c>
      <c r="Q53" s="1416" t="e">
        <f ca="1">Q47+Q48</f>
        <v>#N/A</v>
      </c>
      <c r="R53" s="1416" t="s">
        <v>410</v>
      </c>
    </row>
    <row r="54" spans="1:18" s="1380" customFormat="1" ht="13.8" thickBot="1">
      <c r="A54" s="973"/>
      <c r="B54" s="1469" t="s">
        <v>891</v>
      </c>
      <c r="C54" s="957"/>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839</v>
      </c>
      <c r="P54" s="1377"/>
      <c r="Q54" s="1377"/>
      <c r="R54" s="1377"/>
    </row>
    <row r="55" spans="1:18" s="1380" customFormat="1" ht="13.8" thickBot="1">
      <c r="A55" s="1081" t="s">
        <v>437</v>
      </c>
      <c r="B55" s="1365" t="s">
        <v>703</v>
      </c>
      <c r="C55" s="1082"/>
      <c r="D55" s="1362"/>
      <c r="E55" s="1370"/>
      <c r="F55" s="1436"/>
      <c r="I55" s="1439" t="s">
        <v>840</v>
      </c>
      <c r="J55" s="1440" t="e">
        <f ca="1">ROUND(IF(J47="钢混",J57/J50,1-(1-2%)*(J50-J57)/J50),3)</f>
        <v>#N/A</v>
      </c>
      <c r="K55" s="1441" t="s">
        <v>841</v>
      </c>
      <c r="L55" s="1442"/>
      <c r="O55" s="1407" t="s">
        <v>811</v>
      </c>
      <c r="P55" s="1408" t="s">
        <v>812</v>
      </c>
      <c r="Q55" s="1409" t="s">
        <v>813</v>
      </c>
      <c r="R55" s="1409" t="s">
        <v>814</v>
      </c>
    </row>
    <row r="56" spans="1:18" s="1380" customFormat="1" ht="36" customHeight="1" thickTop="1" thickBot="1">
      <c r="A56" s="955">
        <v>2</v>
      </c>
      <c r="B56" s="956" t="s">
        <v>704</v>
      </c>
      <c r="C56" s="231" t="e">
        <f ca="1">C13</f>
        <v>#N/A</v>
      </c>
      <c r="D56" s="1443"/>
      <c r="E56" s="1444"/>
      <c r="F56" s="1436"/>
      <c r="I56" s="1445" t="s">
        <v>842</v>
      </c>
      <c r="J56" s="1446" t="s">
        <v>3380</v>
      </c>
      <c r="K56" s="1417" t="s">
        <v>843</v>
      </c>
      <c r="L56" s="1420" t="e">
        <f ca="1">IF(L48&lt;J51,"——",L48-J51)</f>
        <v>#N/A</v>
      </c>
      <c r="O56" s="1414" t="s">
        <v>403</v>
      </c>
      <c r="P56" s="1415" t="s">
        <v>817</v>
      </c>
      <c r="Q56" s="1416" t="e">
        <f ca="1">C40+J29</f>
        <v>#N/A</v>
      </c>
      <c r="R56" s="1416" t="s">
        <v>818</v>
      </c>
    </row>
    <row r="57" spans="1:18" s="1380" customFormat="1" ht="24.6" thickBot="1">
      <c r="A57" s="1447"/>
      <c r="B57" s="948" t="s">
        <v>767</v>
      </c>
      <c r="C57" s="237" t="e">
        <f ca="1">C29</f>
        <v>#N/A</v>
      </c>
      <c r="D57" s="1448"/>
      <c r="E57" s="1449"/>
      <c r="F57" s="1450"/>
      <c r="I57" s="1451" t="s">
        <v>844</v>
      </c>
      <c r="J57" s="1452" t="e">
        <f ca="1">IF(OR(M47="住宅",J51&lt;L48,J56="是"),"——",J51-L48)</f>
        <v>#N/A</v>
      </c>
      <c r="K57" s="1417" t="s">
        <v>892</v>
      </c>
      <c r="L57" s="1420" t="e">
        <f ca="1">IF(L48&lt;J51,"——",IF(L55="比较法",L49,IF(L55="基准地价",L50,L51)))</f>
        <v>#N/A</v>
      </c>
      <c r="O57" s="1414" t="s">
        <v>404</v>
      </c>
      <c r="P57" s="1415" t="s">
        <v>893</v>
      </c>
      <c r="Q57" s="1416" t="e">
        <f ca="1">L60</f>
        <v>#N/A</v>
      </c>
      <c r="R57" s="1416" t="s">
        <v>894</v>
      </c>
    </row>
    <row r="58" spans="1:18" s="1380" customFormat="1" ht="24.6" thickBot="1">
      <c r="A58" s="314" t="s">
        <v>393</v>
      </c>
      <c r="B58" s="956" t="s">
        <v>714</v>
      </c>
      <c r="C58" s="315" t="e">
        <f ca="1">ROUND(C59+C64+C65+C66,0)</f>
        <v>#N/A</v>
      </c>
      <c r="D58" s="958" t="s">
        <v>715</v>
      </c>
      <c r="E58" s="959"/>
      <c r="F58" s="960"/>
      <c r="I58" s="1451" t="s">
        <v>848</v>
      </c>
      <c r="J58" s="1453" t="e">
        <f ca="1">IF(J55&lt;0.4,0.4,J55)</f>
        <v>#N/A</v>
      </c>
      <c r="K58" s="1430" t="s">
        <v>895</v>
      </c>
      <c r="L58" s="1420" t="e">
        <f ca="1">ROUND(POWER(1+L52,L47-L48)*(POWER(1+L52,L48)-1)/(POWER(1+L52,L47)-1),4)</f>
        <v>#N/A</v>
      </c>
      <c r="O58" s="1424" t="s">
        <v>405</v>
      </c>
      <c r="P58" s="1415" t="s">
        <v>850</v>
      </c>
      <c r="Q58" s="1416">
        <f>IF(L55="比较法",L49,IF(L55="基准地价",L50,0))</f>
        <v>0</v>
      </c>
      <c r="R58" s="1416" t="s">
        <v>818</v>
      </c>
    </row>
    <row r="59" spans="1:18" s="1380" customFormat="1" ht="24.6" thickBot="1">
      <c r="A59" s="980" t="s">
        <v>398</v>
      </c>
      <c r="B59" s="948" t="s">
        <v>719</v>
      </c>
      <c r="C59" s="2312" t="e">
        <f ca="1">ROUND(IF(AND(项目基本情况!B11="自然人",项目基本情况!B10="北京市"),C49*F59/(1+'数据-取费表'!C42),C60+C61+C62),0)</f>
        <v>#N/A</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4" t="s">
        <v>406</v>
      </c>
      <c r="P59" s="1415" t="s">
        <v>852</v>
      </c>
      <c r="Q59" s="1427">
        <f>L52</f>
        <v>0</v>
      </c>
      <c r="R59" s="1416"/>
    </row>
    <row r="60" spans="1:18" s="1380" customFormat="1" ht="16.2" thickBot="1">
      <c r="A60" s="980" t="s">
        <v>397</v>
      </c>
      <c r="B60" s="948" t="s">
        <v>723</v>
      </c>
      <c r="C60" s="21" t="e">
        <f ca="1">IF(项目基本情况!B11="自然人","——",ROUND(C48*F60/(1+'数据-取费表'!C42),0))</f>
        <v>#N/A</v>
      </c>
      <c r="D60" s="962" t="s">
        <v>724</v>
      </c>
      <c r="E60" s="948" t="s">
        <v>712</v>
      </c>
      <c r="F60" s="330">
        <f t="shared" ref="F60:F66" si="0">F32</f>
        <v>5.5000000000000007E-2</v>
      </c>
      <c r="I60" s="1454" t="s">
        <v>853</v>
      </c>
      <c r="J60" s="1455" t="e">
        <f ca="1">IF(OR(M47="住宅",J51&lt;L48,J56="是"),"0",ROUND(J59/(1+J52)^J53,0))</f>
        <v>#N/A</v>
      </c>
      <c r="K60" s="1456" t="s">
        <v>854</v>
      </c>
      <c r="L60" s="1455" t="e">
        <f ca="1">IF(OR(M47="住宅",L48&lt;J51),0,ROUND(L57*(L58/L59-1),0))</f>
        <v>#N/A</v>
      </c>
      <c r="O60" s="1424" t="s">
        <v>407</v>
      </c>
      <c r="P60" s="1415" t="s">
        <v>855</v>
      </c>
      <c r="Q60" s="1416" t="e">
        <f ca="1">L58</f>
        <v>#N/A</v>
      </c>
      <c r="R60" s="1416" t="s">
        <v>856</v>
      </c>
    </row>
    <row r="61" spans="1:18" s="1380" customFormat="1" ht="13.8" thickBot="1">
      <c r="A61" s="980" t="s">
        <v>781</v>
      </c>
      <c r="B61" s="948" t="s">
        <v>782</v>
      </c>
      <c r="C61" s="21" t="e">
        <f ca="1">IF(项目基本情况!B11="自然人","——",IF(D61="按租金收入计税",ROUND(C49*F61/(1+'数据-取费表'!C42),0),IF(D61="按房产原值计税",ROUND(C57*F61*0.7,0),INDIRECT("'数据-取费表'!Aj"&amp;$G$1))))</f>
        <v>#N/A</v>
      </c>
      <c r="D61" s="1366" t="s">
        <v>3340</v>
      </c>
      <c r="E61" s="948" t="s">
        <v>783</v>
      </c>
      <c r="F61" s="321">
        <f t="shared" si="0"/>
        <v>0.12</v>
      </c>
      <c r="I61" s="1457"/>
      <c r="J61" s="1457"/>
      <c r="K61" s="1457"/>
      <c r="L61" s="1457"/>
      <c r="O61" s="1424" t="s">
        <v>408</v>
      </c>
      <c r="P61" s="1415" t="str">
        <f>K59</f>
        <v>建筑物剩余耐用年限下的土地年期修正系数Kn</v>
      </c>
      <c r="Q61" s="1416" t="e">
        <f ca="1">L59</f>
        <v>#N/A</v>
      </c>
      <c r="R61" s="1416" t="s">
        <v>857</v>
      </c>
    </row>
    <row r="62" spans="1:18" s="1380" customFormat="1" ht="13.8" thickBot="1">
      <c r="A62" s="980" t="s">
        <v>784</v>
      </c>
      <c r="B62" s="947" t="s">
        <v>785</v>
      </c>
      <c r="C62" s="22" t="e">
        <f ca="1">IF(项目基本情况!B11="自然人","——",ROUND(F62*F63,0))</f>
        <v>#N/A</v>
      </c>
      <c r="D62" s="963" t="s">
        <v>786</v>
      </c>
      <c r="E62" s="948" t="s">
        <v>787</v>
      </c>
      <c r="F62" s="324">
        <f t="shared" si="0"/>
        <v>1.5</v>
      </c>
      <c r="I62" s="1458" t="s">
        <v>858</v>
      </c>
      <c r="J62" s="1459" t="s">
        <v>859</v>
      </c>
      <c r="K62" s="1459" t="s">
        <v>860</v>
      </c>
      <c r="L62" s="1459" t="s">
        <v>861</v>
      </c>
      <c r="M62" s="1460" t="s">
        <v>862</v>
      </c>
      <c r="O62" s="1414" t="s">
        <v>409</v>
      </c>
      <c r="P62" s="1415" t="s">
        <v>863</v>
      </c>
      <c r="Q62" s="1416" t="e">
        <f ca="1">Q56+Q57</f>
        <v>#N/A</v>
      </c>
      <c r="R62" s="1416" t="s">
        <v>410</v>
      </c>
    </row>
    <row r="63" spans="1:18" s="1380" customFormat="1" ht="13.8" thickBot="1">
      <c r="A63" s="325"/>
      <c r="B63" s="954"/>
      <c r="C63" s="26"/>
      <c r="D63" s="964"/>
      <c r="E63" s="948" t="s">
        <v>788</v>
      </c>
      <c r="F63" s="302" t="e">
        <f t="shared" ca="1" si="0"/>
        <v>#N/A</v>
      </c>
      <c r="I63" s="1458" t="s">
        <v>864</v>
      </c>
      <c r="J63" s="1459">
        <v>70</v>
      </c>
      <c r="K63" s="1459">
        <v>50</v>
      </c>
      <c r="L63" s="1459">
        <v>80</v>
      </c>
      <c r="M63" s="1461">
        <v>0.02</v>
      </c>
      <c r="O63" s="1399" t="s">
        <v>865</v>
      </c>
      <c r="P63" s="1377"/>
      <c r="Q63" s="1377"/>
      <c r="R63" s="1377"/>
    </row>
    <row r="64" spans="1:18" s="1380" customFormat="1" ht="13.8" thickBot="1">
      <c r="A64" s="980" t="s">
        <v>789</v>
      </c>
      <c r="B64" s="948" t="s">
        <v>790</v>
      </c>
      <c r="C64" s="21" t="e">
        <f ca="1">ROUND(C57*F64,0)</f>
        <v>#N/A</v>
      </c>
      <c r="D64" s="962" t="s">
        <v>791</v>
      </c>
      <c r="E64" s="948" t="s">
        <v>783</v>
      </c>
      <c r="F64" s="327" t="e">
        <f t="shared" ca="1" si="0"/>
        <v>#N/A</v>
      </c>
      <c r="I64" s="1458" t="s">
        <v>866</v>
      </c>
      <c r="J64" s="1459">
        <v>50</v>
      </c>
      <c r="K64" s="1459">
        <v>35</v>
      </c>
      <c r="L64" s="1459">
        <v>60</v>
      </c>
      <c r="M64" s="1460">
        <v>0</v>
      </c>
      <c r="O64" s="1407" t="s">
        <v>811</v>
      </c>
      <c r="P64" s="1408" t="s">
        <v>812</v>
      </c>
      <c r="Q64" s="1409" t="s">
        <v>813</v>
      </c>
      <c r="R64" s="1409" t="s">
        <v>814</v>
      </c>
    </row>
    <row r="65" spans="1:18" s="1380" customFormat="1" ht="13.8" thickBot="1">
      <c r="A65" s="980" t="s">
        <v>792</v>
      </c>
      <c r="B65" s="948" t="s">
        <v>742</v>
      </c>
      <c r="C65" s="21" t="e">
        <f ca="1">ROUND(C56*F65,0)</f>
        <v>#N/A</v>
      </c>
      <c r="D65" s="962" t="s">
        <v>743</v>
      </c>
      <c r="E65" s="948" t="s">
        <v>744</v>
      </c>
      <c r="F65" s="329" t="e">
        <f t="shared" ca="1" si="0"/>
        <v>#N/A</v>
      </c>
      <c r="I65" s="1458" t="s">
        <v>867</v>
      </c>
      <c r="J65" s="1459">
        <v>40</v>
      </c>
      <c r="K65" s="1459">
        <v>30</v>
      </c>
      <c r="L65" s="1459">
        <v>50</v>
      </c>
      <c r="M65" s="1461">
        <v>0.02</v>
      </c>
      <c r="O65" s="1414" t="s">
        <v>403</v>
      </c>
      <c r="P65" s="1415" t="s">
        <v>868</v>
      </c>
      <c r="Q65" s="1416" t="e">
        <f ca="1">C40+J29</f>
        <v>#N/A</v>
      </c>
      <c r="R65" s="1416" t="s">
        <v>818</v>
      </c>
    </row>
    <row r="66" spans="1:18" s="1380" customFormat="1" ht="16.2" thickBot="1">
      <c r="A66" s="980" t="s">
        <v>793</v>
      </c>
      <c r="B66" s="948" t="s">
        <v>728</v>
      </c>
      <c r="C66" s="21" t="e">
        <f ca="1">ROUND(C48*F66,0)</f>
        <v>#N/A</v>
      </c>
      <c r="D66" s="962" t="s">
        <v>794</v>
      </c>
      <c r="E66" s="948" t="s">
        <v>712</v>
      </c>
      <c r="F66" s="311" t="e">
        <f t="shared" ca="1" si="0"/>
        <v>#N/A</v>
      </c>
      <c r="O66" s="1414" t="s">
        <v>404</v>
      </c>
      <c r="P66" s="1415" t="s">
        <v>846</v>
      </c>
      <c r="Q66" s="1416" t="e">
        <f ca="1">L60</f>
        <v>#N/A</v>
      </c>
      <c r="R66" s="1416" t="s">
        <v>869</v>
      </c>
    </row>
    <row r="67" spans="1:18" s="1380" customFormat="1" ht="24.6" thickBot="1">
      <c r="A67" s="955" t="s">
        <v>394</v>
      </c>
      <c r="B67" s="965" t="s">
        <v>752</v>
      </c>
      <c r="C67" s="315" t="e">
        <f ca="1">C48-C58</f>
        <v>#N/A</v>
      </c>
      <c r="D67" s="961" t="s">
        <v>753</v>
      </c>
      <c r="E67" s="966"/>
      <c r="F67" s="967"/>
      <c r="O67" s="1424" t="s">
        <v>405</v>
      </c>
      <c r="P67" s="1415" t="s">
        <v>850</v>
      </c>
      <c r="Q67" s="1462" t="e">
        <f ca="1">L51</f>
        <v>#N/A</v>
      </c>
      <c r="R67" s="1416" t="s">
        <v>870</v>
      </c>
    </row>
    <row r="68" spans="1:18" s="1380" customFormat="1" ht="16.2" thickBot="1">
      <c r="A68" s="945" t="s">
        <v>395</v>
      </c>
      <c r="B68" s="946" t="s">
        <v>774</v>
      </c>
      <c r="C68" s="300" t="e">
        <f ca="1">ROUND(C67*(1-((1+F70)/(1+F68))^F69)/(F68-F70),0)</f>
        <v>#N/A</v>
      </c>
      <c r="D68" s="963" t="s">
        <v>758</v>
      </c>
      <c r="E68" s="948" t="s">
        <v>759</v>
      </c>
      <c r="F68" s="311" t="e">
        <f ca="1">F40</f>
        <v>#N/A</v>
      </c>
      <c r="O68" s="1424" t="s">
        <v>406</v>
      </c>
      <c r="P68" s="1463" t="s">
        <v>871</v>
      </c>
      <c r="Q68" s="1416" t="e">
        <f ca="1">ROUND(Q69-Q70*Q71,0)</f>
        <v>#N/A</v>
      </c>
      <c r="R68" s="1416" t="s">
        <v>414</v>
      </c>
    </row>
    <row r="69" spans="1:18" s="1380" customFormat="1" ht="13.8" thickBot="1">
      <c r="A69" s="949"/>
      <c r="B69" s="950"/>
      <c r="C69" s="305"/>
      <c r="D69" s="968" t="s">
        <v>762</v>
      </c>
      <c r="E69" s="948" t="s">
        <v>763</v>
      </c>
      <c r="F69" s="332" t="e">
        <f ca="1">F41</f>
        <v>#N/A</v>
      </c>
      <c r="O69" s="1424" t="s">
        <v>411</v>
      </c>
      <c r="P69" s="1463" t="s">
        <v>872</v>
      </c>
      <c r="Q69" s="1416" t="e">
        <f ca="1">C39</f>
        <v>#N/A</v>
      </c>
      <c r="R69" s="1416" t="s">
        <v>818</v>
      </c>
    </row>
    <row r="70" spans="1:18" s="1380" customFormat="1" ht="13.8" thickBot="1">
      <c r="A70" s="952"/>
      <c r="B70" s="953"/>
      <c r="C70" s="309"/>
      <c r="D70" s="964"/>
      <c r="E70" s="948" t="s">
        <v>766</v>
      </c>
      <c r="F70" s="1052"/>
      <c r="O70" s="1424" t="s">
        <v>412</v>
      </c>
      <c r="P70" s="1463" t="s">
        <v>873</v>
      </c>
      <c r="Q70" s="1416" t="e">
        <f ca="1">C13</f>
        <v>#N/A</v>
      </c>
      <c r="R70" s="1416" t="s">
        <v>818</v>
      </c>
    </row>
    <row r="71" spans="1:18" s="1380" customFormat="1" ht="13.8" thickBot="1">
      <c r="A71" s="969" t="s">
        <v>396</v>
      </c>
      <c r="B71" s="970" t="s">
        <v>776</v>
      </c>
      <c r="C71" s="335" t="e">
        <f ca="1">ROUND(C68/F71,0)</f>
        <v>#N/A</v>
      </c>
      <c r="D71" s="971" t="s">
        <v>777</v>
      </c>
      <c r="E71" s="972" t="s">
        <v>778</v>
      </c>
      <c r="F71" s="338" t="e">
        <f ca="1">F43</f>
        <v>#N/A</v>
      </c>
      <c r="O71" s="1424" t="s">
        <v>413</v>
      </c>
      <c r="P71" s="1463" t="s">
        <v>874</v>
      </c>
      <c r="Q71" s="1427" t="e">
        <f ca="1">C76</f>
        <v>#N/A</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#N/A</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#N/A</v>
      </c>
      <c r="R74" s="1416" t="s">
        <v>857</v>
      </c>
    </row>
    <row r="75" spans="1:18" ht="13.8" thickBot="1">
      <c r="A75" s="1380"/>
      <c r="B75" s="339" t="s">
        <v>795</v>
      </c>
      <c r="C75" s="340" t="e">
        <f ca="1">ROUND(C13*C76,0)</f>
        <v>#N/A</v>
      </c>
      <c r="D75" s="1380"/>
      <c r="E75" s="1380"/>
      <c r="F75" s="1380"/>
      <c r="K75" s="1398"/>
      <c r="L75" s="1380"/>
      <c r="O75" s="1414" t="s">
        <v>409</v>
      </c>
      <c r="P75" s="1415" t="s">
        <v>838</v>
      </c>
      <c r="Q75" s="1416" t="e">
        <f ca="1">Q65+Q66</f>
        <v>#N/A</v>
      </c>
      <c r="R75" s="1416" t="s">
        <v>410</v>
      </c>
    </row>
    <row r="76" spans="1:18">
      <c r="B76" s="341" t="s">
        <v>796</v>
      </c>
      <c r="C76" s="342" t="e">
        <f ca="1">INDIRECT("'数据-取费表'!j"&amp;$G$1)</f>
        <v>#N/A</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37" customWidth="1"/>
    <col min="2" max="2" width="8.88671875" style="2837"/>
    <col min="3" max="5" width="12.88671875" style="2837" customWidth="1"/>
    <col min="6" max="6" width="47.44140625" style="2837" customWidth="1"/>
    <col min="7" max="7" width="13" style="2996" customWidth="1"/>
    <col min="8" max="8" width="8.88671875" style="2831"/>
    <col min="9" max="9" width="8.88671875" style="2832"/>
    <col min="10" max="10" width="5.77734375" style="2997" customWidth="1"/>
    <col min="11" max="11" width="11.77734375" style="2997" customWidth="1"/>
    <col min="12" max="13" width="10.77734375" style="2997" customWidth="1"/>
    <col min="14" max="14" width="10" style="2997" customWidth="1"/>
    <col min="15" max="16" width="10.44140625" style="2997" bestFit="1" customWidth="1"/>
    <col min="17" max="17" width="10" style="2997" customWidth="1"/>
    <col min="18" max="18" width="10.109375" style="2997" customWidth="1"/>
    <col min="19" max="19" width="10" style="2997" customWidth="1"/>
    <col min="20" max="20" width="26.109375" style="2997" customWidth="1"/>
    <col min="21" max="21" width="8.88671875" style="2997"/>
    <col min="22" max="22" width="8.88671875" style="2832"/>
    <col min="23" max="256" width="8.88671875" style="2837"/>
    <col min="257" max="257" width="9.44140625" style="2837" customWidth="1"/>
    <col min="258" max="258" width="8.88671875" style="2837"/>
    <col min="259" max="261" width="12.88671875" style="2837" customWidth="1"/>
    <col min="262" max="262" width="47.44140625" style="2837" customWidth="1"/>
    <col min="263" max="263" width="13" style="2837" customWidth="1"/>
    <col min="264" max="265" width="8.88671875" style="2837"/>
    <col min="266" max="266" width="5.77734375" style="2837" customWidth="1"/>
    <col min="267" max="267" width="11.77734375" style="2837" customWidth="1"/>
    <col min="268" max="269" width="10.77734375" style="2837" customWidth="1"/>
    <col min="270" max="270" width="10" style="2837" customWidth="1"/>
    <col min="271" max="272" width="10.44140625" style="2837" bestFit="1" customWidth="1"/>
    <col min="273" max="273" width="10" style="2837" customWidth="1"/>
    <col min="274" max="274" width="10.109375" style="2837" customWidth="1"/>
    <col min="275" max="275" width="10" style="2837" customWidth="1"/>
    <col min="276" max="276" width="26.109375" style="2837" customWidth="1"/>
    <col min="277" max="512" width="8.88671875" style="2837"/>
    <col min="513" max="513" width="9.44140625" style="2837" customWidth="1"/>
    <col min="514" max="514" width="8.88671875" style="2837"/>
    <col min="515" max="517" width="12.88671875" style="2837" customWidth="1"/>
    <col min="518" max="518" width="47.44140625" style="2837" customWidth="1"/>
    <col min="519" max="519" width="13" style="2837" customWidth="1"/>
    <col min="520" max="521" width="8.88671875" style="2837"/>
    <col min="522" max="522" width="5.77734375" style="2837" customWidth="1"/>
    <col min="523" max="523" width="11.77734375" style="2837" customWidth="1"/>
    <col min="524" max="525" width="10.77734375" style="2837" customWidth="1"/>
    <col min="526" max="526" width="10" style="2837" customWidth="1"/>
    <col min="527" max="528" width="10.44140625" style="2837" bestFit="1" customWidth="1"/>
    <col min="529" max="529" width="10" style="2837" customWidth="1"/>
    <col min="530" max="530" width="10.109375" style="2837" customWidth="1"/>
    <col min="531" max="531" width="10" style="2837" customWidth="1"/>
    <col min="532" max="532" width="26.109375" style="2837" customWidth="1"/>
    <col min="533" max="768" width="8.88671875" style="2837"/>
    <col min="769" max="769" width="9.44140625" style="2837" customWidth="1"/>
    <col min="770" max="770" width="8.88671875" style="2837"/>
    <col min="771" max="773" width="12.88671875" style="2837" customWidth="1"/>
    <col min="774" max="774" width="47.44140625" style="2837" customWidth="1"/>
    <col min="775" max="775" width="13" style="2837" customWidth="1"/>
    <col min="776" max="777" width="8.88671875" style="2837"/>
    <col min="778" max="778" width="5.77734375" style="2837" customWidth="1"/>
    <col min="779" max="779" width="11.77734375" style="2837" customWidth="1"/>
    <col min="780" max="781" width="10.77734375" style="2837" customWidth="1"/>
    <col min="782" max="782" width="10" style="2837" customWidth="1"/>
    <col min="783" max="784" width="10.44140625" style="2837" bestFit="1" customWidth="1"/>
    <col min="785" max="785" width="10" style="2837" customWidth="1"/>
    <col min="786" max="786" width="10.109375" style="2837" customWidth="1"/>
    <col min="787" max="787" width="10" style="2837" customWidth="1"/>
    <col min="788" max="788" width="26.109375" style="2837" customWidth="1"/>
    <col min="789" max="1024" width="8.88671875" style="2837"/>
    <col min="1025" max="1025" width="9.44140625" style="2837" customWidth="1"/>
    <col min="1026" max="1026" width="8.88671875" style="2837"/>
    <col min="1027" max="1029" width="12.88671875" style="2837" customWidth="1"/>
    <col min="1030" max="1030" width="47.44140625" style="2837" customWidth="1"/>
    <col min="1031" max="1031" width="13" style="2837" customWidth="1"/>
    <col min="1032" max="1033" width="8.88671875" style="2837"/>
    <col min="1034" max="1034" width="5.77734375" style="2837" customWidth="1"/>
    <col min="1035" max="1035" width="11.77734375" style="2837" customWidth="1"/>
    <col min="1036" max="1037" width="10.77734375" style="2837" customWidth="1"/>
    <col min="1038" max="1038" width="10" style="2837" customWidth="1"/>
    <col min="1039" max="1040" width="10.44140625" style="2837" bestFit="1" customWidth="1"/>
    <col min="1041" max="1041" width="10" style="2837" customWidth="1"/>
    <col min="1042" max="1042" width="10.109375" style="2837" customWidth="1"/>
    <col min="1043" max="1043" width="10" style="2837" customWidth="1"/>
    <col min="1044" max="1044" width="26.109375" style="2837" customWidth="1"/>
    <col min="1045" max="1280" width="8.88671875" style="2837"/>
    <col min="1281" max="1281" width="9.44140625" style="2837" customWidth="1"/>
    <col min="1282" max="1282" width="8.88671875" style="2837"/>
    <col min="1283" max="1285" width="12.88671875" style="2837" customWidth="1"/>
    <col min="1286" max="1286" width="47.44140625" style="2837" customWidth="1"/>
    <col min="1287" max="1287" width="13" style="2837" customWidth="1"/>
    <col min="1288" max="1289" width="8.88671875" style="2837"/>
    <col min="1290" max="1290" width="5.77734375" style="2837" customWidth="1"/>
    <col min="1291" max="1291" width="11.77734375" style="2837" customWidth="1"/>
    <col min="1292" max="1293" width="10.77734375" style="2837" customWidth="1"/>
    <col min="1294" max="1294" width="10" style="2837" customWidth="1"/>
    <col min="1295" max="1296" width="10.44140625" style="2837" bestFit="1" customWidth="1"/>
    <col min="1297" max="1297" width="10" style="2837" customWidth="1"/>
    <col min="1298" max="1298" width="10.109375" style="2837" customWidth="1"/>
    <col min="1299" max="1299" width="10" style="2837" customWidth="1"/>
    <col min="1300" max="1300" width="26.109375" style="2837" customWidth="1"/>
    <col min="1301" max="1536" width="8.88671875" style="2837"/>
    <col min="1537" max="1537" width="9.44140625" style="2837" customWidth="1"/>
    <col min="1538" max="1538" width="8.88671875" style="2837"/>
    <col min="1539" max="1541" width="12.88671875" style="2837" customWidth="1"/>
    <col min="1542" max="1542" width="47.44140625" style="2837" customWidth="1"/>
    <col min="1543" max="1543" width="13" style="2837" customWidth="1"/>
    <col min="1544" max="1545" width="8.88671875" style="2837"/>
    <col min="1546" max="1546" width="5.77734375" style="2837" customWidth="1"/>
    <col min="1547" max="1547" width="11.77734375" style="2837" customWidth="1"/>
    <col min="1548" max="1549" width="10.77734375" style="2837" customWidth="1"/>
    <col min="1550" max="1550" width="10" style="2837" customWidth="1"/>
    <col min="1551" max="1552" width="10.44140625" style="2837" bestFit="1" customWidth="1"/>
    <col min="1553" max="1553" width="10" style="2837" customWidth="1"/>
    <col min="1554" max="1554" width="10.109375" style="2837" customWidth="1"/>
    <col min="1555" max="1555" width="10" style="2837" customWidth="1"/>
    <col min="1556" max="1556" width="26.109375" style="2837" customWidth="1"/>
    <col min="1557" max="1792" width="8.88671875" style="2837"/>
    <col min="1793" max="1793" width="9.44140625" style="2837" customWidth="1"/>
    <col min="1794" max="1794" width="8.88671875" style="2837"/>
    <col min="1795" max="1797" width="12.88671875" style="2837" customWidth="1"/>
    <col min="1798" max="1798" width="47.44140625" style="2837" customWidth="1"/>
    <col min="1799" max="1799" width="13" style="2837" customWidth="1"/>
    <col min="1800" max="1801" width="8.88671875" style="2837"/>
    <col min="1802" max="1802" width="5.77734375" style="2837" customWidth="1"/>
    <col min="1803" max="1803" width="11.77734375" style="2837" customWidth="1"/>
    <col min="1804" max="1805" width="10.77734375" style="2837" customWidth="1"/>
    <col min="1806" max="1806" width="10" style="2837" customWidth="1"/>
    <col min="1807" max="1808" width="10.44140625" style="2837" bestFit="1" customWidth="1"/>
    <col min="1809" max="1809" width="10" style="2837" customWidth="1"/>
    <col min="1810" max="1810" width="10.109375" style="2837" customWidth="1"/>
    <col min="1811" max="1811" width="10" style="2837" customWidth="1"/>
    <col min="1812" max="1812" width="26.109375" style="2837" customWidth="1"/>
    <col min="1813" max="2048" width="8.88671875" style="2837"/>
    <col min="2049" max="2049" width="9.44140625" style="2837" customWidth="1"/>
    <col min="2050" max="2050" width="8.88671875" style="2837"/>
    <col min="2051" max="2053" width="12.88671875" style="2837" customWidth="1"/>
    <col min="2054" max="2054" width="47.44140625" style="2837" customWidth="1"/>
    <col min="2055" max="2055" width="13" style="2837" customWidth="1"/>
    <col min="2056" max="2057" width="8.88671875" style="2837"/>
    <col min="2058" max="2058" width="5.77734375" style="2837" customWidth="1"/>
    <col min="2059" max="2059" width="11.77734375" style="2837" customWidth="1"/>
    <col min="2060" max="2061" width="10.77734375" style="2837" customWidth="1"/>
    <col min="2062" max="2062" width="10" style="2837" customWidth="1"/>
    <col min="2063" max="2064" width="10.44140625" style="2837" bestFit="1" customWidth="1"/>
    <col min="2065" max="2065" width="10" style="2837" customWidth="1"/>
    <col min="2066" max="2066" width="10.109375" style="2837" customWidth="1"/>
    <col min="2067" max="2067" width="10" style="2837" customWidth="1"/>
    <col min="2068" max="2068" width="26.109375" style="2837" customWidth="1"/>
    <col min="2069" max="2304" width="8.88671875" style="2837"/>
    <col min="2305" max="2305" width="9.44140625" style="2837" customWidth="1"/>
    <col min="2306" max="2306" width="8.88671875" style="2837"/>
    <col min="2307" max="2309" width="12.88671875" style="2837" customWidth="1"/>
    <col min="2310" max="2310" width="47.44140625" style="2837" customWidth="1"/>
    <col min="2311" max="2311" width="13" style="2837" customWidth="1"/>
    <col min="2312" max="2313" width="8.88671875" style="2837"/>
    <col min="2314" max="2314" width="5.77734375" style="2837" customWidth="1"/>
    <col min="2315" max="2315" width="11.77734375" style="2837" customWidth="1"/>
    <col min="2316" max="2317" width="10.77734375" style="2837" customWidth="1"/>
    <col min="2318" max="2318" width="10" style="2837" customWidth="1"/>
    <col min="2319" max="2320" width="10.44140625" style="2837" bestFit="1" customWidth="1"/>
    <col min="2321" max="2321" width="10" style="2837" customWidth="1"/>
    <col min="2322" max="2322" width="10.109375" style="2837" customWidth="1"/>
    <col min="2323" max="2323" width="10" style="2837" customWidth="1"/>
    <col min="2324" max="2324" width="26.109375" style="2837" customWidth="1"/>
    <col min="2325" max="2560" width="8.88671875" style="2837"/>
    <col min="2561" max="2561" width="9.44140625" style="2837" customWidth="1"/>
    <col min="2562" max="2562" width="8.88671875" style="2837"/>
    <col min="2563" max="2565" width="12.88671875" style="2837" customWidth="1"/>
    <col min="2566" max="2566" width="47.44140625" style="2837" customWidth="1"/>
    <col min="2567" max="2567" width="13" style="2837" customWidth="1"/>
    <col min="2568" max="2569" width="8.88671875" style="2837"/>
    <col min="2570" max="2570" width="5.77734375" style="2837" customWidth="1"/>
    <col min="2571" max="2571" width="11.77734375" style="2837" customWidth="1"/>
    <col min="2572" max="2573" width="10.77734375" style="2837" customWidth="1"/>
    <col min="2574" max="2574" width="10" style="2837" customWidth="1"/>
    <col min="2575" max="2576" width="10.44140625" style="2837" bestFit="1" customWidth="1"/>
    <col min="2577" max="2577" width="10" style="2837" customWidth="1"/>
    <col min="2578" max="2578" width="10.109375" style="2837" customWidth="1"/>
    <col min="2579" max="2579" width="10" style="2837" customWidth="1"/>
    <col min="2580" max="2580" width="26.109375" style="2837" customWidth="1"/>
    <col min="2581" max="2816" width="8.88671875" style="2837"/>
    <col min="2817" max="2817" width="9.44140625" style="2837" customWidth="1"/>
    <col min="2818" max="2818" width="8.88671875" style="2837"/>
    <col min="2819" max="2821" width="12.88671875" style="2837" customWidth="1"/>
    <col min="2822" max="2822" width="47.44140625" style="2837" customWidth="1"/>
    <col min="2823" max="2823" width="13" style="2837" customWidth="1"/>
    <col min="2824" max="2825" width="8.88671875" style="2837"/>
    <col min="2826" max="2826" width="5.77734375" style="2837" customWidth="1"/>
    <col min="2827" max="2827" width="11.77734375" style="2837" customWidth="1"/>
    <col min="2828" max="2829" width="10.77734375" style="2837" customWidth="1"/>
    <col min="2830" max="2830" width="10" style="2837" customWidth="1"/>
    <col min="2831" max="2832" width="10.44140625" style="2837" bestFit="1" customWidth="1"/>
    <col min="2833" max="2833" width="10" style="2837" customWidth="1"/>
    <col min="2834" max="2834" width="10.109375" style="2837" customWidth="1"/>
    <col min="2835" max="2835" width="10" style="2837" customWidth="1"/>
    <col min="2836" max="2836" width="26.109375" style="2837" customWidth="1"/>
    <col min="2837" max="3072" width="8.88671875" style="2837"/>
    <col min="3073" max="3073" width="9.44140625" style="2837" customWidth="1"/>
    <col min="3074" max="3074" width="8.88671875" style="2837"/>
    <col min="3075" max="3077" width="12.88671875" style="2837" customWidth="1"/>
    <col min="3078" max="3078" width="47.44140625" style="2837" customWidth="1"/>
    <col min="3079" max="3079" width="13" style="2837" customWidth="1"/>
    <col min="3080" max="3081" width="8.88671875" style="2837"/>
    <col min="3082" max="3082" width="5.77734375" style="2837" customWidth="1"/>
    <col min="3083" max="3083" width="11.77734375" style="2837" customWidth="1"/>
    <col min="3084" max="3085" width="10.77734375" style="2837" customWidth="1"/>
    <col min="3086" max="3086" width="10" style="2837" customWidth="1"/>
    <col min="3087" max="3088" width="10.44140625" style="2837" bestFit="1" customWidth="1"/>
    <col min="3089" max="3089" width="10" style="2837" customWidth="1"/>
    <col min="3090" max="3090" width="10.109375" style="2837" customWidth="1"/>
    <col min="3091" max="3091" width="10" style="2837" customWidth="1"/>
    <col min="3092" max="3092" width="26.109375" style="2837" customWidth="1"/>
    <col min="3093" max="3328" width="8.88671875" style="2837"/>
    <col min="3329" max="3329" width="9.44140625" style="2837" customWidth="1"/>
    <col min="3330" max="3330" width="8.88671875" style="2837"/>
    <col min="3331" max="3333" width="12.88671875" style="2837" customWidth="1"/>
    <col min="3334" max="3334" width="47.44140625" style="2837" customWidth="1"/>
    <col min="3335" max="3335" width="13" style="2837" customWidth="1"/>
    <col min="3336" max="3337" width="8.88671875" style="2837"/>
    <col min="3338" max="3338" width="5.77734375" style="2837" customWidth="1"/>
    <col min="3339" max="3339" width="11.77734375" style="2837" customWidth="1"/>
    <col min="3340" max="3341" width="10.77734375" style="2837" customWidth="1"/>
    <col min="3342" max="3342" width="10" style="2837" customWidth="1"/>
    <col min="3343" max="3344" width="10.44140625" style="2837" bestFit="1" customWidth="1"/>
    <col min="3345" max="3345" width="10" style="2837" customWidth="1"/>
    <col min="3346" max="3346" width="10.109375" style="2837" customWidth="1"/>
    <col min="3347" max="3347" width="10" style="2837" customWidth="1"/>
    <col min="3348" max="3348" width="26.109375" style="2837" customWidth="1"/>
    <col min="3349" max="3584" width="8.88671875" style="2837"/>
    <col min="3585" max="3585" width="9.44140625" style="2837" customWidth="1"/>
    <col min="3586" max="3586" width="8.88671875" style="2837"/>
    <col min="3587" max="3589" width="12.88671875" style="2837" customWidth="1"/>
    <col min="3590" max="3590" width="47.44140625" style="2837" customWidth="1"/>
    <col min="3591" max="3591" width="13" style="2837" customWidth="1"/>
    <col min="3592" max="3593" width="8.88671875" style="2837"/>
    <col min="3594" max="3594" width="5.77734375" style="2837" customWidth="1"/>
    <col min="3595" max="3595" width="11.77734375" style="2837" customWidth="1"/>
    <col min="3596" max="3597" width="10.77734375" style="2837" customWidth="1"/>
    <col min="3598" max="3598" width="10" style="2837" customWidth="1"/>
    <col min="3599" max="3600" width="10.44140625" style="2837" bestFit="1" customWidth="1"/>
    <col min="3601" max="3601" width="10" style="2837" customWidth="1"/>
    <col min="3602" max="3602" width="10.109375" style="2837" customWidth="1"/>
    <col min="3603" max="3603" width="10" style="2837" customWidth="1"/>
    <col min="3604" max="3604" width="26.109375" style="2837" customWidth="1"/>
    <col min="3605" max="3840" width="8.88671875" style="2837"/>
    <col min="3841" max="3841" width="9.44140625" style="2837" customWidth="1"/>
    <col min="3842" max="3842" width="8.88671875" style="2837"/>
    <col min="3843" max="3845" width="12.88671875" style="2837" customWidth="1"/>
    <col min="3846" max="3846" width="47.44140625" style="2837" customWidth="1"/>
    <col min="3847" max="3847" width="13" style="2837" customWidth="1"/>
    <col min="3848" max="3849" width="8.88671875" style="2837"/>
    <col min="3850" max="3850" width="5.77734375" style="2837" customWidth="1"/>
    <col min="3851" max="3851" width="11.77734375" style="2837" customWidth="1"/>
    <col min="3852" max="3853" width="10.77734375" style="2837" customWidth="1"/>
    <col min="3854" max="3854" width="10" style="2837" customWidth="1"/>
    <col min="3855" max="3856" width="10.44140625" style="2837" bestFit="1" customWidth="1"/>
    <col min="3857" max="3857" width="10" style="2837" customWidth="1"/>
    <col min="3858" max="3858" width="10.109375" style="2837" customWidth="1"/>
    <col min="3859" max="3859" width="10" style="2837" customWidth="1"/>
    <col min="3860" max="3860" width="26.109375" style="2837" customWidth="1"/>
    <col min="3861" max="4096" width="8.88671875" style="2837"/>
    <col min="4097" max="4097" width="9.44140625" style="2837" customWidth="1"/>
    <col min="4098" max="4098" width="8.88671875" style="2837"/>
    <col min="4099" max="4101" width="12.88671875" style="2837" customWidth="1"/>
    <col min="4102" max="4102" width="47.44140625" style="2837" customWidth="1"/>
    <col min="4103" max="4103" width="13" style="2837" customWidth="1"/>
    <col min="4104" max="4105" width="8.88671875" style="2837"/>
    <col min="4106" max="4106" width="5.77734375" style="2837" customWidth="1"/>
    <col min="4107" max="4107" width="11.77734375" style="2837" customWidth="1"/>
    <col min="4108" max="4109" width="10.77734375" style="2837" customWidth="1"/>
    <col min="4110" max="4110" width="10" style="2837" customWidth="1"/>
    <col min="4111" max="4112" width="10.44140625" style="2837" bestFit="1" customWidth="1"/>
    <col min="4113" max="4113" width="10" style="2837" customWidth="1"/>
    <col min="4114" max="4114" width="10.109375" style="2837" customWidth="1"/>
    <col min="4115" max="4115" width="10" style="2837" customWidth="1"/>
    <col min="4116" max="4116" width="26.109375" style="2837" customWidth="1"/>
    <col min="4117" max="4352" width="8.88671875" style="2837"/>
    <col min="4353" max="4353" width="9.44140625" style="2837" customWidth="1"/>
    <col min="4354" max="4354" width="8.88671875" style="2837"/>
    <col min="4355" max="4357" width="12.88671875" style="2837" customWidth="1"/>
    <col min="4358" max="4358" width="47.44140625" style="2837" customWidth="1"/>
    <col min="4359" max="4359" width="13" style="2837" customWidth="1"/>
    <col min="4360" max="4361" width="8.88671875" style="2837"/>
    <col min="4362" max="4362" width="5.77734375" style="2837" customWidth="1"/>
    <col min="4363" max="4363" width="11.77734375" style="2837" customWidth="1"/>
    <col min="4364" max="4365" width="10.77734375" style="2837" customWidth="1"/>
    <col min="4366" max="4366" width="10" style="2837" customWidth="1"/>
    <col min="4367" max="4368" width="10.44140625" style="2837" bestFit="1" customWidth="1"/>
    <col min="4369" max="4369" width="10" style="2837" customWidth="1"/>
    <col min="4370" max="4370" width="10.109375" style="2837" customWidth="1"/>
    <col min="4371" max="4371" width="10" style="2837" customWidth="1"/>
    <col min="4372" max="4372" width="26.109375" style="2837" customWidth="1"/>
    <col min="4373" max="4608" width="8.88671875" style="2837"/>
    <col min="4609" max="4609" width="9.44140625" style="2837" customWidth="1"/>
    <col min="4610" max="4610" width="8.88671875" style="2837"/>
    <col min="4611" max="4613" width="12.88671875" style="2837" customWidth="1"/>
    <col min="4614" max="4614" width="47.44140625" style="2837" customWidth="1"/>
    <col min="4615" max="4615" width="13" style="2837" customWidth="1"/>
    <col min="4616" max="4617" width="8.88671875" style="2837"/>
    <col min="4618" max="4618" width="5.77734375" style="2837" customWidth="1"/>
    <col min="4619" max="4619" width="11.77734375" style="2837" customWidth="1"/>
    <col min="4620" max="4621" width="10.77734375" style="2837" customWidth="1"/>
    <col min="4622" max="4622" width="10" style="2837" customWidth="1"/>
    <col min="4623" max="4624" width="10.44140625" style="2837" bestFit="1" customWidth="1"/>
    <col min="4625" max="4625" width="10" style="2837" customWidth="1"/>
    <col min="4626" max="4626" width="10.109375" style="2837" customWidth="1"/>
    <col min="4627" max="4627" width="10" style="2837" customWidth="1"/>
    <col min="4628" max="4628" width="26.109375" style="2837" customWidth="1"/>
    <col min="4629" max="4864" width="8.88671875" style="2837"/>
    <col min="4865" max="4865" width="9.44140625" style="2837" customWidth="1"/>
    <col min="4866" max="4866" width="8.88671875" style="2837"/>
    <col min="4867" max="4869" width="12.88671875" style="2837" customWidth="1"/>
    <col min="4870" max="4870" width="47.44140625" style="2837" customWidth="1"/>
    <col min="4871" max="4871" width="13" style="2837" customWidth="1"/>
    <col min="4872" max="4873" width="8.88671875" style="2837"/>
    <col min="4874" max="4874" width="5.77734375" style="2837" customWidth="1"/>
    <col min="4875" max="4875" width="11.77734375" style="2837" customWidth="1"/>
    <col min="4876" max="4877" width="10.77734375" style="2837" customWidth="1"/>
    <col min="4878" max="4878" width="10" style="2837" customWidth="1"/>
    <col min="4879" max="4880" width="10.44140625" style="2837" bestFit="1" customWidth="1"/>
    <col min="4881" max="4881" width="10" style="2837" customWidth="1"/>
    <col min="4882" max="4882" width="10.109375" style="2837" customWidth="1"/>
    <col min="4883" max="4883" width="10" style="2837" customWidth="1"/>
    <col min="4884" max="4884" width="26.109375" style="2837" customWidth="1"/>
    <col min="4885" max="5120" width="8.88671875" style="2837"/>
    <col min="5121" max="5121" width="9.44140625" style="2837" customWidth="1"/>
    <col min="5122" max="5122" width="8.88671875" style="2837"/>
    <col min="5123" max="5125" width="12.88671875" style="2837" customWidth="1"/>
    <col min="5126" max="5126" width="47.44140625" style="2837" customWidth="1"/>
    <col min="5127" max="5127" width="13" style="2837" customWidth="1"/>
    <col min="5128" max="5129" width="8.88671875" style="2837"/>
    <col min="5130" max="5130" width="5.77734375" style="2837" customWidth="1"/>
    <col min="5131" max="5131" width="11.77734375" style="2837" customWidth="1"/>
    <col min="5132" max="5133" width="10.77734375" style="2837" customWidth="1"/>
    <col min="5134" max="5134" width="10" style="2837" customWidth="1"/>
    <col min="5135" max="5136" width="10.44140625" style="2837" bestFit="1" customWidth="1"/>
    <col min="5137" max="5137" width="10" style="2837" customWidth="1"/>
    <col min="5138" max="5138" width="10.109375" style="2837" customWidth="1"/>
    <col min="5139" max="5139" width="10" style="2837" customWidth="1"/>
    <col min="5140" max="5140" width="26.109375" style="2837" customWidth="1"/>
    <col min="5141" max="5376" width="8.88671875" style="2837"/>
    <col min="5377" max="5377" width="9.44140625" style="2837" customWidth="1"/>
    <col min="5378" max="5378" width="8.88671875" style="2837"/>
    <col min="5379" max="5381" width="12.88671875" style="2837" customWidth="1"/>
    <col min="5382" max="5382" width="47.44140625" style="2837" customWidth="1"/>
    <col min="5383" max="5383" width="13" style="2837" customWidth="1"/>
    <col min="5384" max="5385" width="8.88671875" style="2837"/>
    <col min="5386" max="5386" width="5.77734375" style="2837" customWidth="1"/>
    <col min="5387" max="5387" width="11.77734375" style="2837" customWidth="1"/>
    <col min="5388" max="5389" width="10.77734375" style="2837" customWidth="1"/>
    <col min="5390" max="5390" width="10" style="2837" customWidth="1"/>
    <col min="5391" max="5392" width="10.44140625" style="2837" bestFit="1" customWidth="1"/>
    <col min="5393" max="5393" width="10" style="2837" customWidth="1"/>
    <col min="5394" max="5394" width="10.109375" style="2837" customWidth="1"/>
    <col min="5395" max="5395" width="10" style="2837" customWidth="1"/>
    <col min="5396" max="5396" width="26.109375" style="2837" customWidth="1"/>
    <col min="5397" max="5632" width="8.88671875" style="2837"/>
    <col min="5633" max="5633" width="9.44140625" style="2837" customWidth="1"/>
    <col min="5634" max="5634" width="8.88671875" style="2837"/>
    <col min="5635" max="5637" width="12.88671875" style="2837" customWidth="1"/>
    <col min="5638" max="5638" width="47.44140625" style="2837" customWidth="1"/>
    <col min="5639" max="5639" width="13" style="2837" customWidth="1"/>
    <col min="5640" max="5641" width="8.88671875" style="2837"/>
    <col min="5642" max="5642" width="5.77734375" style="2837" customWidth="1"/>
    <col min="5643" max="5643" width="11.77734375" style="2837" customWidth="1"/>
    <col min="5644" max="5645" width="10.77734375" style="2837" customWidth="1"/>
    <col min="5646" max="5646" width="10" style="2837" customWidth="1"/>
    <col min="5647" max="5648" width="10.44140625" style="2837" bestFit="1" customWidth="1"/>
    <col min="5649" max="5649" width="10" style="2837" customWidth="1"/>
    <col min="5650" max="5650" width="10.109375" style="2837" customWidth="1"/>
    <col min="5651" max="5651" width="10" style="2837" customWidth="1"/>
    <col min="5652" max="5652" width="26.109375" style="2837" customWidth="1"/>
    <col min="5653" max="5888" width="8.88671875" style="2837"/>
    <col min="5889" max="5889" width="9.44140625" style="2837" customWidth="1"/>
    <col min="5890" max="5890" width="8.88671875" style="2837"/>
    <col min="5891" max="5893" width="12.88671875" style="2837" customWidth="1"/>
    <col min="5894" max="5894" width="47.44140625" style="2837" customWidth="1"/>
    <col min="5895" max="5895" width="13" style="2837" customWidth="1"/>
    <col min="5896" max="5897" width="8.88671875" style="2837"/>
    <col min="5898" max="5898" width="5.77734375" style="2837" customWidth="1"/>
    <col min="5899" max="5899" width="11.77734375" style="2837" customWidth="1"/>
    <col min="5900" max="5901" width="10.77734375" style="2837" customWidth="1"/>
    <col min="5902" max="5902" width="10" style="2837" customWidth="1"/>
    <col min="5903" max="5904" width="10.44140625" style="2837" bestFit="1" customWidth="1"/>
    <col min="5905" max="5905" width="10" style="2837" customWidth="1"/>
    <col min="5906" max="5906" width="10.109375" style="2837" customWidth="1"/>
    <col min="5907" max="5907" width="10" style="2837" customWidth="1"/>
    <col min="5908" max="5908" width="26.109375" style="2837" customWidth="1"/>
    <col min="5909" max="6144" width="8.88671875" style="2837"/>
    <col min="6145" max="6145" width="9.44140625" style="2837" customWidth="1"/>
    <col min="6146" max="6146" width="8.88671875" style="2837"/>
    <col min="6147" max="6149" width="12.88671875" style="2837" customWidth="1"/>
    <col min="6150" max="6150" width="47.44140625" style="2837" customWidth="1"/>
    <col min="6151" max="6151" width="13" style="2837" customWidth="1"/>
    <col min="6152" max="6153" width="8.88671875" style="2837"/>
    <col min="6154" max="6154" width="5.77734375" style="2837" customWidth="1"/>
    <col min="6155" max="6155" width="11.77734375" style="2837" customWidth="1"/>
    <col min="6156" max="6157" width="10.77734375" style="2837" customWidth="1"/>
    <col min="6158" max="6158" width="10" style="2837" customWidth="1"/>
    <col min="6159" max="6160" width="10.44140625" style="2837" bestFit="1" customWidth="1"/>
    <col min="6161" max="6161" width="10" style="2837" customWidth="1"/>
    <col min="6162" max="6162" width="10.109375" style="2837" customWidth="1"/>
    <col min="6163" max="6163" width="10" style="2837" customWidth="1"/>
    <col min="6164" max="6164" width="26.109375" style="2837" customWidth="1"/>
    <col min="6165" max="6400" width="8.88671875" style="2837"/>
    <col min="6401" max="6401" width="9.44140625" style="2837" customWidth="1"/>
    <col min="6402" max="6402" width="8.88671875" style="2837"/>
    <col min="6403" max="6405" width="12.88671875" style="2837" customWidth="1"/>
    <col min="6406" max="6406" width="47.44140625" style="2837" customWidth="1"/>
    <col min="6407" max="6407" width="13" style="2837" customWidth="1"/>
    <col min="6408" max="6409" width="8.88671875" style="2837"/>
    <col min="6410" max="6410" width="5.77734375" style="2837" customWidth="1"/>
    <col min="6411" max="6411" width="11.77734375" style="2837" customWidth="1"/>
    <col min="6412" max="6413" width="10.77734375" style="2837" customWidth="1"/>
    <col min="6414" max="6414" width="10" style="2837" customWidth="1"/>
    <col min="6415" max="6416" width="10.44140625" style="2837" bestFit="1" customWidth="1"/>
    <col min="6417" max="6417" width="10" style="2837" customWidth="1"/>
    <col min="6418" max="6418" width="10.109375" style="2837" customWidth="1"/>
    <col min="6419" max="6419" width="10" style="2837" customWidth="1"/>
    <col min="6420" max="6420" width="26.109375" style="2837" customWidth="1"/>
    <col min="6421" max="6656" width="8.88671875" style="2837"/>
    <col min="6657" max="6657" width="9.44140625" style="2837" customWidth="1"/>
    <col min="6658" max="6658" width="8.88671875" style="2837"/>
    <col min="6659" max="6661" width="12.88671875" style="2837" customWidth="1"/>
    <col min="6662" max="6662" width="47.44140625" style="2837" customWidth="1"/>
    <col min="6663" max="6663" width="13" style="2837" customWidth="1"/>
    <col min="6664" max="6665" width="8.88671875" style="2837"/>
    <col min="6666" max="6666" width="5.77734375" style="2837" customWidth="1"/>
    <col min="6667" max="6667" width="11.77734375" style="2837" customWidth="1"/>
    <col min="6668" max="6669" width="10.77734375" style="2837" customWidth="1"/>
    <col min="6670" max="6670" width="10" style="2837" customWidth="1"/>
    <col min="6671" max="6672" width="10.44140625" style="2837" bestFit="1" customWidth="1"/>
    <col min="6673" max="6673" width="10" style="2837" customWidth="1"/>
    <col min="6674" max="6674" width="10.109375" style="2837" customWidth="1"/>
    <col min="6675" max="6675" width="10" style="2837" customWidth="1"/>
    <col min="6676" max="6676" width="26.109375" style="2837" customWidth="1"/>
    <col min="6677" max="6912" width="8.88671875" style="2837"/>
    <col min="6913" max="6913" width="9.44140625" style="2837" customWidth="1"/>
    <col min="6914" max="6914" width="8.88671875" style="2837"/>
    <col min="6915" max="6917" width="12.88671875" style="2837" customWidth="1"/>
    <col min="6918" max="6918" width="47.44140625" style="2837" customWidth="1"/>
    <col min="6919" max="6919" width="13" style="2837" customWidth="1"/>
    <col min="6920" max="6921" width="8.88671875" style="2837"/>
    <col min="6922" max="6922" width="5.77734375" style="2837" customWidth="1"/>
    <col min="6923" max="6923" width="11.77734375" style="2837" customWidth="1"/>
    <col min="6924" max="6925" width="10.77734375" style="2837" customWidth="1"/>
    <col min="6926" max="6926" width="10" style="2837" customWidth="1"/>
    <col min="6927" max="6928" width="10.44140625" style="2837" bestFit="1" customWidth="1"/>
    <col min="6929" max="6929" width="10" style="2837" customWidth="1"/>
    <col min="6930" max="6930" width="10.109375" style="2837" customWidth="1"/>
    <col min="6931" max="6931" width="10" style="2837" customWidth="1"/>
    <col min="6932" max="6932" width="26.109375" style="2837" customWidth="1"/>
    <col min="6933" max="7168" width="8.88671875" style="2837"/>
    <col min="7169" max="7169" width="9.44140625" style="2837" customWidth="1"/>
    <col min="7170" max="7170" width="8.88671875" style="2837"/>
    <col min="7171" max="7173" width="12.88671875" style="2837" customWidth="1"/>
    <col min="7174" max="7174" width="47.44140625" style="2837" customWidth="1"/>
    <col min="7175" max="7175" width="13" style="2837" customWidth="1"/>
    <col min="7176" max="7177" width="8.88671875" style="2837"/>
    <col min="7178" max="7178" width="5.77734375" style="2837" customWidth="1"/>
    <col min="7179" max="7179" width="11.77734375" style="2837" customWidth="1"/>
    <col min="7180" max="7181" width="10.77734375" style="2837" customWidth="1"/>
    <col min="7182" max="7182" width="10" style="2837" customWidth="1"/>
    <col min="7183" max="7184" width="10.44140625" style="2837" bestFit="1" customWidth="1"/>
    <col min="7185" max="7185" width="10" style="2837" customWidth="1"/>
    <col min="7186" max="7186" width="10.109375" style="2837" customWidth="1"/>
    <col min="7187" max="7187" width="10" style="2837" customWidth="1"/>
    <col min="7188" max="7188" width="26.109375" style="2837" customWidth="1"/>
    <col min="7189" max="7424" width="8.88671875" style="2837"/>
    <col min="7425" max="7425" width="9.44140625" style="2837" customWidth="1"/>
    <col min="7426" max="7426" width="8.88671875" style="2837"/>
    <col min="7427" max="7429" width="12.88671875" style="2837" customWidth="1"/>
    <col min="7430" max="7430" width="47.44140625" style="2837" customWidth="1"/>
    <col min="7431" max="7431" width="13" style="2837" customWidth="1"/>
    <col min="7432" max="7433" width="8.88671875" style="2837"/>
    <col min="7434" max="7434" width="5.77734375" style="2837" customWidth="1"/>
    <col min="7435" max="7435" width="11.77734375" style="2837" customWidth="1"/>
    <col min="7436" max="7437" width="10.77734375" style="2837" customWidth="1"/>
    <col min="7438" max="7438" width="10" style="2837" customWidth="1"/>
    <col min="7439" max="7440" width="10.44140625" style="2837" bestFit="1" customWidth="1"/>
    <col min="7441" max="7441" width="10" style="2837" customWidth="1"/>
    <col min="7442" max="7442" width="10.109375" style="2837" customWidth="1"/>
    <col min="7443" max="7443" width="10" style="2837" customWidth="1"/>
    <col min="7444" max="7444" width="26.109375" style="2837" customWidth="1"/>
    <col min="7445" max="7680" width="8.88671875" style="2837"/>
    <col min="7681" max="7681" width="9.44140625" style="2837" customWidth="1"/>
    <col min="7682" max="7682" width="8.88671875" style="2837"/>
    <col min="7683" max="7685" width="12.88671875" style="2837" customWidth="1"/>
    <col min="7686" max="7686" width="47.44140625" style="2837" customWidth="1"/>
    <col min="7687" max="7687" width="13" style="2837" customWidth="1"/>
    <col min="7688" max="7689" width="8.88671875" style="2837"/>
    <col min="7690" max="7690" width="5.77734375" style="2837" customWidth="1"/>
    <col min="7691" max="7691" width="11.77734375" style="2837" customWidth="1"/>
    <col min="7692" max="7693" width="10.77734375" style="2837" customWidth="1"/>
    <col min="7694" max="7694" width="10" style="2837" customWidth="1"/>
    <col min="7695" max="7696" width="10.44140625" style="2837" bestFit="1" customWidth="1"/>
    <col min="7697" max="7697" width="10" style="2837" customWidth="1"/>
    <col min="7698" max="7698" width="10.109375" style="2837" customWidth="1"/>
    <col min="7699" max="7699" width="10" style="2837" customWidth="1"/>
    <col min="7700" max="7700" width="26.109375" style="2837" customWidth="1"/>
    <col min="7701" max="7936" width="8.88671875" style="2837"/>
    <col min="7937" max="7937" width="9.44140625" style="2837" customWidth="1"/>
    <col min="7938" max="7938" width="8.88671875" style="2837"/>
    <col min="7939" max="7941" width="12.88671875" style="2837" customWidth="1"/>
    <col min="7942" max="7942" width="47.44140625" style="2837" customWidth="1"/>
    <col min="7943" max="7943" width="13" style="2837" customWidth="1"/>
    <col min="7944" max="7945" width="8.88671875" style="2837"/>
    <col min="7946" max="7946" width="5.77734375" style="2837" customWidth="1"/>
    <col min="7947" max="7947" width="11.77734375" style="2837" customWidth="1"/>
    <col min="7948" max="7949" width="10.77734375" style="2837" customWidth="1"/>
    <col min="7950" max="7950" width="10" style="2837" customWidth="1"/>
    <col min="7951" max="7952" width="10.44140625" style="2837" bestFit="1" customWidth="1"/>
    <col min="7953" max="7953" width="10" style="2837" customWidth="1"/>
    <col min="7954" max="7954" width="10.109375" style="2837" customWidth="1"/>
    <col min="7955" max="7955" width="10" style="2837" customWidth="1"/>
    <col min="7956" max="7956" width="26.109375" style="2837" customWidth="1"/>
    <col min="7957" max="8192" width="8.88671875" style="2837"/>
    <col min="8193" max="8193" width="9.44140625" style="2837" customWidth="1"/>
    <col min="8194" max="8194" width="8.88671875" style="2837"/>
    <col min="8195" max="8197" width="12.88671875" style="2837" customWidth="1"/>
    <col min="8198" max="8198" width="47.44140625" style="2837" customWidth="1"/>
    <col min="8199" max="8199" width="13" style="2837" customWidth="1"/>
    <col min="8200" max="8201" width="8.88671875" style="2837"/>
    <col min="8202" max="8202" width="5.77734375" style="2837" customWidth="1"/>
    <col min="8203" max="8203" width="11.77734375" style="2837" customWidth="1"/>
    <col min="8204" max="8205" width="10.77734375" style="2837" customWidth="1"/>
    <col min="8206" max="8206" width="10" style="2837" customWidth="1"/>
    <col min="8207" max="8208" width="10.44140625" style="2837" bestFit="1" customWidth="1"/>
    <col min="8209" max="8209" width="10" style="2837" customWidth="1"/>
    <col min="8210" max="8210" width="10.109375" style="2837" customWidth="1"/>
    <col min="8211" max="8211" width="10" style="2837" customWidth="1"/>
    <col min="8212" max="8212" width="26.109375" style="2837" customWidth="1"/>
    <col min="8213" max="8448" width="8.88671875" style="2837"/>
    <col min="8449" max="8449" width="9.44140625" style="2837" customWidth="1"/>
    <col min="8450" max="8450" width="8.88671875" style="2837"/>
    <col min="8451" max="8453" width="12.88671875" style="2837" customWidth="1"/>
    <col min="8454" max="8454" width="47.44140625" style="2837" customWidth="1"/>
    <col min="8455" max="8455" width="13" style="2837" customWidth="1"/>
    <col min="8456" max="8457" width="8.88671875" style="2837"/>
    <col min="8458" max="8458" width="5.77734375" style="2837" customWidth="1"/>
    <col min="8459" max="8459" width="11.77734375" style="2837" customWidth="1"/>
    <col min="8460" max="8461" width="10.77734375" style="2837" customWidth="1"/>
    <col min="8462" max="8462" width="10" style="2837" customWidth="1"/>
    <col min="8463" max="8464" width="10.44140625" style="2837" bestFit="1" customWidth="1"/>
    <col min="8465" max="8465" width="10" style="2837" customWidth="1"/>
    <col min="8466" max="8466" width="10.109375" style="2837" customWidth="1"/>
    <col min="8467" max="8467" width="10" style="2837" customWidth="1"/>
    <col min="8468" max="8468" width="26.109375" style="2837" customWidth="1"/>
    <col min="8469" max="8704" width="8.88671875" style="2837"/>
    <col min="8705" max="8705" width="9.44140625" style="2837" customWidth="1"/>
    <col min="8706" max="8706" width="8.88671875" style="2837"/>
    <col min="8707" max="8709" width="12.88671875" style="2837" customWidth="1"/>
    <col min="8710" max="8710" width="47.44140625" style="2837" customWidth="1"/>
    <col min="8711" max="8711" width="13" style="2837" customWidth="1"/>
    <col min="8712" max="8713" width="8.88671875" style="2837"/>
    <col min="8714" max="8714" width="5.77734375" style="2837" customWidth="1"/>
    <col min="8715" max="8715" width="11.77734375" style="2837" customWidth="1"/>
    <col min="8716" max="8717" width="10.77734375" style="2837" customWidth="1"/>
    <col min="8718" max="8718" width="10" style="2837" customWidth="1"/>
    <col min="8719" max="8720" width="10.44140625" style="2837" bestFit="1" customWidth="1"/>
    <col min="8721" max="8721" width="10" style="2837" customWidth="1"/>
    <col min="8722" max="8722" width="10.109375" style="2837" customWidth="1"/>
    <col min="8723" max="8723" width="10" style="2837" customWidth="1"/>
    <col min="8724" max="8724" width="26.109375" style="2837" customWidth="1"/>
    <col min="8725" max="8960" width="8.88671875" style="2837"/>
    <col min="8961" max="8961" width="9.44140625" style="2837" customWidth="1"/>
    <col min="8962" max="8962" width="8.88671875" style="2837"/>
    <col min="8963" max="8965" width="12.88671875" style="2837" customWidth="1"/>
    <col min="8966" max="8966" width="47.44140625" style="2837" customWidth="1"/>
    <col min="8967" max="8967" width="13" style="2837" customWidth="1"/>
    <col min="8968" max="8969" width="8.88671875" style="2837"/>
    <col min="8970" max="8970" width="5.77734375" style="2837" customWidth="1"/>
    <col min="8971" max="8971" width="11.77734375" style="2837" customWidth="1"/>
    <col min="8972" max="8973" width="10.77734375" style="2837" customWidth="1"/>
    <col min="8974" max="8974" width="10" style="2837" customWidth="1"/>
    <col min="8975" max="8976" width="10.44140625" style="2837" bestFit="1" customWidth="1"/>
    <col min="8977" max="8977" width="10" style="2837" customWidth="1"/>
    <col min="8978" max="8978" width="10.109375" style="2837" customWidth="1"/>
    <col min="8979" max="8979" width="10" style="2837" customWidth="1"/>
    <col min="8980" max="8980" width="26.109375" style="2837" customWidth="1"/>
    <col min="8981" max="9216" width="8.88671875" style="2837"/>
    <col min="9217" max="9217" width="9.44140625" style="2837" customWidth="1"/>
    <col min="9218" max="9218" width="8.88671875" style="2837"/>
    <col min="9219" max="9221" width="12.88671875" style="2837" customWidth="1"/>
    <col min="9222" max="9222" width="47.44140625" style="2837" customWidth="1"/>
    <col min="9223" max="9223" width="13" style="2837" customWidth="1"/>
    <col min="9224" max="9225" width="8.88671875" style="2837"/>
    <col min="9226" max="9226" width="5.77734375" style="2837" customWidth="1"/>
    <col min="9227" max="9227" width="11.77734375" style="2837" customWidth="1"/>
    <col min="9228" max="9229" width="10.77734375" style="2837" customWidth="1"/>
    <col min="9230" max="9230" width="10" style="2837" customWidth="1"/>
    <col min="9231" max="9232" width="10.44140625" style="2837" bestFit="1" customWidth="1"/>
    <col min="9233" max="9233" width="10" style="2837" customWidth="1"/>
    <col min="9234" max="9234" width="10.109375" style="2837" customWidth="1"/>
    <col min="9235" max="9235" width="10" style="2837" customWidth="1"/>
    <col min="9236" max="9236" width="26.109375" style="2837" customWidth="1"/>
    <col min="9237" max="9472" width="8.88671875" style="2837"/>
    <col min="9473" max="9473" width="9.44140625" style="2837" customWidth="1"/>
    <col min="9474" max="9474" width="8.88671875" style="2837"/>
    <col min="9475" max="9477" width="12.88671875" style="2837" customWidth="1"/>
    <col min="9478" max="9478" width="47.44140625" style="2837" customWidth="1"/>
    <col min="9479" max="9479" width="13" style="2837" customWidth="1"/>
    <col min="9480" max="9481" width="8.88671875" style="2837"/>
    <col min="9482" max="9482" width="5.77734375" style="2837" customWidth="1"/>
    <col min="9483" max="9483" width="11.77734375" style="2837" customWidth="1"/>
    <col min="9484" max="9485" width="10.77734375" style="2837" customWidth="1"/>
    <col min="9486" max="9486" width="10" style="2837" customWidth="1"/>
    <col min="9487" max="9488" width="10.44140625" style="2837" bestFit="1" customWidth="1"/>
    <col min="9489" max="9489" width="10" style="2837" customWidth="1"/>
    <col min="9490" max="9490" width="10.109375" style="2837" customWidth="1"/>
    <col min="9491" max="9491" width="10" style="2837" customWidth="1"/>
    <col min="9492" max="9492" width="26.109375" style="2837" customWidth="1"/>
    <col min="9493" max="9728" width="8.88671875" style="2837"/>
    <col min="9729" max="9729" width="9.44140625" style="2837" customWidth="1"/>
    <col min="9730" max="9730" width="8.88671875" style="2837"/>
    <col min="9731" max="9733" width="12.88671875" style="2837" customWidth="1"/>
    <col min="9734" max="9734" width="47.44140625" style="2837" customWidth="1"/>
    <col min="9735" max="9735" width="13" style="2837" customWidth="1"/>
    <col min="9736" max="9737" width="8.88671875" style="2837"/>
    <col min="9738" max="9738" width="5.77734375" style="2837" customWidth="1"/>
    <col min="9739" max="9739" width="11.77734375" style="2837" customWidth="1"/>
    <col min="9740" max="9741" width="10.77734375" style="2837" customWidth="1"/>
    <col min="9742" max="9742" width="10" style="2837" customWidth="1"/>
    <col min="9743" max="9744" width="10.44140625" style="2837" bestFit="1" customWidth="1"/>
    <col min="9745" max="9745" width="10" style="2837" customWidth="1"/>
    <col min="9746" max="9746" width="10.109375" style="2837" customWidth="1"/>
    <col min="9747" max="9747" width="10" style="2837" customWidth="1"/>
    <col min="9748" max="9748" width="26.109375" style="2837" customWidth="1"/>
    <col min="9749" max="9984" width="8.88671875" style="2837"/>
    <col min="9985" max="9985" width="9.44140625" style="2837" customWidth="1"/>
    <col min="9986" max="9986" width="8.88671875" style="2837"/>
    <col min="9987" max="9989" width="12.88671875" style="2837" customWidth="1"/>
    <col min="9990" max="9990" width="47.44140625" style="2837" customWidth="1"/>
    <col min="9991" max="9991" width="13" style="2837" customWidth="1"/>
    <col min="9992" max="9993" width="8.88671875" style="2837"/>
    <col min="9994" max="9994" width="5.77734375" style="2837" customWidth="1"/>
    <col min="9995" max="9995" width="11.77734375" style="2837" customWidth="1"/>
    <col min="9996" max="9997" width="10.77734375" style="2837" customWidth="1"/>
    <col min="9998" max="9998" width="10" style="2837" customWidth="1"/>
    <col min="9999" max="10000" width="10.44140625" style="2837" bestFit="1" customWidth="1"/>
    <col min="10001" max="10001" width="10" style="2837" customWidth="1"/>
    <col min="10002" max="10002" width="10.109375" style="2837" customWidth="1"/>
    <col min="10003" max="10003" width="10" style="2837" customWidth="1"/>
    <col min="10004" max="10004" width="26.109375" style="2837" customWidth="1"/>
    <col min="10005" max="10240" width="8.88671875" style="2837"/>
    <col min="10241" max="10241" width="9.44140625" style="2837" customWidth="1"/>
    <col min="10242" max="10242" width="8.88671875" style="2837"/>
    <col min="10243" max="10245" width="12.88671875" style="2837" customWidth="1"/>
    <col min="10246" max="10246" width="47.44140625" style="2837" customWidth="1"/>
    <col min="10247" max="10247" width="13" style="2837" customWidth="1"/>
    <col min="10248" max="10249" width="8.88671875" style="2837"/>
    <col min="10250" max="10250" width="5.77734375" style="2837" customWidth="1"/>
    <col min="10251" max="10251" width="11.77734375" style="2837" customWidth="1"/>
    <col min="10252" max="10253" width="10.77734375" style="2837" customWidth="1"/>
    <col min="10254" max="10254" width="10" style="2837" customWidth="1"/>
    <col min="10255" max="10256" width="10.44140625" style="2837" bestFit="1" customWidth="1"/>
    <col min="10257" max="10257" width="10" style="2837" customWidth="1"/>
    <col min="10258" max="10258" width="10.109375" style="2837" customWidth="1"/>
    <col min="10259" max="10259" width="10" style="2837" customWidth="1"/>
    <col min="10260" max="10260" width="26.109375" style="2837" customWidth="1"/>
    <col min="10261" max="10496" width="8.88671875" style="2837"/>
    <col min="10497" max="10497" width="9.44140625" style="2837" customWidth="1"/>
    <col min="10498" max="10498" width="8.88671875" style="2837"/>
    <col min="10499" max="10501" width="12.88671875" style="2837" customWidth="1"/>
    <col min="10502" max="10502" width="47.44140625" style="2837" customWidth="1"/>
    <col min="10503" max="10503" width="13" style="2837" customWidth="1"/>
    <col min="10504" max="10505" width="8.88671875" style="2837"/>
    <col min="10506" max="10506" width="5.77734375" style="2837" customWidth="1"/>
    <col min="10507" max="10507" width="11.77734375" style="2837" customWidth="1"/>
    <col min="10508" max="10509" width="10.77734375" style="2837" customWidth="1"/>
    <col min="10510" max="10510" width="10" style="2837" customWidth="1"/>
    <col min="10511" max="10512" width="10.44140625" style="2837" bestFit="1" customWidth="1"/>
    <col min="10513" max="10513" width="10" style="2837" customWidth="1"/>
    <col min="10514" max="10514" width="10.109375" style="2837" customWidth="1"/>
    <col min="10515" max="10515" width="10" style="2837" customWidth="1"/>
    <col min="10516" max="10516" width="26.109375" style="2837" customWidth="1"/>
    <col min="10517" max="10752" width="8.88671875" style="2837"/>
    <col min="10753" max="10753" width="9.44140625" style="2837" customWidth="1"/>
    <col min="10754" max="10754" width="8.88671875" style="2837"/>
    <col min="10755" max="10757" width="12.88671875" style="2837" customWidth="1"/>
    <col min="10758" max="10758" width="47.44140625" style="2837" customWidth="1"/>
    <col min="10759" max="10759" width="13" style="2837" customWidth="1"/>
    <col min="10760" max="10761" width="8.88671875" style="2837"/>
    <col min="10762" max="10762" width="5.77734375" style="2837" customWidth="1"/>
    <col min="10763" max="10763" width="11.77734375" style="2837" customWidth="1"/>
    <col min="10764" max="10765" width="10.77734375" style="2837" customWidth="1"/>
    <col min="10766" max="10766" width="10" style="2837" customWidth="1"/>
    <col min="10767" max="10768" width="10.44140625" style="2837" bestFit="1" customWidth="1"/>
    <col min="10769" max="10769" width="10" style="2837" customWidth="1"/>
    <col min="10770" max="10770" width="10.109375" style="2837" customWidth="1"/>
    <col min="10771" max="10771" width="10" style="2837" customWidth="1"/>
    <col min="10772" max="10772" width="26.109375" style="2837" customWidth="1"/>
    <col min="10773" max="11008" width="8.88671875" style="2837"/>
    <col min="11009" max="11009" width="9.44140625" style="2837" customWidth="1"/>
    <col min="11010" max="11010" width="8.88671875" style="2837"/>
    <col min="11011" max="11013" width="12.88671875" style="2837" customWidth="1"/>
    <col min="11014" max="11014" width="47.44140625" style="2837" customWidth="1"/>
    <col min="11015" max="11015" width="13" style="2837" customWidth="1"/>
    <col min="11016" max="11017" width="8.88671875" style="2837"/>
    <col min="11018" max="11018" width="5.77734375" style="2837" customWidth="1"/>
    <col min="11019" max="11019" width="11.77734375" style="2837" customWidth="1"/>
    <col min="11020" max="11021" width="10.77734375" style="2837" customWidth="1"/>
    <col min="11022" max="11022" width="10" style="2837" customWidth="1"/>
    <col min="11023" max="11024" width="10.44140625" style="2837" bestFit="1" customWidth="1"/>
    <col min="11025" max="11025" width="10" style="2837" customWidth="1"/>
    <col min="11026" max="11026" width="10.109375" style="2837" customWidth="1"/>
    <col min="11027" max="11027" width="10" style="2837" customWidth="1"/>
    <col min="11028" max="11028" width="26.109375" style="2837" customWidth="1"/>
    <col min="11029" max="11264" width="8.88671875" style="2837"/>
    <col min="11265" max="11265" width="9.44140625" style="2837" customWidth="1"/>
    <col min="11266" max="11266" width="8.88671875" style="2837"/>
    <col min="11267" max="11269" width="12.88671875" style="2837" customWidth="1"/>
    <col min="11270" max="11270" width="47.44140625" style="2837" customWidth="1"/>
    <col min="11271" max="11271" width="13" style="2837" customWidth="1"/>
    <col min="11272" max="11273" width="8.88671875" style="2837"/>
    <col min="11274" max="11274" width="5.77734375" style="2837" customWidth="1"/>
    <col min="11275" max="11275" width="11.77734375" style="2837" customWidth="1"/>
    <col min="11276" max="11277" width="10.77734375" style="2837" customWidth="1"/>
    <col min="11278" max="11278" width="10" style="2837" customWidth="1"/>
    <col min="11279" max="11280" width="10.44140625" style="2837" bestFit="1" customWidth="1"/>
    <col min="11281" max="11281" width="10" style="2837" customWidth="1"/>
    <col min="11282" max="11282" width="10.109375" style="2837" customWidth="1"/>
    <col min="11283" max="11283" width="10" style="2837" customWidth="1"/>
    <col min="11284" max="11284" width="26.109375" style="2837" customWidth="1"/>
    <col min="11285" max="11520" width="8.88671875" style="2837"/>
    <col min="11521" max="11521" width="9.44140625" style="2837" customWidth="1"/>
    <col min="11522" max="11522" width="8.88671875" style="2837"/>
    <col min="11523" max="11525" width="12.88671875" style="2837" customWidth="1"/>
    <col min="11526" max="11526" width="47.44140625" style="2837" customWidth="1"/>
    <col min="11527" max="11527" width="13" style="2837" customWidth="1"/>
    <col min="11528" max="11529" width="8.88671875" style="2837"/>
    <col min="11530" max="11530" width="5.77734375" style="2837" customWidth="1"/>
    <col min="11531" max="11531" width="11.77734375" style="2837" customWidth="1"/>
    <col min="11532" max="11533" width="10.77734375" style="2837" customWidth="1"/>
    <col min="11534" max="11534" width="10" style="2837" customWidth="1"/>
    <col min="11535" max="11536" width="10.44140625" style="2837" bestFit="1" customWidth="1"/>
    <col min="11537" max="11537" width="10" style="2837" customWidth="1"/>
    <col min="11538" max="11538" width="10.109375" style="2837" customWidth="1"/>
    <col min="11539" max="11539" width="10" style="2837" customWidth="1"/>
    <col min="11540" max="11540" width="26.109375" style="2837" customWidth="1"/>
    <col min="11541" max="11776" width="8.88671875" style="2837"/>
    <col min="11777" max="11777" width="9.44140625" style="2837" customWidth="1"/>
    <col min="11778" max="11778" width="8.88671875" style="2837"/>
    <col min="11779" max="11781" width="12.88671875" style="2837" customWidth="1"/>
    <col min="11782" max="11782" width="47.44140625" style="2837" customWidth="1"/>
    <col min="11783" max="11783" width="13" style="2837" customWidth="1"/>
    <col min="11784" max="11785" width="8.88671875" style="2837"/>
    <col min="11786" max="11786" width="5.77734375" style="2837" customWidth="1"/>
    <col min="11787" max="11787" width="11.77734375" style="2837" customWidth="1"/>
    <col min="11788" max="11789" width="10.77734375" style="2837" customWidth="1"/>
    <col min="11790" max="11790" width="10" style="2837" customWidth="1"/>
    <col min="11791" max="11792" width="10.44140625" style="2837" bestFit="1" customWidth="1"/>
    <col min="11793" max="11793" width="10" style="2837" customWidth="1"/>
    <col min="11794" max="11794" width="10.109375" style="2837" customWidth="1"/>
    <col min="11795" max="11795" width="10" style="2837" customWidth="1"/>
    <col min="11796" max="11796" width="26.109375" style="2837" customWidth="1"/>
    <col min="11797" max="12032" width="8.88671875" style="2837"/>
    <col min="12033" max="12033" width="9.44140625" style="2837" customWidth="1"/>
    <col min="12034" max="12034" width="8.88671875" style="2837"/>
    <col min="12035" max="12037" width="12.88671875" style="2837" customWidth="1"/>
    <col min="12038" max="12038" width="47.44140625" style="2837" customWidth="1"/>
    <col min="12039" max="12039" width="13" style="2837" customWidth="1"/>
    <col min="12040" max="12041" width="8.88671875" style="2837"/>
    <col min="12042" max="12042" width="5.77734375" style="2837" customWidth="1"/>
    <col min="12043" max="12043" width="11.77734375" style="2837" customWidth="1"/>
    <col min="12044" max="12045" width="10.77734375" style="2837" customWidth="1"/>
    <col min="12046" max="12046" width="10" style="2837" customWidth="1"/>
    <col min="12047" max="12048" width="10.44140625" style="2837" bestFit="1" customWidth="1"/>
    <col min="12049" max="12049" width="10" style="2837" customWidth="1"/>
    <col min="12050" max="12050" width="10.109375" style="2837" customWidth="1"/>
    <col min="12051" max="12051" width="10" style="2837" customWidth="1"/>
    <col min="12052" max="12052" width="26.109375" style="2837" customWidth="1"/>
    <col min="12053" max="12288" width="8.88671875" style="2837"/>
    <col min="12289" max="12289" width="9.44140625" style="2837" customWidth="1"/>
    <col min="12290" max="12290" width="8.88671875" style="2837"/>
    <col min="12291" max="12293" width="12.88671875" style="2837" customWidth="1"/>
    <col min="12294" max="12294" width="47.44140625" style="2837" customWidth="1"/>
    <col min="12295" max="12295" width="13" style="2837" customWidth="1"/>
    <col min="12296" max="12297" width="8.88671875" style="2837"/>
    <col min="12298" max="12298" width="5.77734375" style="2837" customWidth="1"/>
    <col min="12299" max="12299" width="11.77734375" style="2837" customWidth="1"/>
    <col min="12300" max="12301" width="10.77734375" style="2837" customWidth="1"/>
    <col min="12302" max="12302" width="10" style="2837" customWidth="1"/>
    <col min="12303" max="12304" width="10.44140625" style="2837" bestFit="1" customWidth="1"/>
    <col min="12305" max="12305" width="10" style="2837" customWidth="1"/>
    <col min="12306" max="12306" width="10.109375" style="2837" customWidth="1"/>
    <col min="12307" max="12307" width="10" style="2837" customWidth="1"/>
    <col min="12308" max="12308" width="26.109375" style="2837" customWidth="1"/>
    <col min="12309" max="12544" width="8.88671875" style="2837"/>
    <col min="12545" max="12545" width="9.44140625" style="2837" customWidth="1"/>
    <col min="12546" max="12546" width="8.88671875" style="2837"/>
    <col min="12547" max="12549" width="12.88671875" style="2837" customWidth="1"/>
    <col min="12550" max="12550" width="47.44140625" style="2837" customWidth="1"/>
    <col min="12551" max="12551" width="13" style="2837" customWidth="1"/>
    <col min="12552" max="12553" width="8.88671875" style="2837"/>
    <col min="12554" max="12554" width="5.77734375" style="2837" customWidth="1"/>
    <col min="12555" max="12555" width="11.77734375" style="2837" customWidth="1"/>
    <col min="12556" max="12557" width="10.77734375" style="2837" customWidth="1"/>
    <col min="12558" max="12558" width="10" style="2837" customWidth="1"/>
    <col min="12559" max="12560" width="10.44140625" style="2837" bestFit="1" customWidth="1"/>
    <col min="12561" max="12561" width="10" style="2837" customWidth="1"/>
    <col min="12562" max="12562" width="10.109375" style="2837" customWidth="1"/>
    <col min="12563" max="12563" width="10" style="2837" customWidth="1"/>
    <col min="12564" max="12564" width="26.109375" style="2837" customWidth="1"/>
    <col min="12565" max="12800" width="8.88671875" style="2837"/>
    <col min="12801" max="12801" width="9.44140625" style="2837" customWidth="1"/>
    <col min="12802" max="12802" width="8.88671875" style="2837"/>
    <col min="12803" max="12805" width="12.88671875" style="2837" customWidth="1"/>
    <col min="12806" max="12806" width="47.44140625" style="2837" customWidth="1"/>
    <col min="12807" max="12807" width="13" style="2837" customWidth="1"/>
    <col min="12808" max="12809" width="8.88671875" style="2837"/>
    <col min="12810" max="12810" width="5.77734375" style="2837" customWidth="1"/>
    <col min="12811" max="12811" width="11.77734375" style="2837" customWidth="1"/>
    <col min="12812" max="12813" width="10.77734375" style="2837" customWidth="1"/>
    <col min="12814" max="12814" width="10" style="2837" customWidth="1"/>
    <col min="12815" max="12816" width="10.44140625" style="2837" bestFit="1" customWidth="1"/>
    <col min="12817" max="12817" width="10" style="2837" customWidth="1"/>
    <col min="12818" max="12818" width="10.109375" style="2837" customWidth="1"/>
    <col min="12819" max="12819" width="10" style="2837" customWidth="1"/>
    <col min="12820" max="12820" width="26.109375" style="2837" customWidth="1"/>
    <col min="12821" max="13056" width="8.88671875" style="2837"/>
    <col min="13057" max="13057" width="9.44140625" style="2837" customWidth="1"/>
    <col min="13058" max="13058" width="8.88671875" style="2837"/>
    <col min="13059" max="13061" width="12.88671875" style="2837" customWidth="1"/>
    <col min="13062" max="13062" width="47.44140625" style="2837" customWidth="1"/>
    <col min="13063" max="13063" width="13" style="2837" customWidth="1"/>
    <col min="13064" max="13065" width="8.88671875" style="2837"/>
    <col min="13066" max="13066" width="5.77734375" style="2837" customWidth="1"/>
    <col min="13067" max="13067" width="11.77734375" style="2837" customWidth="1"/>
    <col min="13068" max="13069" width="10.77734375" style="2837" customWidth="1"/>
    <col min="13070" max="13070" width="10" style="2837" customWidth="1"/>
    <col min="13071" max="13072" width="10.44140625" style="2837" bestFit="1" customWidth="1"/>
    <col min="13073" max="13073" width="10" style="2837" customWidth="1"/>
    <col min="13074" max="13074" width="10.109375" style="2837" customWidth="1"/>
    <col min="13075" max="13075" width="10" style="2837" customWidth="1"/>
    <col min="13076" max="13076" width="26.109375" style="2837" customWidth="1"/>
    <col min="13077" max="13312" width="8.88671875" style="2837"/>
    <col min="13313" max="13313" width="9.44140625" style="2837" customWidth="1"/>
    <col min="13314" max="13314" width="8.88671875" style="2837"/>
    <col min="13315" max="13317" width="12.88671875" style="2837" customWidth="1"/>
    <col min="13318" max="13318" width="47.44140625" style="2837" customWidth="1"/>
    <col min="13319" max="13319" width="13" style="2837" customWidth="1"/>
    <col min="13320" max="13321" width="8.88671875" style="2837"/>
    <col min="13322" max="13322" width="5.77734375" style="2837" customWidth="1"/>
    <col min="13323" max="13323" width="11.77734375" style="2837" customWidth="1"/>
    <col min="13324" max="13325" width="10.77734375" style="2837" customWidth="1"/>
    <col min="13326" max="13326" width="10" style="2837" customWidth="1"/>
    <col min="13327" max="13328" width="10.44140625" style="2837" bestFit="1" customWidth="1"/>
    <col min="13329" max="13329" width="10" style="2837" customWidth="1"/>
    <col min="13330" max="13330" width="10.109375" style="2837" customWidth="1"/>
    <col min="13331" max="13331" width="10" style="2837" customWidth="1"/>
    <col min="13332" max="13332" width="26.109375" style="2837" customWidth="1"/>
    <col min="13333" max="13568" width="8.88671875" style="2837"/>
    <col min="13569" max="13569" width="9.44140625" style="2837" customWidth="1"/>
    <col min="13570" max="13570" width="8.88671875" style="2837"/>
    <col min="13571" max="13573" width="12.88671875" style="2837" customWidth="1"/>
    <col min="13574" max="13574" width="47.44140625" style="2837" customWidth="1"/>
    <col min="13575" max="13575" width="13" style="2837" customWidth="1"/>
    <col min="13576" max="13577" width="8.88671875" style="2837"/>
    <col min="13578" max="13578" width="5.77734375" style="2837" customWidth="1"/>
    <col min="13579" max="13579" width="11.77734375" style="2837" customWidth="1"/>
    <col min="13580" max="13581" width="10.77734375" style="2837" customWidth="1"/>
    <col min="13582" max="13582" width="10" style="2837" customWidth="1"/>
    <col min="13583" max="13584" width="10.44140625" style="2837" bestFit="1" customWidth="1"/>
    <col min="13585" max="13585" width="10" style="2837" customWidth="1"/>
    <col min="13586" max="13586" width="10.109375" style="2837" customWidth="1"/>
    <col min="13587" max="13587" width="10" style="2837" customWidth="1"/>
    <col min="13588" max="13588" width="26.109375" style="2837" customWidth="1"/>
    <col min="13589" max="13824" width="8.88671875" style="2837"/>
    <col min="13825" max="13825" width="9.44140625" style="2837" customWidth="1"/>
    <col min="13826" max="13826" width="8.88671875" style="2837"/>
    <col min="13827" max="13829" width="12.88671875" style="2837" customWidth="1"/>
    <col min="13830" max="13830" width="47.44140625" style="2837" customWidth="1"/>
    <col min="13831" max="13831" width="13" style="2837" customWidth="1"/>
    <col min="13832" max="13833" width="8.88671875" style="2837"/>
    <col min="13834" max="13834" width="5.77734375" style="2837" customWidth="1"/>
    <col min="13835" max="13835" width="11.77734375" style="2837" customWidth="1"/>
    <col min="13836" max="13837" width="10.77734375" style="2837" customWidth="1"/>
    <col min="13838" max="13838" width="10" style="2837" customWidth="1"/>
    <col min="13839" max="13840" width="10.44140625" style="2837" bestFit="1" customWidth="1"/>
    <col min="13841" max="13841" width="10" style="2837" customWidth="1"/>
    <col min="13842" max="13842" width="10.109375" style="2837" customWidth="1"/>
    <col min="13843" max="13843" width="10" style="2837" customWidth="1"/>
    <col min="13844" max="13844" width="26.109375" style="2837" customWidth="1"/>
    <col min="13845" max="14080" width="8.88671875" style="2837"/>
    <col min="14081" max="14081" width="9.44140625" style="2837" customWidth="1"/>
    <col min="14082" max="14082" width="8.88671875" style="2837"/>
    <col min="14083" max="14085" width="12.88671875" style="2837" customWidth="1"/>
    <col min="14086" max="14086" width="47.44140625" style="2837" customWidth="1"/>
    <col min="14087" max="14087" width="13" style="2837" customWidth="1"/>
    <col min="14088" max="14089" width="8.88671875" style="2837"/>
    <col min="14090" max="14090" width="5.77734375" style="2837" customWidth="1"/>
    <col min="14091" max="14091" width="11.77734375" style="2837" customWidth="1"/>
    <col min="14092" max="14093" width="10.77734375" style="2837" customWidth="1"/>
    <col min="14094" max="14094" width="10" style="2837" customWidth="1"/>
    <col min="14095" max="14096" width="10.44140625" style="2837" bestFit="1" customWidth="1"/>
    <col min="14097" max="14097" width="10" style="2837" customWidth="1"/>
    <col min="14098" max="14098" width="10.109375" style="2837" customWidth="1"/>
    <col min="14099" max="14099" width="10" style="2837" customWidth="1"/>
    <col min="14100" max="14100" width="26.109375" style="2837" customWidth="1"/>
    <col min="14101" max="14336" width="8.88671875" style="2837"/>
    <col min="14337" max="14337" width="9.44140625" style="2837" customWidth="1"/>
    <col min="14338" max="14338" width="8.88671875" style="2837"/>
    <col min="14339" max="14341" width="12.88671875" style="2837" customWidth="1"/>
    <col min="14342" max="14342" width="47.44140625" style="2837" customWidth="1"/>
    <col min="14343" max="14343" width="13" style="2837" customWidth="1"/>
    <col min="14344" max="14345" width="8.88671875" style="2837"/>
    <col min="14346" max="14346" width="5.77734375" style="2837" customWidth="1"/>
    <col min="14347" max="14347" width="11.77734375" style="2837" customWidth="1"/>
    <col min="14348" max="14349" width="10.77734375" style="2837" customWidth="1"/>
    <col min="14350" max="14350" width="10" style="2837" customWidth="1"/>
    <col min="14351" max="14352" width="10.44140625" style="2837" bestFit="1" customWidth="1"/>
    <col min="14353" max="14353" width="10" style="2837" customWidth="1"/>
    <col min="14354" max="14354" width="10.109375" style="2837" customWidth="1"/>
    <col min="14355" max="14355" width="10" style="2837" customWidth="1"/>
    <col min="14356" max="14356" width="26.109375" style="2837" customWidth="1"/>
    <col min="14357" max="14592" width="8.88671875" style="2837"/>
    <col min="14593" max="14593" width="9.44140625" style="2837" customWidth="1"/>
    <col min="14594" max="14594" width="8.88671875" style="2837"/>
    <col min="14595" max="14597" width="12.88671875" style="2837" customWidth="1"/>
    <col min="14598" max="14598" width="47.44140625" style="2837" customWidth="1"/>
    <col min="14599" max="14599" width="13" style="2837" customWidth="1"/>
    <col min="14600" max="14601" width="8.88671875" style="2837"/>
    <col min="14602" max="14602" width="5.77734375" style="2837" customWidth="1"/>
    <col min="14603" max="14603" width="11.77734375" style="2837" customWidth="1"/>
    <col min="14604" max="14605" width="10.77734375" style="2837" customWidth="1"/>
    <col min="14606" max="14606" width="10" style="2837" customWidth="1"/>
    <col min="14607" max="14608" width="10.44140625" style="2837" bestFit="1" customWidth="1"/>
    <col min="14609" max="14609" width="10" style="2837" customWidth="1"/>
    <col min="14610" max="14610" width="10.109375" style="2837" customWidth="1"/>
    <col min="14611" max="14611" width="10" style="2837" customWidth="1"/>
    <col min="14612" max="14612" width="26.109375" style="2837" customWidth="1"/>
    <col min="14613" max="14848" width="8.88671875" style="2837"/>
    <col min="14849" max="14849" width="9.44140625" style="2837" customWidth="1"/>
    <col min="14850" max="14850" width="8.88671875" style="2837"/>
    <col min="14851" max="14853" width="12.88671875" style="2837" customWidth="1"/>
    <col min="14854" max="14854" width="47.44140625" style="2837" customWidth="1"/>
    <col min="14855" max="14855" width="13" style="2837" customWidth="1"/>
    <col min="14856" max="14857" width="8.88671875" style="2837"/>
    <col min="14858" max="14858" width="5.77734375" style="2837" customWidth="1"/>
    <col min="14859" max="14859" width="11.77734375" style="2837" customWidth="1"/>
    <col min="14860" max="14861" width="10.77734375" style="2837" customWidth="1"/>
    <col min="14862" max="14862" width="10" style="2837" customWidth="1"/>
    <col min="14863" max="14864" width="10.44140625" style="2837" bestFit="1" customWidth="1"/>
    <col min="14865" max="14865" width="10" style="2837" customWidth="1"/>
    <col min="14866" max="14866" width="10.109375" style="2837" customWidth="1"/>
    <col min="14867" max="14867" width="10" style="2837" customWidth="1"/>
    <col min="14868" max="14868" width="26.109375" style="2837" customWidth="1"/>
    <col min="14869" max="15104" width="8.88671875" style="2837"/>
    <col min="15105" max="15105" width="9.44140625" style="2837" customWidth="1"/>
    <col min="15106" max="15106" width="8.88671875" style="2837"/>
    <col min="15107" max="15109" width="12.88671875" style="2837" customWidth="1"/>
    <col min="15110" max="15110" width="47.44140625" style="2837" customWidth="1"/>
    <col min="15111" max="15111" width="13" style="2837" customWidth="1"/>
    <col min="15112" max="15113" width="8.88671875" style="2837"/>
    <col min="15114" max="15114" width="5.77734375" style="2837" customWidth="1"/>
    <col min="15115" max="15115" width="11.77734375" style="2837" customWidth="1"/>
    <col min="15116" max="15117" width="10.77734375" style="2837" customWidth="1"/>
    <col min="15118" max="15118" width="10" style="2837" customWidth="1"/>
    <col min="15119" max="15120" width="10.44140625" style="2837" bestFit="1" customWidth="1"/>
    <col min="15121" max="15121" width="10" style="2837" customWidth="1"/>
    <col min="15122" max="15122" width="10.109375" style="2837" customWidth="1"/>
    <col min="15123" max="15123" width="10" style="2837" customWidth="1"/>
    <col min="15124" max="15124" width="26.109375" style="2837" customWidth="1"/>
    <col min="15125" max="15360" width="8.88671875" style="2837"/>
    <col min="15361" max="15361" width="9.44140625" style="2837" customWidth="1"/>
    <col min="15362" max="15362" width="8.88671875" style="2837"/>
    <col min="15363" max="15365" width="12.88671875" style="2837" customWidth="1"/>
    <col min="15366" max="15366" width="47.44140625" style="2837" customWidth="1"/>
    <col min="15367" max="15367" width="13" style="2837" customWidth="1"/>
    <col min="15368" max="15369" width="8.88671875" style="2837"/>
    <col min="15370" max="15370" width="5.77734375" style="2837" customWidth="1"/>
    <col min="15371" max="15371" width="11.77734375" style="2837" customWidth="1"/>
    <col min="15372" max="15373" width="10.77734375" style="2837" customWidth="1"/>
    <col min="15374" max="15374" width="10" style="2837" customWidth="1"/>
    <col min="15375" max="15376" width="10.44140625" style="2837" bestFit="1" customWidth="1"/>
    <col min="15377" max="15377" width="10" style="2837" customWidth="1"/>
    <col min="15378" max="15378" width="10.109375" style="2837" customWidth="1"/>
    <col min="15379" max="15379" width="10" style="2837" customWidth="1"/>
    <col min="15380" max="15380" width="26.109375" style="2837" customWidth="1"/>
    <col min="15381" max="15616" width="8.88671875" style="2837"/>
    <col min="15617" max="15617" width="9.44140625" style="2837" customWidth="1"/>
    <col min="15618" max="15618" width="8.88671875" style="2837"/>
    <col min="15619" max="15621" width="12.88671875" style="2837" customWidth="1"/>
    <col min="15622" max="15622" width="47.44140625" style="2837" customWidth="1"/>
    <col min="15623" max="15623" width="13" style="2837" customWidth="1"/>
    <col min="15624" max="15625" width="8.88671875" style="2837"/>
    <col min="15626" max="15626" width="5.77734375" style="2837" customWidth="1"/>
    <col min="15627" max="15627" width="11.77734375" style="2837" customWidth="1"/>
    <col min="15628" max="15629" width="10.77734375" style="2837" customWidth="1"/>
    <col min="15630" max="15630" width="10" style="2837" customWidth="1"/>
    <col min="15631" max="15632" width="10.44140625" style="2837" bestFit="1" customWidth="1"/>
    <col min="15633" max="15633" width="10" style="2837" customWidth="1"/>
    <col min="15634" max="15634" width="10.109375" style="2837" customWidth="1"/>
    <col min="15635" max="15635" width="10" style="2837" customWidth="1"/>
    <col min="15636" max="15636" width="26.109375" style="2837" customWidth="1"/>
    <col min="15637" max="15872" width="8.88671875" style="2837"/>
    <col min="15873" max="15873" width="9.44140625" style="2837" customWidth="1"/>
    <col min="15874" max="15874" width="8.88671875" style="2837"/>
    <col min="15875" max="15877" width="12.88671875" style="2837" customWidth="1"/>
    <col min="15878" max="15878" width="47.44140625" style="2837" customWidth="1"/>
    <col min="15879" max="15879" width="13" style="2837" customWidth="1"/>
    <col min="15880" max="15881" width="8.88671875" style="2837"/>
    <col min="15882" max="15882" width="5.77734375" style="2837" customWidth="1"/>
    <col min="15883" max="15883" width="11.77734375" style="2837" customWidth="1"/>
    <col min="15884" max="15885" width="10.77734375" style="2837" customWidth="1"/>
    <col min="15886" max="15886" width="10" style="2837" customWidth="1"/>
    <col min="15887" max="15888" width="10.44140625" style="2837" bestFit="1" customWidth="1"/>
    <col min="15889" max="15889" width="10" style="2837" customWidth="1"/>
    <col min="15890" max="15890" width="10.109375" style="2837" customWidth="1"/>
    <col min="15891" max="15891" width="10" style="2837" customWidth="1"/>
    <col min="15892" max="15892" width="26.109375" style="2837" customWidth="1"/>
    <col min="15893" max="16128" width="8.88671875" style="2837"/>
    <col min="16129" max="16129" width="9.44140625" style="2837" customWidth="1"/>
    <col min="16130" max="16130" width="8.88671875" style="2837"/>
    <col min="16131" max="16133" width="12.88671875" style="2837" customWidth="1"/>
    <col min="16134" max="16134" width="47.44140625" style="2837" customWidth="1"/>
    <col min="16135" max="16135" width="13" style="2837" customWidth="1"/>
    <col min="16136" max="16137" width="8.88671875" style="2837"/>
    <col min="16138" max="16138" width="5.77734375" style="2837" customWidth="1"/>
    <col min="16139" max="16139" width="11.77734375" style="2837" customWidth="1"/>
    <col min="16140" max="16141" width="10.77734375" style="2837" customWidth="1"/>
    <col min="16142" max="16142" width="10" style="2837" customWidth="1"/>
    <col min="16143" max="16144" width="10.44140625" style="2837" bestFit="1" customWidth="1"/>
    <col min="16145" max="16145" width="10" style="2837" customWidth="1"/>
    <col min="16146" max="16146" width="10.109375" style="2837" customWidth="1"/>
    <col min="16147" max="16147" width="10" style="2837" customWidth="1"/>
    <col min="16148" max="16148" width="26.109375" style="2837" customWidth="1"/>
    <col min="16149" max="16384" width="8.88671875" style="2837"/>
  </cols>
  <sheetData>
    <row r="1" spans="1:22" ht="21" customHeight="1">
      <c r="A1" s="2826" t="s">
        <v>2438</v>
      </c>
      <c r="B1" s="2827"/>
      <c r="C1" s="2839"/>
      <c r="D1" s="2839"/>
      <c r="E1" s="2828"/>
      <c r="F1" s="2829"/>
      <c r="G1" s="2830"/>
      <c r="J1" s="2833" t="s">
        <v>2317</v>
      </c>
      <c r="K1" s="2834"/>
      <c r="L1" s="2834"/>
      <c r="M1" s="2834"/>
      <c r="N1" s="2834"/>
      <c r="O1" s="2834"/>
      <c r="P1" s="2834"/>
      <c r="Q1" s="2834"/>
      <c r="R1" s="2835"/>
      <c r="S1" s="2836"/>
      <c r="T1" s="2836"/>
      <c r="U1" s="2836"/>
    </row>
    <row r="2" spans="1:22" s="2848" customFormat="1" ht="13.2" customHeight="1">
      <c r="A2" s="1381" t="s">
        <v>2318</v>
      </c>
      <c r="B2" s="2838" t="e">
        <f>IF(D2="——",C40,C40+E2)</f>
        <v>#DIV/0!</v>
      </c>
      <c r="C2" s="2839" t="s">
        <v>2319</v>
      </c>
      <c r="D2" s="3438" t="s">
        <v>3363</v>
      </c>
      <c r="E2" s="3439"/>
      <c r="F2" s="2841"/>
      <c r="G2" s="2842"/>
      <c r="H2" s="2843"/>
      <c r="I2" s="2844"/>
      <c r="J2" s="3698" t="s">
        <v>2320</v>
      </c>
      <c r="K2" s="3699"/>
      <c r="L2" s="2845" t="s">
        <v>2321</v>
      </c>
      <c r="M2" s="2845" t="s">
        <v>2322</v>
      </c>
      <c r="N2" s="2845" t="s">
        <v>2323</v>
      </c>
      <c r="O2" s="2845" t="s">
        <v>2324</v>
      </c>
      <c r="P2" s="2845" t="s">
        <v>2325</v>
      </c>
      <c r="Q2" s="2846" t="s">
        <v>2326</v>
      </c>
      <c r="R2" s="2847" t="s">
        <v>2327</v>
      </c>
      <c r="S2" s="2836"/>
      <c r="T2" s="2836"/>
      <c r="U2" s="2836"/>
      <c r="V2" s="2844"/>
    </row>
    <row r="3" spans="1:22" s="2848" customFormat="1" ht="13.2" customHeight="1">
      <c r="A3" s="2849" t="s">
        <v>2328</v>
      </c>
      <c r="B3" s="2850" t="e">
        <f>ROUND(B2*10000/B4,0)</f>
        <v>#DIV/0!</v>
      </c>
      <c r="C3" s="2839" t="s">
        <v>2329</v>
      </c>
      <c r="D3" s="2839"/>
      <c r="E3" s="2840"/>
      <c r="F3" s="2841"/>
      <c r="G3" s="2842"/>
      <c r="H3" s="2843"/>
      <c r="I3" s="2844"/>
      <c r="J3" s="3700" t="s">
        <v>2330</v>
      </c>
      <c r="K3" s="3701"/>
      <c r="L3" s="2851"/>
      <c r="M3" s="2851"/>
      <c r="N3" s="2851"/>
      <c r="O3" s="2851"/>
      <c r="P3" s="2851"/>
      <c r="Q3" s="2852"/>
      <c r="R3" s="2853">
        <f>SUM(L3:Q3)</f>
        <v>0</v>
      </c>
      <c r="S3" s="2836"/>
      <c r="T3" s="2836"/>
      <c r="U3" s="2836"/>
      <c r="V3" s="2844"/>
    </row>
    <row r="4" spans="1:22" s="2848" customFormat="1" ht="13.2" customHeight="1">
      <c r="A4" s="2854" t="s">
        <v>2331</v>
      </c>
      <c r="B4" s="2855"/>
      <c r="C4" s="2839"/>
      <c r="D4" s="2839"/>
      <c r="E4" s="2840"/>
      <c r="F4" s="2841"/>
      <c r="G4" s="2842"/>
      <c r="H4" s="2843"/>
      <c r="I4" s="2844"/>
      <c r="J4" s="3700" t="s">
        <v>2332</v>
      </c>
      <c r="K4" s="3701"/>
      <c r="L4" s="2856"/>
      <c r="M4" s="2856"/>
      <c r="N4" s="2856"/>
      <c r="O4" s="2856"/>
      <c r="P4" s="2856"/>
      <c r="Q4" s="2857"/>
      <c r="R4" s="2858">
        <f>SUM(L4:Q4)</f>
        <v>0</v>
      </c>
      <c r="S4" s="2836"/>
      <c r="T4" s="2836"/>
      <c r="U4" s="2836"/>
      <c r="V4" s="2844"/>
    </row>
    <row r="5" spans="1:22" s="2848" customFormat="1" ht="13.2" customHeight="1" thickBot="1">
      <c r="A5" s="2859" t="s">
        <v>2333</v>
      </c>
      <c r="B5" s="2860"/>
      <c r="C5" s="2839"/>
      <c r="D5" s="2861"/>
      <c r="E5" s="2841"/>
      <c r="F5" s="2841"/>
      <c r="G5" s="2842"/>
      <c r="H5" s="2843"/>
      <c r="I5" s="2844"/>
      <c r="J5" s="2862" t="s">
        <v>2334</v>
      </c>
      <c r="K5" s="2863"/>
      <c r="L5" s="2863"/>
      <c r="M5" s="2864"/>
      <c r="N5" s="2864"/>
      <c r="O5" s="2864"/>
      <c r="P5" s="2864"/>
      <c r="Q5" s="2864"/>
      <c r="R5" s="2847">
        <f>SUM(R14,R19,R24,R25,R27,R28)</f>
        <v>0</v>
      </c>
      <c r="S5" s="2836"/>
      <c r="T5" s="2836" t="s">
        <v>2335</v>
      </c>
      <c r="U5" s="2836" t="e">
        <f>ROUND(R5*10000/365/R3,1)</f>
        <v>#DIV/0!</v>
      </c>
      <c r="V5" s="2844"/>
    </row>
    <row r="6" spans="1:22" s="2848" customFormat="1" ht="13.2" customHeight="1" thickBot="1">
      <c r="A6" s="3702" t="s">
        <v>2336</v>
      </c>
      <c r="B6" s="3703"/>
      <c r="C6" s="3704"/>
      <c r="D6" s="2865"/>
      <c r="E6" s="2866"/>
      <c r="F6" s="2867"/>
      <c r="G6" s="2868"/>
      <c r="H6" s="2843"/>
      <c r="I6" s="2844"/>
      <c r="J6" s="3705">
        <v>1</v>
      </c>
      <c r="K6" s="3706" t="s">
        <v>2337</v>
      </c>
      <c r="L6" s="2869" t="s">
        <v>2338</v>
      </c>
      <c r="M6" s="2870" t="s">
        <v>2339</v>
      </c>
      <c r="N6" s="2870" t="s">
        <v>2340</v>
      </c>
      <c r="O6" s="2870" t="s">
        <v>2341</v>
      </c>
      <c r="P6" s="2870" t="s">
        <v>2342</v>
      </c>
      <c r="Q6" s="2870" t="s">
        <v>2343</v>
      </c>
      <c r="R6" s="2853" t="s">
        <v>2344</v>
      </c>
      <c r="S6" s="2836"/>
      <c r="T6" s="2836" t="s">
        <v>2345</v>
      </c>
      <c r="U6" s="2836"/>
      <c r="V6" s="2844"/>
    </row>
    <row r="7" spans="1:22" s="2848" customFormat="1" ht="13.2" customHeight="1">
      <c r="A7" s="2871" t="s">
        <v>2346</v>
      </c>
      <c r="B7" s="2872"/>
      <c r="C7" s="2873"/>
      <c r="D7" s="2874">
        <f>SUM(D9,D10,D11,D17,0)</f>
        <v>0</v>
      </c>
      <c r="E7" s="2875" t="e">
        <f>E9+E10+E11+E17</f>
        <v>#DIV/0!</v>
      </c>
      <c r="F7" s="2876"/>
      <c r="G7" s="2877"/>
      <c r="H7" s="2843"/>
      <c r="I7" s="2844"/>
      <c r="J7" s="3705"/>
      <c r="K7" s="3707"/>
      <c r="L7" s="2878" t="s">
        <v>2347</v>
      </c>
      <c r="M7" s="2879"/>
      <c r="N7" s="2855"/>
      <c r="O7" s="2880"/>
      <c r="P7" s="2880"/>
      <c r="Q7" s="2881">
        <v>365</v>
      </c>
      <c r="R7" s="2882">
        <f>ROUND(M7*N7*O7*P7*Q7/10000,0)</f>
        <v>0</v>
      </c>
      <c r="S7" s="2836"/>
      <c r="T7" s="2836" t="s">
        <v>2348</v>
      </c>
      <c r="U7" s="2836"/>
      <c r="V7" s="2844"/>
    </row>
    <row r="8" spans="1:22" s="2848" customFormat="1" ht="13.2" customHeight="1">
      <c r="A8" s="2883" t="s">
        <v>2349</v>
      </c>
      <c r="B8" s="3709" t="s">
        <v>2350</v>
      </c>
      <c r="C8" s="3710"/>
      <c r="D8" s="2884" t="s">
        <v>2351</v>
      </c>
      <c r="E8" s="2885" t="s">
        <v>2352</v>
      </c>
      <c r="F8" s="2886" t="s">
        <v>2353</v>
      </c>
      <c r="G8" s="2887"/>
      <c r="H8" s="2843"/>
      <c r="I8" s="2844"/>
      <c r="J8" s="3705"/>
      <c r="K8" s="3707"/>
      <c r="L8" s="2878" t="s">
        <v>2354</v>
      </c>
      <c r="M8" s="2879"/>
      <c r="N8" s="2855"/>
      <c r="O8" s="2880"/>
      <c r="P8" s="2880"/>
      <c r="Q8" s="2881">
        <v>365</v>
      </c>
      <c r="R8" s="2882">
        <f t="shared" ref="R8:R13" si="0">ROUND(M8*N8*O8*P8*Q8/10000,0)</f>
        <v>0</v>
      </c>
      <c r="S8" s="2836"/>
      <c r="T8" s="2836" t="s">
        <v>2355</v>
      </c>
      <c r="U8" s="2836"/>
      <c r="V8" s="2844"/>
    </row>
    <row r="9" spans="1:22" s="2848" customFormat="1" ht="13.2" customHeight="1">
      <c r="A9" s="2883">
        <v>1</v>
      </c>
      <c r="B9" s="3709" t="s">
        <v>2356</v>
      </c>
      <c r="C9" s="3710"/>
      <c r="D9" s="2884">
        <f>ROUND(D6*E9,0)</f>
        <v>0</v>
      </c>
      <c r="E9" s="2888"/>
      <c r="F9" s="2889" t="s">
        <v>2357</v>
      </c>
      <c r="G9" s="2868"/>
      <c r="H9" s="2843"/>
      <c r="I9" s="2844"/>
      <c r="J9" s="3705"/>
      <c r="K9" s="3707"/>
      <c r="L9" s="2878" t="s">
        <v>2358</v>
      </c>
      <c r="M9" s="2879"/>
      <c r="N9" s="2855"/>
      <c r="O9" s="2880"/>
      <c r="P9" s="2880"/>
      <c r="Q9" s="2881">
        <v>365</v>
      </c>
      <c r="R9" s="2882">
        <f t="shared" si="0"/>
        <v>0</v>
      </c>
      <c r="S9" s="2836"/>
      <c r="T9" s="2836"/>
      <c r="U9" s="2836"/>
      <c r="V9" s="2844"/>
    </row>
    <row r="10" spans="1:22" s="2848" customFormat="1" ht="13.2" customHeight="1">
      <c r="A10" s="2883">
        <v>2</v>
      </c>
      <c r="B10" s="3709" t="s">
        <v>2359</v>
      </c>
      <c r="C10" s="3710"/>
      <c r="D10" s="2884">
        <f>ROUND(D6*E10,0)</f>
        <v>0</v>
      </c>
      <c r="E10" s="2888"/>
      <c r="F10" s="2889" t="s">
        <v>2360</v>
      </c>
      <c r="G10" s="2868"/>
      <c r="H10" s="2843"/>
      <c r="I10" s="2844"/>
      <c r="J10" s="3705"/>
      <c r="K10" s="3707"/>
      <c r="L10" s="2878" t="s">
        <v>2361</v>
      </c>
      <c r="M10" s="2879"/>
      <c r="N10" s="2855"/>
      <c r="O10" s="2880"/>
      <c r="P10" s="2880"/>
      <c r="Q10" s="2881">
        <v>365</v>
      </c>
      <c r="R10" s="2882">
        <f t="shared" si="0"/>
        <v>0</v>
      </c>
      <c r="S10" s="2836"/>
      <c r="T10" s="2836"/>
      <c r="U10" s="2836"/>
      <c r="V10" s="2844"/>
    </row>
    <row r="11" spans="1:22" s="2848" customFormat="1" ht="13.2" customHeight="1">
      <c r="A11" s="2883">
        <v>3</v>
      </c>
      <c r="B11" s="3709" t="s">
        <v>2362</v>
      </c>
      <c r="C11" s="3710"/>
      <c r="D11" s="2884">
        <f>D12+D14+D15+D16</f>
        <v>0</v>
      </c>
      <c r="E11" s="2890" t="e">
        <f>D11/D6</f>
        <v>#DIV/0!</v>
      </c>
      <c r="F11" s="2886"/>
      <c r="G11" s="2887"/>
      <c r="H11" s="2843"/>
      <c r="I11" s="2844"/>
      <c r="J11" s="3705"/>
      <c r="K11" s="3707"/>
      <c r="L11" s="2878" t="s">
        <v>2363</v>
      </c>
      <c r="M11" s="2879"/>
      <c r="N11" s="2855"/>
      <c r="O11" s="2880"/>
      <c r="P11" s="2880"/>
      <c r="Q11" s="2881">
        <v>365</v>
      </c>
      <c r="R11" s="2882">
        <f t="shared" si="0"/>
        <v>0</v>
      </c>
      <c r="S11" s="2836"/>
      <c r="T11" s="2836"/>
      <c r="U11" s="2836"/>
      <c r="V11" s="2844"/>
    </row>
    <row r="12" spans="1:22" s="2848" customFormat="1" ht="13.2" customHeight="1">
      <c r="A12" s="2891" t="s">
        <v>2364</v>
      </c>
      <c r="B12" s="3711" t="s">
        <v>2365</v>
      </c>
      <c r="C12" s="3712"/>
      <c r="D12" s="2892">
        <f>ROUND(D13*1.2%*(1-30%),0)</f>
        <v>0</v>
      </c>
      <c r="E12" s="2893">
        <v>1.2E-2</v>
      </c>
      <c r="F12" s="2886" t="s">
        <v>2366</v>
      </c>
      <c r="G12" s="2887"/>
      <c r="H12" s="2843"/>
      <c r="I12" s="2844"/>
      <c r="J12" s="3705"/>
      <c r="K12" s="3707"/>
      <c r="L12" s="2878" t="s">
        <v>2367</v>
      </c>
      <c r="M12" s="2879"/>
      <c r="N12" s="2855"/>
      <c r="O12" s="2880"/>
      <c r="P12" s="2880"/>
      <c r="Q12" s="2881">
        <v>365</v>
      </c>
      <c r="R12" s="2882">
        <f t="shared" si="0"/>
        <v>0</v>
      </c>
      <c r="S12" s="2836"/>
      <c r="T12" s="2836"/>
      <c r="U12" s="2836"/>
      <c r="V12" s="2844"/>
    </row>
    <row r="13" spans="1:22" s="2848" customFormat="1" ht="13.2" customHeight="1">
      <c r="A13" s="2891"/>
      <c r="B13" s="2894"/>
      <c r="C13" s="2895" t="s">
        <v>2368</v>
      </c>
      <c r="D13" s="2896"/>
      <c r="E13" s="2897"/>
      <c r="F13" s="2886"/>
      <c r="G13" s="2887"/>
      <c r="H13" s="2843"/>
      <c r="I13" s="2844"/>
      <c r="J13" s="3705"/>
      <c r="K13" s="3707"/>
      <c r="L13" s="2878" t="s">
        <v>2369</v>
      </c>
      <c r="M13" s="2879"/>
      <c r="N13" s="2855"/>
      <c r="O13" s="2880"/>
      <c r="P13" s="2880"/>
      <c r="Q13" s="2881">
        <v>365</v>
      </c>
      <c r="R13" s="2882">
        <f t="shared" si="0"/>
        <v>0</v>
      </c>
      <c r="S13" s="2836"/>
      <c r="T13" s="2836"/>
      <c r="U13" s="2836"/>
      <c r="V13" s="2844"/>
    </row>
    <row r="14" spans="1:22" s="2848" customFormat="1" ht="13.2" customHeight="1">
      <c r="A14" s="2891" t="s">
        <v>2370</v>
      </c>
      <c r="B14" s="3711" t="s">
        <v>2371</v>
      </c>
      <c r="C14" s="3712"/>
      <c r="D14" s="2892">
        <f>ROUND(E14*B5/10000,0)</f>
        <v>0</v>
      </c>
      <c r="E14" s="2881"/>
      <c r="F14" s="2886" t="s">
        <v>2372</v>
      </c>
      <c r="G14" s="2887"/>
      <c r="H14" s="2843"/>
      <c r="I14" s="2844"/>
      <c r="J14" s="3705"/>
      <c r="K14" s="3708"/>
      <c r="L14" s="2898" t="s">
        <v>2373</v>
      </c>
      <c r="M14" s="2899">
        <f>SUM(M7:M13)</f>
        <v>0</v>
      </c>
      <c r="N14" s="2899" t="e">
        <f>ROUND((N7*M7+N8*M8+N9*M9+N10*M10+N11*M11+N12*M12+N13*M13)/M14,0)</f>
        <v>#DIV/0!</v>
      </c>
      <c r="O14" s="2900"/>
      <c r="P14" s="2900"/>
      <c r="Q14" s="2901"/>
      <c r="R14" s="2847">
        <f>SUM(R7:R13)</f>
        <v>0</v>
      </c>
      <c r="S14" s="2836"/>
      <c r="T14" s="2836"/>
      <c r="U14" s="2836"/>
      <c r="V14" s="2844"/>
    </row>
    <row r="15" spans="1:22" s="2848" customFormat="1" ht="13.2" customHeight="1">
      <c r="A15" s="2891" t="s">
        <v>2374</v>
      </c>
      <c r="B15" s="3711" t="s">
        <v>2375</v>
      </c>
      <c r="C15" s="3712"/>
      <c r="D15" s="2892">
        <f>ROUND(D6*E15,0)</f>
        <v>0</v>
      </c>
      <c r="E15" s="2893">
        <v>5.5E-2</v>
      </c>
      <c r="F15" s="2886" t="s">
        <v>2376</v>
      </c>
      <c r="G15" s="2868"/>
      <c r="H15" s="2843"/>
      <c r="I15" s="2844"/>
      <c r="J15" s="3705">
        <v>2</v>
      </c>
      <c r="K15" s="3706" t="s">
        <v>2377</v>
      </c>
      <c r="L15" s="2878" t="s">
        <v>2378</v>
      </c>
      <c r="M15" s="2879" t="s">
        <v>2379</v>
      </c>
      <c r="N15" s="2879" t="s">
        <v>2380</v>
      </c>
      <c r="O15" s="2880" t="s">
        <v>2381</v>
      </c>
      <c r="P15" s="2880" t="s">
        <v>2343</v>
      </c>
      <c r="Q15" s="2855" t="s">
        <v>2382</v>
      </c>
      <c r="R15" s="2902" t="s">
        <v>2344</v>
      </c>
      <c r="S15" s="2836"/>
      <c r="T15" s="2836"/>
      <c r="U15" s="2836"/>
      <c r="V15" s="2844"/>
    </row>
    <row r="16" spans="1:22" s="2848" customFormat="1" ht="13.2" customHeight="1">
      <c r="A16" s="2891" t="s">
        <v>2383</v>
      </c>
      <c r="B16" s="3711" t="s">
        <v>2384</v>
      </c>
      <c r="C16" s="3712"/>
      <c r="D16" s="2903">
        <f>D6*E16</f>
        <v>0</v>
      </c>
      <c r="E16" s="2904"/>
      <c r="F16" s="2889" t="s">
        <v>2385</v>
      </c>
      <c r="G16" s="2868"/>
      <c r="H16" s="2843"/>
      <c r="I16" s="2844"/>
      <c r="J16" s="3705"/>
      <c r="K16" s="3707"/>
      <c r="L16" s="2878" t="s">
        <v>2386</v>
      </c>
      <c r="M16" s="2879"/>
      <c r="N16" s="2879"/>
      <c r="O16" s="2880"/>
      <c r="P16" s="2881">
        <v>365</v>
      </c>
      <c r="Q16" s="2855"/>
      <c r="R16" s="2902">
        <f>ROUND(M16*N16*O16*P16/10000,0)</f>
        <v>0</v>
      </c>
      <c r="S16" s="2836"/>
      <c r="T16" s="2836"/>
      <c r="U16" s="2836"/>
      <c r="V16" s="2844"/>
    </row>
    <row r="17" spans="1:22" s="2848" customFormat="1" ht="13.2" customHeight="1" thickBot="1">
      <c r="A17" s="2905">
        <v>4</v>
      </c>
      <c r="B17" s="3713" t="s">
        <v>2387</v>
      </c>
      <c r="C17" s="3714"/>
      <c r="D17" s="2906">
        <f>ROUND(D6*E17,0)</f>
        <v>0</v>
      </c>
      <c r="E17" s="2907"/>
      <c r="F17" s="2908" t="s">
        <v>2388</v>
      </c>
      <c r="G17" s="2868"/>
      <c r="H17" s="2843"/>
      <c r="I17" s="2844"/>
      <c r="J17" s="3705"/>
      <c r="K17" s="3707"/>
      <c r="L17" s="2878" t="s">
        <v>2389</v>
      </c>
      <c r="M17" s="2879"/>
      <c r="N17" s="2879"/>
      <c r="O17" s="2880"/>
      <c r="P17" s="2881">
        <v>365</v>
      </c>
      <c r="Q17" s="2855"/>
      <c r="R17" s="2902">
        <f>ROUND(M17*N17*O17*P17/10000,0)</f>
        <v>0</v>
      </c>
      <c r="S17" s="2836"/>
      <c r="T17" s="2836"/>
      <c r="U17" s="2836"/>
      <c r="V17" s="2844"/>
    </row>
    <row r="18" spans="1:22" s="2848" customFormat="1" ht="13.2" customHeight="1" thickBot="1">
      <c r="A18" s="2871" t="s">
        <v>2390</v>
      </c>
      <c r="B18" s="2872"/>
      <c r="C18" s="2872"/>
      <c r="D18" s="2909">
        <f>ROUND(D6*E18,0)</f>
        <v>0</v>
      </c>
      <c r="E18" s="2910"/>
      <c r="F18" s="2911" t="s">
        <v>2391</v>
      </c>
      <c r="G18" s="2868"/>
      <c r="H18" s="2843"/>
      <c r="I18" s="2844"/>
      <c r="J18" s="3705"/>
      <c r="K18" s="3707"/>
      <c r="L18" s="2878" t="s">
        <v>2392</v>
      </c>
      <c r="M18" s="2879"/>
      <c r="N18" s="2879"/>
      <c r="O18" s="2880"/>
      <c r="P18" s="2881">
        <v>365</v>
      </c>
      <c r="Q18" s="2855"/>
      <c r="R18" s="2902">
        <f>ROUND(M18*N18*O18*P18/10000,0)</f>
        <v>0</v>
      </c>
      <c r="S18" s="2836"/>
      <c r="T18" s="2836"/>
      <c r="U18" s="2836"/>
      <c r="V18" s="2844"/>
    </row>
    <row r="19" spans="1:22" s="2848" customFormat="1" ht="13.2" customHeight="1" thickBot="1">
      <c r="A19" s="2912" t="s">
        <v>2393</v>
      </c>
      <c r="B19" s="2866"/>
      <c r="C19" s="2866"/>
      <c r="D19" s="2866"/>
      <c r="E19" s="2866"/>
      <c r="F19" s="2867"/>
      <c r="G19" s="2887"/>
      <c r="H19" s="2843"/>
      <c r="I19" s="2844"/>
      <c r="J19" s="3705"/>
      <c r="K19" s="3708"/>
      <c r="L19" s="2898" t="s">
        <v>2373</v>
      </c>
      <c r="M19" s="2899"/>
      <c r="N19" s="2899">
        <f>SUM(N16:N18)</f>
        <v>0</v>
      </c>
      <c r="O19" s="2900"/>
      <c r="P19" s="2913" t="s">
        <v>2437</v>
      </c>
      <c r="Q19" s="2880">
        <v>0</v>
      </c>
      <c r="R19" s="2914">
        <f>ROUND(IF(P19="按比例",R14*Q19,SUM(R16:R18)),0)</f>
        <v>0</v>
      </c>
      <c r="S19" s="2836"/>
      <c r="T19" s="2836"/>
      <c r="U19" s="2836"/>
      <c r="V19" s="2844"/>
    </row>
    <row r="20" spans="1:22" s="2848" customFormat="1" ht="13.2" customHeight="1">
      <c r="A20" s="2871"/>
      <c r="B20" s="2872"/>
      <c r="C20" s="2872"/>
      <c r="D20" s="2872"/>
      <c r="E20" s="2872"/>
      <c r="F20" s="2915"/>
      <c r="G20" s="2887"/>
      <c r="H20" s="2843"/>
      <c r="I20" s="2844"/>
      <c r="J20" s="3705">
        <v>3</v>
      </c>
      <c r="K20" s="3706" t="s">
        <v>2394</v>
      </c>
      <c r="L20" s="2878" t="s">
        <v>2395</v>
      </c>
      <c r="M20" s="2879" t="s">
        <v>2396</v>
      </c>
      <c r="N20" s="2916" t="s">
        <v>2397</v>
      </c>
      <c r="O20" s="2880" t="s">
        <v>2398</v>
      </c>
      <c r="P20" s="2881" t="s">
        <v>2399</v>
      </c>
      <c r="Q20" s="2855" t="s">
        <v>2400</v>
      </c>
      <c r="R20" s="2902" t="s">
        <v>2401</v>
      </c>
      <c r="S20" s="2917"/>
      <c r="T20" s="2917"/>
      <c r="U20" s="2917"/>
      <c r="V20" s="2844"/>
    </row>
    <row r="21" spans="1:22" s="2848" customFormat="1" ht="13.2" customHeight="1">
      <c r="A21" s="2871"/>
      <c r="B21" s="2872"/>
      <c r="C21" s="2918" t="s">
        <v>2402</v>
      </c>
      <c r="D21" s="2919" t="s">
        <v>2403</v>
      </c>
      <c r="E21" s="2920" t="s">
        <v>2404</v>
      </c>
      <c r="F21" s="2915"/>
      <c r="G21" s="2887"/>
      <c r="H21" s="2843"/>
      <c r="I21" s="2844"/>
      <c r="J21" s="3705"/>
      <c r="K21" s="3707"/>
      <c r="L21" s="2878" t="s">
        <v>2405</v>
      </c>
      <c r="M21" s="2879"/>
      <c r="N21" s="2879"/>
      <c r="O21" s="2880"/>
      <c r="P21" s="2881">
        <v>365</v>
      </c>
      <c r="Q21" s="2855"/>
      <c r="R21" s="2921">
        <f>ROUND(M21*N21*O21*P21/10000,0)</f>
        <v>0</v>
      </c>
      <c r="S21" s="2917"/>
      <c r="T21" s="2917"/>
      <c r="U21" s="2917"/>
      <c r="V21" s="2844"/>
    </row>
    <row r="22" spans="1:22" s="2848" customFormat="1" ht="13.2" customHeight="1">
      <c r="A22" s="2871"/>
      <c r="B22" s="2872"/>
      <c r="C22" s="2922" t="s">
        <v>2406</v>
      </c>
      <c r="D22" s="2923" t="s">
        <v>2407</v>
      </c>
      <c r="E22" s="2924" t="s">
        <v>2408</v>
      </c>
      <c r="F22" s="2915"/>
      <c r="G22" s="2925"/>
      <c r="H22" s="2843"/>
      <c r="I22" s="2844"/>
      <c r="J22" s="3705"/>
      <c r="K22" s="3707"/>
      <c r="L22" s="2878" t="s">
        <v>2409</v>
      </c>
      <c r="M22" s="2879"/>
      <c r="N22" s="2879"/>
      <c r="O22" s="2880"/>
      <c r="P22" s="2881">
        <v>365</v>
      </c>
      <c r="Q22" s="2855"/>
      <c r="R22" s="2921">
        <f>ROUND(M22*N22*O22*P22/10000,0)</f>
        <v>0</v>
      </c>
      <c r="S22" s="2917"/>
      <c r="T22" s="2917"/>
      <c r="U22" s="2917"/>
      <c r="V22" s="2844"/>
    </row>
    <row r="23" spans="1:22" s="2848" customFormat="1" ht="13.2" customHeight="1">
      <c r="A23" s="2926">
        <v>1</v>
      </c>
      <c r="B23" s="2927" t="s">
        <v>2410</v>
      </c>
      <c r="C23" s="2928">
        <f>D6</f>
        <v>0</v>
      </c>
      <c r="D23" s="2929">
        <f>C23*(1+D24)</f>
        <v>0</v>
      </c>
      <c r="E23" s="2930">
        <f>D23*(1+E24)</f>
        <v>0</v>
      </c>
      <c r="F23" s="2931"/>
      <c r="G23" s="2932"/>
      <c r="H23" s="2843"/>
      <c r="I23" s="2844"/>
      <c r="J23" s="3705"/>
      <c r="K23" s="3707"/>
      <c r="L23" s="2878" t="s">
        <v>2411</v>
      </c>
      <c r="M23" s="2879"/>
      <c r="N23" s="2879"/>
      <c r="O23" s="2880"/>
      <c r="P23" s="2881">
        <v>365</v>
      </c>
      <c r="Q23" s="2855"/>
      <c r="R23" s="2921">
        <f>ROUND(M23*N23*O23*P23/10000,0)</f>
        <v>0</v>
      </c>
      <c r="S23" s="2836"/>
      <c r="T23" s="2836"/>
      <c r="U23" s="2836"/>
      <c r="V23" s="2844"/>
    </row>
    <row r="24" spans="1:22" s="2848" customFormat="1" ht="13.2" customHeight="1">
      <c r="A24" s="2933"/>
      <c r="B24" s="2934" t="s">
        <v>2412</v>
      </c>
      <c r="C24" s="2935"/>
      <c r="D24" s="2936"/>
      <c r="E24" s="2937"/>
      <c r="F24" s="2938"/>
      <c r="G24" s="2932"/>
      <c r="H24" s="2843"/>
      <c r="I24" s="2844"/>
      <c r="J24" s="3705"/>
      <c r="K24" s="3708"/>
      <c r="L24" s="2898" t="s">
        <v>2373</v>
      </c>
      <c r="M24" s="2899">
        <f>SUM(M21:M23)</f>
        <v>0</v>
      </c>
      <c r="N24" s="2899"/>
      <c r="O24" s="2900"/>
      <c r="P24" s="2913" t="s">
        <v>2437</v>
      </c>
      <c r="Q24" s="2880">
        <v>0</v>
      </c>
      <c r="R24" s="2914">
        <f>ROUND(IF(P24="按比例",R14*Q24,SUM(R21:R23)),0)</f>
        <v>0</v>
      </c>
      <c r="S24" s="2836"/>
      <c r="T24" s="2836"/>
      <c r="U24" s="2836"/>
      <c r="V24" s="2844"/>
    </row>
    <row r="25" spans="1:22" s="2945" customFormat="1" ht="13.2" customHeight="1">
      <c r="A25" s="2933"/>
      <c r="B25" s="2934"/>
      <c r="C25" s="2935"/>
      <c r="D25" s="2936"/>
      <c r="E25" s="2937"/>
      <c r="F25" s="2938"/>
      <c r="G25" s="2925"/>
      <c r="H25" s="2843"/>
      <c r="I25" s="2844"/>
      <c r="J25" s="2939">
        <v>4</v>
      </c>
      <c r="K25" s="2940" t="s">
        <v>2413</v>
      </c>
      <c r="L25" s="2941"/>
      <c r="M25" s="2941"/>
      <c r="N25" s="2941"/>
      <c r="O25" s="2941"/>
      <c r="P25" s="2942"/>
      <c r="Q25" s="2943">
        <v>0</v>
      </c>
      <c r="R25" s="2914">
        <f>ROUND(R14*Q25,0)</f>
        <v>0</v>
      </c>
      <c r="S25" s="2836"/>
      <c r="T25" s="2836"/>
      <c r="U25" s="2836"/>
      <c r="V25" s="2944"/>
    </row>
    <row r="26" spans="1:22" s="2945" customFormat="1" ht="13.2" customHeight="1">
      <c r="A26" s="2926">
        <v>2</v>
      </c>
      <c r="B26" s="2927" t="s">
        <v>2414</v>
      </c>
      <c r="C26" s="2928">
        <f>D7</f>
        <v>0</v>
      </c>
      <c r="D26" s="2929">
        <f>D23*D27</f>
        <v>0</v>
      </c>
      <c r="E26" s="2930">
        <f>E23*E27</f>
        <v>0</v>
      </c>
      <c r="F26" s="2931"/>
      <c r="G26" s="2932"/>
      <c r="H26" s="2843"/>
      <c r="I26" s="2844"/>
      <c r="J26" s="3715">
        <v>5</v>
      </c>
      <c r="K26" s="2946" t="s">
        <v>2415</v>
      </c>
      <c r="L26" s="2947"/>
      <c r="M26" s="2948"/>
      <c r="N26" s="2949" t="s">
        <v>2416</v>
      </c>
      <c r="O26" s="2949" t="s">
        <v>2417</v>
      </c>
      <c r="P26" s="2950" t="s">
        <v>2418</v>
      </c>
      <c r="Q26" s="2950" t="s">
        <v>2419</v>
      </c>
      <c r="R26" s="2853" t="s">
        <v>2344</v>
      </c>
      <c r="S26" s="2951"/>
      <c r="T26" s="2951"/>
      <c r="U26" s="2951"/>
      <c r="V26" s="2944"/>
    </row>
    <row r="27" spans="1:22" s="2848" customFormat="1" ht="13.2" customHeight="1">
      <c r="A27" s="2933"/>
      <c r="B27" s="2934" t="s">
        <v>2420</v>
      </c>
      <c r="C27" s="2952" t="e">
        <f>E7</f>
        <v>#DIV/0!</v>
      </c>
      <c r="D27" s="2936"/>
      <c r="E27" s="2937"/>
      <c r="F27" s="2938"/>
      <c r="G27" s="2932"/>
      <c r="H27" s="2953"/>
      <c r="I27" s="2944"/>
      <c r="J27" s="3716"/>
      <c r="K27" s="2954"/>
      <c r="L27" s="2955"/>
      <c r="M27" s="2956"/>
      <c r="N27" s="2957"/>
      <c r="O27" s="2957"/>
      <c r="P27" s="2957"/>
      <c r="Q27" s="2958"/>
      <c r="R27" s="2914">
        <f>ROUND(O27*N27*P27*(1-Q27)/10000,0)</f>
        <v>0</v>
      </c>
      <c r="S27" s="2836"/>
      <c r="T27" s="2836"/>
      <c r="U27" s="2836"/>
      <c r="V27" s="2844"/>
    </row>
    <row r="28" spans="1:22" s="2945" customFormat="1" ht="13.2" customHeight="1" thickBot="1">
      <c r="A28" s="2933"/>
      <c r="B28" s="2934"/>
      <c r="C28" s="2952"/>
      <c r="D28" s="2936"/>
      <c r="E28" s="2937" t="s">
        <v>2421</v>
      </c>
      <c r="F28" s="2938"/>
      <c r="G28" s="2925"/>
      <c r="H28" s="2953"/>
      <c r="I28" s="2944"/>
      <c r="J28" s="2959">
        <v>6</v>
      </c>
      <c r="K28" s="2960" t="s">
        <v>2422</v>
      </c>
      <c r="L28" s="2961" t="s">
        <v>2423</v>
      </c>
      <c r="M28" s="2962"/>
      <c r="N28" s="2961" t="s">
        <v>2424</v>
      </c>
      <c r="O28" s="2963"/>
      <c r="P28" s="2961" t="s">
        <v>2425</v>
      </c>
      <c r="Q28" s="2964">
        <v>1.4999999999999999E-2</v>
      </c>
      <c r="R28" s="2965"/>
      <c r="S28" s="2917"/>
      <c r="T28" s="2917"/>
      <c r="U28" s="2917"/>
      <c r="V28" s="2944"/>
    </row>
    <row r="29" spans="1:22" s="2945" customFormat="1" ht="13.2" customHeight="1">
      <c r="A29" s="2926">
        <v>3</v>
      </c>
      <c r="B29" s="2927" t="s">
        <v>2426</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2" customHeight="1" thickBot="1">
      <c r="A30" s="2933"/>
      <c r="B30" s="2934" t="s">
        <v>2420</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2" customHeight="1">
      <c r="A31" s="2933"/>
      <c r="B31" s="2934"/>
      <c r="C31" s="2967"/>
      <c r="D31" s="2966"/>
      <c r="E31" s="2897"/>
      <c r="F31" s="2938"/>
      <c r="G31" s="2925"/>
      <c r="H31" s="2953"/>
      <c r="I31" s="2944"/>
      <c r="J31" s="2833" t="s">
        <v>2427</v>
      </c>
      <c r="K31" s="2834"/>
      <c r="L31" s="2834"/>
      <c r="M31" s="2834"/>
      <c r="N31" s="2834"/>
      <c r="O31" s="2834"/>
      <c r="P31" s="2834"/>
      <c r="Q31" s="2834"/>
      <c r="R31" s="2835"/>
      <c r="S31" s="2917"/>
      <c r="T31" s="2836"/>
      <c r="U31" s="2836"/>
      <c r="V31" s="2944"/>
    </row>
    <row r="32" spans="1:22" s="2945" customFormat="1" ht="13.2" customHeight="1">
      <c r="A32" s="2926">
        <v>4</v>
      </c>
      <c r="B32" s="2927" t="s">
        <v>2428</v>
      </c>
      <c r="C32" s="2928">
        <f>C23-C26-C29</f>
        <v>0</v>
      </c>
      <c r="D32" s="2929">
        <f>D23-D26-D29</f>
        <v>0</v>
      </c>
      <c r="E32" s="2930">
        <f>E23-E26-E29</f>
        <v>0</v>
      </c>
      <c r="F32" s="2931"/>
      <c r="G32" s="2925"/>
      <c r="H32" s="2843"/>
      <c r="I32" s="2844"/>
      <c r="J32" s="3698" t="s">
        <v>2320</v>
      </c>
      <c r="K32" s="3699"/>
      <c r="L32" s="2845" t="s">
        <v>2321</v>
      </c>
      <c r="M32" s="2845" t="s">
        <v>2322</v>
      </c>
      <c r="N32" s="2845" t="s">
        <v>2323</v>
      </c>
      <c r="O32" s="2845" t="s">
        <v>2324</v>
      </c>
      <c r="P32" s="2845" t="s">
        <v>2325</v>
      </c>
      <c r="Q32" s="2846" t="s">
        <v>2326</v>
      </c>
      <c r="R32" s="2968" t="s">
        <v>2327</v>
      </c>
      <c r="S32" s="2917"/>
      <c r="T32" s="2836"/>
      <c r="U32" s="2836"/>
      <c r="V32" s="2944"/>
    </row>
    <row r="33" spans="1:23" s="2848" customFormat="1" ht="13.2" customHeight="1">
      <c r="A33" s="2926"/>
      <c r="B33" s="2927"/>
      <c r="C33" s="2928"/>
      <c r="D33" s="2969"/>
      <c r="E33" s="2970"/>
      <c r="F33" s="2931"/>
      <c r="G33" s="2925"/>
      <c r="H33" s="2953"/>
      <c r="I33" s="2944"/>
      <c r="J33" s="3700" t="s">
        <v>2330</v>
      </c>
      <c r="K33" s="3701"/>
      <c r="L33" s="2851"/>
      <c r="M33" s="2851"/>
      <c r="N33" s="2851"/>
      <c r="O33" s="2851"/>
      <c r="P33" s="2851"/>
      <c r="Q33" s="2852"/>
      <c r="R33" s="2971">
        <f>SUM(L33:Q33)</f>
        <v>0</v>
      </c>
      <c r="S33" s="2917"/>
      <c r="T33" s="2836"/>
      <c r="U33" s="2836"/>
      <c r="V33" s="2844"/>
    </row>
    <row r="34" spans="1:23" s="2848" customFormat="1" ht="13.2" customHeight="1">
      <c r="A34" s="2926">
        <v>5</v>
      </c>
      <c r="B34" s="2927" t="s">
        <v>2429</v>
      </c>
      <c r="C34" s="2972"/>
      <c r="D34" s="2973"/>
      <c r="E34" s="2974"/>
      <c r="F34" s="2931"/>
      <c r="G34" s="2925"/>
      <c r="H34" s="2953"/>
      <c r="I34" s="2944"/>
      <c r="J34" s="3700" t="s">
        <v>2332</v>
      </c>
      <c r="K34" s="3701"/>
      <c r="L34" s="2856"/>
      <c r="M34" s="2856"/>
      <c r="N34" s="2856"/>
      <c r="O34" s="2856"/>
      <c r="P34" s="2856"/>
      <c r="Q34" s="2857"/>
      <c r="R34" s="2975">
        <f>SUM(L34:Q34)</f>
        <v>0</v>
      </c>
      <c r="S34" s="2917"/>
      <c r="T34" s="2836"/>
      <c r="U34" s="2836" t="e">
        <f>ROUND(R35*10000/365/R33,1)</f>
        <v>#DIV/0!</v>
      </c>
      <c r="V34" s="2844"/>
    </row>
    <row r="35" spans="1:23" s="2848" customFormat="1" ht="13.2" customHeight="1">
      <c r="A35" s="2926">
        <v>6</v>
      </c>
      <c r="B35" s="2927" t="s">
        <v>2430</v>
      </c>
      <c r="C35" s="2976"/>
      <c r="D35" s="2977"/>
      <c r="E35" s="2978"/>
      <c r="F35" s="2931"/>
      <c r="G35" s="2979"/>
      <c r="H35" s="2843"/>
      <c r="I35" s="2944"/>
      <c r="J35" s="2862" t="s">
        <v>2334</v>
      </c>
      <c r="K35" s="2863"/>
      <c r="L35" s="2863"/>
      <c r="M35" s="2864"/>
      <c r="N35" s="2864"/>
      <c r="O35" s="2864"/>
      <c r="P35" s="2864"/>
      <c r="Q35" s="2864"/>
      <c r="R35" s="2980">
        <f>R40+R41+R43</f>
        <v>0</v>
      </c>
      <c r="S35" s="2917"/>
      <c r="T35" s="2836" t="s">
        <v>2335</v>
      </c>
      <c r="U35" s="2836"/>
      <c r="V35" s="2844"/>
    </row>
    <row r="36" spans="1:23" s="2848" customFormat="1" ht="13.2" customHeight="1" thickBot="1">
      <c r="A36" s="2926">
        <v>7</v>
      </c>
      <c r="B36" s="2981" t="s">
        <v>2431</v>
      </c>
      <c r="C36" s="2982"/>
      <c r="D36" s="2983"/>
      <c r="E36" s="2984"/>
      <c r="F36" s="2985">
        <f>C36+D36+E36</f>
        <v>0</v>
      </c>
      <c r="G36" s="2925"/>
      <c r="H36" s="2843"/>
      <c r="I36" s="2844"/>
      <c r="J36" s="3705">
        <v>1</v>
      </c>
      <c r="K36" s="3706" t="s">
        <v>2432</v>
      </c>
      <c r="L36" s="2869"/>
      <c r="M36" s="2870"/>
      <c r="N36" s="2870"/>
      <c r="O36" s="2870"/>
      <c r="P36" s="2870"/>
      <c r="Q36" s="2870"/>
      <c r="R36" s="2853" t="s">
        <v>2344</v>
      </c>
      <c r="S36" s="2917"/>
      <c r="T36" s="2836" t="s">
        <v>2345</v>
      </c>
      <c r="U36" s="2836"/>
      <c r="V36" s="2844"/>
    </row>
    <row r="37" spans="1:23" s="2848" customFormat="1" ht="13.2" customHeight="1">
      <c r="A37" s="2926"/>
      <c r="B37" s="2927"/>
      <c r="C37" s="2927"/>
      <c r="D37" s="2927"/>
      <c r="E37" s="2927"/>
      <c r="F37" s="2931"/>
      <c r="G37" s="2925"/>
      <c r="H37" s="2843"/>
      <c r="I37" s="2844"/>
      <c r="J37" s="3705"/>
      <c r="K37" s="3707"/>
      <c r="L37" s="2878"/>
      <c r="M37" s="2879"/>
      <c r="N37" s="2855"/>
      <c r="O37" s="2880"/>
      <c r="P37" s="2880"/>
      <c r="Q37" s="2881"/>
      <c r="R37" s="2882"/>
      <c r="S37" s="2917"/>
      <c r="T37" s="2836" t="s">
        <v>2348</v>
      </c>
      <c r="U37" s="2836"/>
      <c r="V37" s="2844"/>
    </row>
    <row r="38" spans="1:23" s="2848" customFormat="1" ht="13.2" customHeight="1">
      <c r="A38" s="2926">
        <v>8</v>
      </c>
      <c r="B38" s="2927"/>
      <c r="C38" s="2884" t="e">
        <f>ROUND(C32*(1-((1+C35)/(1+C34))^C36)/(C34-C35),0)</f>
        <v>#DIV/0!</v>
      </c>
      <c r="D38" s="2884">
        <f>IF(D23=0,0,ROUND(D32*(1-((1+D35)/(1+D34))^D36)/(D34-D35),0))</f>
        <v>0</v>
      </c>
      <c r="E38" s="2884">
        <f>IF(E23=0,0,ROUND(E32*(1-((1+E35)/(1+E34))^E36)/(E34-E35),0))</f>
        <v>0</v>
      </c>
      <c r="F38" s="2931"/>
      <c r="G38" s="2925"/>
      <c r="H38" s="2843"/>
      <c r="I38" s="2844"/>
      <c r="J38" s="3705"/>
      <c r="K38" s="3707"/>
      <c r="L38" s="2878"/>
      <c r="M38" s="2879"/>
      <c r="N38" s="2855"/>
      <c r="O38" s="2880"/>
      <c r="P38" s="2880"/>
      <c r="Q38" s="2881"/>
      <c r="R38" s="2882"/>
      <c r="S38" s="2917"/>
      <c r="T38" s="2836" t="s">
        <v>2355</v>
      </c>
      <c r="U38" s="2836"/>
      <c r="V38" s="2844"/>
    </row>
    <row r="39" spans="1:23" s="2848" customFormat="1" ht="13.2" customHeight="1">
      <c r="A39" s="2926">
        <v>9</v>
      </c>
      <c r="B39" s="2927" t="s">
        <v>2433</v>
      </c>
      <c r="C39" s="2892" t="e">
        <f>C38</f>
        <v>#DIV/0!</v>
      </c>
      <c r="D39" s="2927">
        <f>D38/(1+D34)^C36</f>
        <v>0</v>
      </c>
      <c r="E39" s="2927">
        <f>E38/(1+E34)^(C36+D36)</f>
        <v>0</v>
      </c>
      <c r="F39" s="2931"/>
      <c r="G39" s="2986"/>
      <c r="H39" s="2843"/>
      <c r="I39" s="2844"/>
      <c r="J39" s="3705"/>
      <c r="K39" s="3707"/>
      <c r="L39" s="2878"/>
      <c r="M39" s="2879"/>
      <c r="N39" s="2855"/>
      <c r="O39" s="2880"/>
      <c r="P39" s="2880"/>
      <c r="Q39" s="2881"/>
      <c r="R39" s="2882"/>
      <c r="S39" s="2917"/>
      <c r="T39" s="2836"/>
      <c r="U39" s="2836"/>
      <c r="V39" s="2844"/>
    </row>
    <row r="40" spans="1:23" s="2848" customFormat="1" ht="13.2" customHeight="1">
      <c r="A40" s="2987">
        <v>10</v>
      </c>
      <c r="B40" s="2927" t="s">
        <v>2434</v>
      </c>
      <c r="C40" s="2988" t="e">
        <f>C39+D39+E39</f>
        <v>#DIV/0!</v>
      </c>
      <c r="D40" s="2989"/>
      <c r="E40" s="2989"/>
      <c r="F40" s="2990"/>
      <c r="G40" s="2925"/>
      <c r="H40" s="2843"/>
      <c r="I40" s="2844"/>
      <c r="J40" s="3705"/>
      <c r="K40" s="3708"/>
      <c r="L40" s="2898" t="s">
        <v>2373</v>
      </c>
      <c r="M40" s="2899"/>
      <c r="N40" s="2899"/>
      <c r="O40" s="2900"/>
      <c r="P40" s="2900"/>
      <c r="Q40" s="2901"/>
      <c r="R40" s="2847">
        <f>SUM(R37:R39)</f>
        <v>0</v>
      </c>
      <c r="S40" s="2917"/>
      <c r="T40" s="2836"/>
      <c r="U40" s="2836"/>
      <c r="V40" s="2844"/>
    </row>
    <row r="41" spans="1:23" s="2848" customFormat="1" ht="13.2" customHeight="1" thickBot="1">
      <c r="A41" s="2991">
        <v>11</v>
      </c>
      <c r="B41" s="2992" t="s">
        <v>2435</v>
      </c>
      <c r="C41" s="2992" t="e">
        <f>ROUND(C40*10000/B4,0)</f>
        <v>#DIV/0!</v>
      </c>
      <c r="D41" s="2993"/>
      <c r="E41" s="2993"/>
      <c r="F41" s="2994"/>
      <c r="G41" s="2995"/>
      <c r="H41" s="2843"/>
      <c r="I41" s="2844"/>
      <c r="J41" s="2939">
        <v>2</v>
      </c>
      <c r="K41" s="2940" t="s">
        <v>2413</v>
      </c>
      <c r="L41" s="2941"/>
      <c r="M41" s="2941"/>
      <c r="N41" s="2941"/>
      <c r="O41" s="2941"/>
      <c r="P41" s="2942"/>
      <c r="Q41" s="2943"/>
      <c r="R41" s="2914">
        <f>ROUND(R40*Q41,0)</f>
        <v>0</v>
      </c>
      <c r="S41" s="2917"/>
      <c r="T41" s="2836"/>
      <c r="U41" s="2951"/>
      <c r="V41" s="2844"/>
    </row>
    <row r="42" spans="1:23" s="2848" customFormat="1" ht="13.2" customHeight="1">
      <c r="G42" s="2995"/>
      <c r="H42" s="2843"/>
      <c r="I42" s="2844"/>
      <c r="J42" s="3715">
        <v>3</v>
      </c>
      <c r="K42" s="2946" t="s">
        <v>2415</v>
      </c>
      <c r="L42" s="2947"/>
      <c r="M42" s="2948"/>
      <c r="N42" s="2949" t="s">
        <v>2416</v>
      </c>
      <c r="O42" s="2949" t="s">
        <v>2417</v>
      </c>
      <c r="P42" s="2950" t="s">
        <v>2418</v>
      </c>
      <c r="Q42" s="2950" t="s">
        <v>2419</v>
      </c>
      <c r="R42" s="2853" t="s">
        <v>2344</v>
      </c>
      <c r="S42" s="2951"/>
      <c r="T42" s="2951"/>
      <c r="U42" s="2836"/>
      <c r="V42" s="2844"/>
    </row>
    <row r="43" spans="1:23" ht="13.2" customHeight="1">
      <c r="A43" s="2848"/>
      <c r="B43" s="2848"/>
      <c r="C43" s="2848"/>
      <c r="D43" s="2848"/>
      <c r="E43" s="2848"/>
      <c r="F43" s="2848"/>
      <c r="I43" s="2831"/>
      <c r="J43" s="3716"/>
      <c r="K43" s="2954"/>
      <c r="L43" s="2955"/>
      <c r="M43" s="2956"/>
      <c r="N43" s="2879"/>
      <c r="O43" s="2879"/>
      <c r="P43" s="2879"/>
      <c r="Q43" s="2943"/>
      <c r="R43" s="2914">
        <f>ROUND(O43*N43*P43*(1-Q43)/10000,0)</f>
        <v>0</v>
      </c>
      <c r="S43" s="2917"/>
      <c r="T43" s="2836"/>
      <c r="V43" s="2997"/>
      <c r="W43" s="2998"/>
    </row>
    <row r="44" spans="1:23" ht="13.2" customHeight="1" thickBot="1">
      <c r="J44" s="2959">
        <v>6</v>
      </c>
      <c r="K44" s="2960" t="s">
        <v>2422</v>
      </c>
      <c r="L44" s="2999" t="s">
        <v>2423</v>
      </c>
      <c r="M44" s="2962"/>
      <c r="N44" s="2999" t="s">
        <v>2424</v>
      </c>
      <c r="O44" s="2962"/>
      <c r="P44" s="2999" t="s">
        <v>2425</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2"/>
      <c r="G1" s="1485"/>
      <c r="H1" s="1485"/>
      <c r="I1" s="1485"/>
      <c r="J1" s="1485"/>
      <c r="K1" s="1485"/>
      <c r="L1" s="1485"/>
      <c r="M1" s="1485"/>
      <c r="N1" s="1485"/>
      <c r="O1" s="1485"/>
      <c r="P1" s="1485"/>
      <c r="Q1" s="1485"/>
      <c r="R1" s="1485"/>
      <c r="S1" s="1485"/>
    </row>
    <row r="2" spans="1:22" ht="15.6">
      <c r="A2" s="1866" t="s">
        <v>1462</v>
      </c>
      <c r="B2" s="1867">
        <f ca="1">SUMIF(B6:B13,"&lt;&gt;#ref!",B6:B13)</f>
        <v>27877</v>
      </c>
      <c r="C2" s="1868" t="s">
        <v>1651</v>
      </c>
      <c r="D2" s="1869" t="s">
        <v>1652</v>
      </c>
      <c r="E2" s="2602">
        <f>SUM(E6:E13)</f>
        <v>37711.240000000005</v>
      </c>
      <c r="F2" s="2702"/>
      <c r="G2" s="1485"/>
      <c r="H2" s="1485"/>
      <c r="I2" s="1485"/>
      <c r="J2" s="1485"/>
      <c r="K2" s="1485"/>
      <c r="L2" s="1485"/>
      <c r="M2" s="1485"/>
      <c r="N2" s="1485"/>
      <c r="O2" s="1485"/>
      <c r="P2" s="1485"/>
      <c r="Q2" s="1485"/>
      <c r="R2" s="1485"/>
      <c r="S2" s="1485"/>
    </row>
    <row r="3" spans="1:22" ht="15.6">
      <c r="A3" s="1866" t="s">
        <v>686</v>
      </c>
      <c r="B3" s="2596">
        <f ca="1">ROUND(B2*10000/E2,0)</f>
        <v>7392</v>
      </c>
      <c r="C3" s="1868" t="s">
        <v>1659</v>
      </c>
      <c r="D3" s="2704"/>
      <c r="E3" s="2706"/>
      <c r="F3" s="2702"/>
      <c r="G3" s="1485"/>
      <c r="H3" s="1485"/>
      <c r="I3" s="1485"/>
      <c r="J3" s="1485"/>
      <c r="K3" s="1485"/>
      <c r="L3" s="1485"/>
      <c r="M3" s="1485"/>
      <c r="N3" s="1485"/>
      <c r="O3" s="1485"/>
      <c r="P3" s="1485"/>
      <c r="Q3" s="1485"/>
      <c r="R3" s="1485"/>
      <c r="S3" s="1485"/>
    </row>
    <row r="4" spans="1:22" ht="15.6">
      <c r="A4" s="2707"/>
      <c r="B4" s="2704"/>
      <c r="C4" s="2704"/>
      <c r="D4" s="2704"/>
      <c r="E4" s="2706"/>
      <c r="F4" s="2702"/>
      <c r="G4" s="1485"/>
      <c r="H4" s="1485"/>
      <c r="I4" s="1485"/>
      <c r="J4" s="1485"/>
      <c r="K4" s="1485"/>
      <c r="L4" s="1485"/>
      <c r="M4" s="1485"/>
      <c r="N4" s="1485"/>
      <c r="O4" s="1485"/>
      <c r="P4" s="1485"/>
      <c r="Q4" s="1485"/>
      <c r="R4" s="1485"/>
      <c r="S4" s="1485"/>
    </row>
    <row r="5" spans="1:22" ht="14.4">
      <c r="A5" s="2598" t="s">
        <v>1653</v>
      </c>
      <c r="B5" s="3717" t="s">
        <v>1654</v>
      </c>
      <c r="C5" s="3718"/>
      <c r="D5" s="2703"/>
      <c r="E5" s="1870" t="s">
        <v>1655</v>
      </c>
      <c r="F5" s="1871" t="s">
        <v>1656</v>
      </c>
      <c r="G5" s="1485"/>
      <c r="H5" s="1485"/>
      <c r="I5" s="1485"/>
      <c r="J5" s="1485"/>
      <c r="K5" s="1485"/>
      <c r="L5" s="1485"/>
      <c r="M5" s="1485"/>
      <c r="N5" s="1485"/>
      <c r="O5" s="1485"/>
      <c r="P5" s="1485"/>
      <c r="Q5" s="1485"/>
      <c r="R5" s="1485"/>
      <c r="S5" s="1485"/>
    </row>
    <row r="6" spans="1:22" ht="14.4">
      <c r="A6" s="2599" t="str">
        <f>'数据-取费表'!AN6</f>
        <v>收益法</v>
      </c>
      <c r="B6" s="2597">
        <f ca="1">IF(F6="是",'数据-取费表'!AO6,0)</f>
        <v>27877</v>
      </c>
      <c r="C6" s="1868" t="s">
        <v>1651</v>
      </c>
      <c r="D6" s="2704"/>
      <c r="E6" s="2601">
        <f>IF(OR(A6=0,F6="否"),0,'数据-取费表'!K6+'数据-取费表'!S6)</f>
        <v>37711.240000000005</v>
      </c>
      <c r="F6" s="1872" t="s">
        <v>1657</v>
      </c>
      <c r="G6" s="1485"/>
      <c r="H6" s="1485"/>
      <c r="I6" s="1485"/>
      <c r="J6" s="1485"/>
      <c r="K6" s="1485"/>
      <c r="L6" s="1485"/>
      <c r="M6" s="1485"/>
      <c r="N6" s="1485"/>
      <c r="O6" s="1485"/>
      <c r="P6" s="1485"/>
      <c r="Q6" s="1485"/>
      <c r="R6" s="1485"/>
      <c r="S6" s="1485"/>
    </row>
    <row r="7" spans="1:22" ht="14.4">
      <c r="A7" s="2599">
        <f>'数据-取费表'!AN7</f>
        <v>0</v>
      </c>
      <c r="B7" s="2597" t="e">
        <f ca="1">IF(F7="是",'数据-取费表'!AO7,0)</f>
        <v>#REF!</v>
      </c>
      <c r="C7" s="1868" t="s">
        <v>1651</v>
      </c>
      <c r="D7" s="2704"/>
      <c r="E7" s="2601">
        <f>IF(OR(A7=0,F7="否"),0,'数据-取费表'!K7+'数据-取费表'!S7)</f>
        <v>0</v>
      </c>
      <c r="F7" s="1872" t="s">
        <v>1657</v>
      </c>
      <c r="G7" s="1485"/>
      <c r="H7" s="1485"/>
      <c r="I7" s="1485"/>
      <c r="J7" s="1485"/>
      <c r="K7" s="1485"/>
      <c r="L7" s="1485"/>
      <c r="M7" s="1485"/>
      <c r="N7" s="1485"/>
      <c r="O7" s="1485"/>
      <c r="P7" s="1485"/>
      <c r="Q7" s="1485"/>
      <c r="R7" s="1485"/>
      <c r="S7" s="1485"/>
    </row>
    <row r="8" spans="1:22" ht="14.4">
      <c r="A8" s="2599">
        <f>'数据-取费表'!AN8</f>
        <v>0</v>
      </c>
      <c r="B8" s="2597" t="e">
        <f ca="1">IF(F8="是",'数据-取费表'!AO8,0)</f>
        <v>#REF!</v>
      </c>
      <c r="C8" s="1868" t="s">
        <v>1651</v>
      </c>
      <c r="D8" s="2704"/>
      <c r="E8" s="2601">
        <f>IF(OR(A8=0,F8="否"),0,'数据-取费表'!K8+'数据-取费表'!S8)</f>
        <v>0</v>
      </c>
      <c r="F8" s="1872" t="s">
        <v>1657</v>
      </c>
      <c r="G8" s="1485"/>
      <c r="H8" s="1485"/>
      <c r="I8" s="1485"/>
      <c r="J8" s="1485"/>
      <c r="K8" s="1485"/>
      <c r="L8" s="1485"/>
      <c r="M8" s="1485"/>
      <c r="N8" s="1485"/>
      <c r="O8" s="1485"/>
      <c r="P8" s="1485"/>
      <c r="Q8" s="1485"/>
      <c r="R8" s="1485"/>
      <c r="S8" s="1485"/>
    </row>
    <row r="9" spans="1:22" ht="14.4">
      <c r="A9" s="2599">
        <f>'数据-取费表'!AN9</f>
        <v>0</v>
      </c>
      <c r="B9" s="2597" t="e">
        <f ca="1">IF(F9="是",'数据-取费表'!AO9,0)</f>
        <v>#REF!</v>
      </c>
      <c r="C9" s="1868" t="s">
        <v>1651</v>
      </c>
      <c r="D9" s="2704"/>
      <c r="E9" s="2601">
        <f>IF(OR(A9=0,F9="否"),0,'数据-取费表'!K9+'数据-取费表'!S9)</f>
        <v>0</v>
      </c>
      <c r="F9" s="1872" t="s">
        <v>1657</v>
      </c>
      <c r="G9" s="1485"/>
      <c r="H9" s="1485"/>
      <c r="I9" s="1485"/>
      <c r="J9" s="1485"/>
      <c r="K9" s="1485"/>
      <c r="L9" s="1485"/>
      <c r="M9" s="1485"/>
      <c r="N9" s="1485"/>
      <c r="O9" s="1485"/>
      <c r="P9" s="1485"/>
      <c r="Q9" s="1485"/>
      <c r="R9" s="1485"/>
      <c r="S9" s="1485"/>
    </row>
    <row r="10" spans="1:22" ht="14.4">
      <c r="A10" s="2599">
        <f>'数据-取费表'!AN10</f>
        <v>0</v>
      </c>
      <c r="B10" s="2597" t="e">
        <f ca="1">IF(F10="是",'数据-取费表'!AO10,0)</f>
        <v>#REF!</v>
      </c>
      <c r="C10" s="1868" t="s">
        <v>1651</v>
      </c>
      <c r="D10" s="2704"/>
      <c r="E10" s="2601">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9">
        <f>'数据-取费表'!AN11</f>
        <v>0</v>
      </c>
      <c r="B11" s="2597" t="e">
        <f ca="1">IF(F11="是",'数据-取费表'!AO11,0)</f>
        <v>#REF!</v>
      </c>
      <c r="C11" s="1868" t="s">
        <v>1651</v>
      </c>
      <c r="D11" s="2704"/>
      <c r="E11" s="2601">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9">
        <f>'数据-取费表'!AN12</f>
        <v>0</v>
      </c>
      <c r="B12" s="2597" t="e">
        <f ca="1">IF(F12="是",'数据-取费表'!AO12,0)</f>
        <v>#REF!</v>
      </c>
      <c r="C12" s="1868" t="s">
        <v>1651</v>
      </c>
      <c r="D12" s="2704"/>
      <c r="E12" s="2601">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0">
        <f>'数据-取费表'!AN13</f>
        <v>0</v>
      </c>
      <c r="B13" s="2597" t="e">
        <f ca="1">IF(F13="是",'数据-取费表'!AO13,0)</f>
        <v>#REF!</v>
      </c>
      <c r="C13" s="1873" t="s">
        <v>1651</v>
      </c>
      <c r="D13" s="2705"/>
      <c r="E13" s="2601">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874" t="s">
        <v>1661</v>
      </c>
      <c r="C1" s="1234" t="s">
        <v>1662</v>
      </c>
      <c r="D1" s="1221"/>
      <c r="E1" s="3421"/>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22"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5"/>
      <c r="H2" s="905"/>
      <c r="I2" s="905"/>
      <c r="J2" s="905"/>
      <c r="K2" s="1880"/>
      <c r="L2" s="2708"/>
      <c r="M2" s="2709"/>
      <c r="N2" s="2709"/>
      <c r="O2" s="2709"/>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37711.240000000005</v>
      </c>
      <c r="E3" s="905"/>
      <c r="F3" s="1884"/>
      <c r="G3" s="905"/>
      <c r="H3" s="905"/>
      <c r="I3" s="905"/>
      <c r="J3" s="905"/>
      <c r="K3" s="1880"/>
      <c r="L3" s="2708"/>
      <c r="M3" s="2709"/>
      <c r="N3" s="2709"/>
      <c r="O3" s="2709"/>
      <c r="P3" s="1881"/>
      <c r="Q3" s="1882"/>
      <c r="R3" s="1882"/>
      <c r="S3" s="1882"/>
      <c r="T3" s="1882"/>
      <c r="U3" s="1882"/>
      <c r="V3" s="1882"/>
      <c r="W3" s="1882"/>
      <c r="X3" s="1882"/>
      <c r="Y3" s="1882"/>
      <c r="Z3" s="1882"/>
      <c r="AA3" s="1882"/>
      <c r="AB3" s="1882"/>
      <c r="AC3" s="1059"/>
    </row>
    <row r="4" spans="1:29" ht="14.4">
      <c r="A4" s="354" t="s">
        <v>1666</v>
      </c>
      <c r="B4" s="355"/>
      <c r="C4" s="3663" t="s">
        <v>1667</v>
      </c>
      <c r="D4" s="3664"/>
      <c r="E4" s="3665" t="s">
        <v>1668</v>
      </c>
      <c r="F4" s="3666"/>
      <c r="G4" s="3663" t="s">
        <v>1669</v>
      </c>
      <c r="H4" s="3664"/>
      <c r="I4" s="3663" t="s">
        <v>1670</v>
      </c>
      <c r="J4" s="3664"/>
      <c r="K4" s="1885" t="s">
        <v>1671</v>
      </c>
      <c r="L4" s="2710"/>
      <c r="M4" s="2711"/>
      <c r="N4" s="2711"/>
      <c r="O4" s="2711"/>
      <c r="P4" s="3723" t="s">
        <v>1672</v>
      </c>
      <c r="Q4" s="3724"/>
      <c r="R4" s="3720" t="s">
        <v>1668</v>
      </c>
      <c r="S4" s="3721"/>
      <c r="T4" s="3720" t="s">
        <v>1669</v>
      </c>
      <c r="U4" s="3721"/>
      <c r="V4" s="3676" t="s">
        <v>1670</v>
      </c>
      <c r="W4" s="3676"/>
      <c r="X4" s="1351"/>
      <c r="Y4" s="3720" t="s">
        <v>1672</v>
      </c>
      <c r="Z4" s="3721"/>
      <c r="AA4" s="3719" t="s">
        <v>1668</v>
      </c>
      <c r="AB4" s="3719" t="s">
        <v>1669</v>
      </c>
      <c r="AC4" s="3719" t="s">
        <v>1670</v>
      </c>
    </row>
    <row r="5" spans="1:29">
      <c r="A5" s="357"/>
      <c r="B5" s="358"/>
      <c r="C5" s="3652" t="s">
        <v>1673</v>
      </c>
      <c r="D5" s="3653"/>
      <c r="E5" s="3722" t="s">
        <v>1674</v>
      </c>
      <c r="F5" s="3651"/>
      <c r="G5" s="3652" t="s">
        <v>1675</v>
      </c>
      <c r="H5" s="3653"/>
      <c r="I5" s="3652" t="s">
        <v>1676</v>
      </c>
      <c r="J5" s="3653"/>
      <c r="K5" s="1886"/>
      <c r="L5" s="2710"/>
      <c r="M5" s="2711"/>
      <c r="N5" s="2711"/>
      <c r="O5" s="2711"/>
      <c r="P5" s="3725"/>
      <c r="Q5" s="3670"/>
      <c r="R5" s="3648"/>
      <c r="S5" s="3649"/>
      <c r="T5" s="3648"/>
      <c r="U5" s="3649"/>
      <c r="V5" s="3676"/>
      <c r="W5" s="3676"/>
      <c r="X5" s="1351"/>
      <c r="Y5" s="3648"/>
      <c r="Z5" s="3649"/>
      <c r="AA5" s="3642"/>
      <c r="AB5" s="3642"/>
      <c r="AC5" s="3642"/>
    </row>
    <row r="6" spans="1:29" ht="15" thickBot="1">
      <c r="A6" s="359"/>
      <c r="B6" s="360"/>
      <c r="C6" s="3654" t="s">
        <v>1677</v>
      </c>
      <c r="D6" s="3655"/>
      <c r="E6" s="3657" t="s">
        <v>1677</v>
      </c>
      <c r="F6" s="3658"/>
      <c r="G6" s="3654" t="s">
        <v>1677</v>
      </c>
      <c r="H6" s="3655"/>
      <c r="I6" s="3654" t="s">
        <v>1677</v>
      </c>
      <c r="J6" s="3655"/>
      <c r="K6" s="1886" t="s">
        <v>1678</v>
      </c>
      <c r="L6" s="2710"/>
      <c r="M6" s="2711"/>
      <c r="N6" s="2711"/>
      <c r="O6" s="2711"/>
      <c r="P6" s="3726"/>
      <c r="Q6" s="3672"/>
      <c r="R6" s="3648"/>
      <c r="S6" s="3649"/>
      <c r="T6" s="3673"/>
      <c r="U6" s="3674"/>
      <c r="V6" s="3676"/>
      <c r="W6" s="3676"/>
      <c r="X6" s="1351"/>
      <c r="Y6" s="3673"/>
      <c r="Z6" s="3674"/>
      <c r="AA6" s="3643"/>
      <c r="AB6" s="3643"/>
      <c r="AC6" s="3643"/>
    </row>
    <row r="7" spans="1:29" s="108" customFormat="1" ht="15" thickBot="1">
      <c r="A7" s="361" t="s">
        <v>1679</v>
      </c>
      <c r="B7" s="362"/>
      <c r="C7" s="363">
        <f>'数据-取费表'!B2</f>
        <v>45124</v>
      </c>
      <c r="D7" s="364">
        <v>100</v>
      </c>
      <c r="E7" s="365"/>
      <c r="F7" s="366">
        <f>SUMIF(58:58,YEAR(E7)&amp;"-"&amp;MONTH(E7),59:59)</f>
        <v>0</v>
      </c>
      <c r="G7" s="365"/>
      <c r="H7" s="364">
        <f>SUMIF(58:58,YEAR(G7)&amp;"-"&amp;MONTH(G7),59:59)</f>
        <v>0</v>
      </c>
      <c r="I7" s="365"/>
      <c r="J7" s="364">
        <f>SUMIF(58:58,YEAR(I7)&amp;"-"&amp;MONTH(I7),59:59)</f>
        <v>0</v>
      </c>
      <c r="K7" s="1887"/>
      <c r="L7" s="2712"/>
      <c r="M7" s="2713"/>
      <c r="N7" s="2713"/>
      <c r="O7" s="2713"/>
      <c r="P7" s="3644" t="s">
        <v>1680</v>
      </c>
      <c r="Q7" s="3678"/>
      <c r="R7" s="699" t="s">
        <v>20</v>
      </c>
      <c r="S7" s="700">
        <f t="shared" ref="S7:S15" si="0">F7</f>
        <v>0</v>
      </c>
      <c r="T7" s="699" t="s">
        <v>20</v>
      </c>
      <c r="U7" s="700">
        <f t="shared" ref="U7:U15" si="1">H7</f>
        <v>0</v>
      </c>
      <c r="V7" s="699" t="s">
        <v>20</v>
      </c>
      <c r="W7" s="700">
        <f t="shared" ref="W7:W15" si="2">J7</f>
        <v>0</v>
      </c>
      <c r="X7" s="701"/>
      <c r="Y7" s="3644" t="s">
        <v>1680</v>
      </c>
      <c r="Z7" s="3645"/>
      <c r="AA7" s="702" t="e">
        <f>D7/F7</f>
        <v>#DIV/0!</v>
      </c>
      <c r="AB7" s="702" t="e">
        <f>D7/H7</f>
        <v>#DIV/0!</v>
      </c>
      <c r="AC7" s="702" t="e">
        <f>D7/J7</f>
        <v>#DIV/0!</v>
      </c>
    </row>
    <row r="8" spans="1:29" s="108" customFormat="1" ht="1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2"/>
      <c r="M8" s="2713"/>
      <c r="N8" s="2713"/>
      <c r="O8" s="2713"/>
      <c r="P8" s="3644" t="s">
        <v>1683</v>
      </c>
      <c r="Q8" s="3645"/>
      <c r="R8" s="699" t="s">
        <v>20</v>
      </c>
      <c r="S8" s="700">
        <f t="shared" si="0"/>
        <v>100</v>
      </c>
      <c r="T8" s="699" t="s">
        <v>20</v>
      </c>
      <c r="U8" s="700">
        <f t="shared" si="1"/>
        <v>100</v>
      </c>
      <c r="V8" s="699" t="s">
        <v>20</v>
      </c>
      <c r="W8" s="700">
        <f t="shared" si="2"/>
        <v>100</v>
      </c>
      <c r="X8" s="701"/>
      <c r="Y8" s="3644" t="s">
        <v>1683</v>
      </c>
      <c r="Z8" s="3645"/>
      <c r="AA8" s="702">
        <f t="shared" ref="AA8:AA19" si="3">D8/F8</f>
        <v>1</v>
      </c>
      <c r="AB8" s="702">
        <f t="shared" ref="AB8:AB19" si="4">D8/H8</f>
        <v>1</v>
      </c>
      <c r="AC8" s="702">
        <f t="shared" ref="AC8:AC19" si="5">D8/J8</f>
        <v>1</v>
      </c>
    </row>
    <row r="9" spans="1:29" s="108" customFormat="1" ht="14.4">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2"/>
      <c r="M9" s="2713"/>
      <c r="N9" s="2713"/>
      <c r="O9" s="2713"/>
      <c r="P9" s="3659" t="s">
        <v>1686</v>
      </c>
      <c r="Q9" s="1339"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7" customFormat="1" ht="28.8">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7"/>
      <c r="L10" s="2714"/>
      <c r="M10" s="2715"/>
      <c r="N10" s="2715"/>
      <c r="O10" s="2715"/>
      <c r="P10" s="3659"/>
      <c r="Q10" s="1339"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659"/>
      <c r="Q11" s="1339" t="str">
        <f t="shared" si="6"/>
        <v>容积率</v>
      </c>
      <c r="R11" s="699" t="s">
        <v>18</v>
      </c>
      <c r="S11" s="700" t="e">
        <f t="shared" si="0"/>
        <v>#N/A</v>
      </c>
      <c r="T11" s="699" t="s">
        <v>18</v>
      </c>
      <c r="U11" s="700" t="e">
        <f t="shared" si="1"/>
        <v>#N/A</v>
      </c>
      <c r="V11" s="699" t="s">
        <v>18</v>
      </c>
      <c r="W11" s="700" t="e">
        <f t="shared" si="2"/>
        <v>#N/A</v>
      </c>
      <c r="X11" s="701"/>
      <c r="Y11" s="3614"/>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2"/>
      <c r="M12" s="2713"/>
      <c r="N12" s="2713"/>
      <c r="O12" s="2713"/>
      <c r="P12" s="3659"/>
      <c r="Q12" s="1339">
        <f t="shared" si="6"/>
        <v>111</v>
      </c>
      <c r="R12" s="699" t="s">
        <v>18</v>
      </c>
      <c r="S12" s="700">
        <f t="shared" si="0"/>
        <v>100</v>
      </c>
      <c r="T12" s="699" t="s">
        <v>18</v>
      </c>
      <c r="U12" s="700">
        <f t="shared" si="1"/>
        <v>100</v>
      </c>
      <c r="V12" s="699" t="s">
        <v>18</v>
      </c>
      <c r="W12" s="700">
        <f t="shared" si="2"/>
        <v>100</v>
      </c>
      <c r="X12" s="701"/>
      <c r="Y12" s="361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7"/>
      <c r="M13" s="2711"/>
      <c r="N13" s="2711"/>
      <c r="O13" s="2711"/>
      <c r="P13" s="3659"/>
      <c r="Q13" s="1339">
        <f t="shared" si="6"/>
        <v>111</v>
      </c>
      <c r="R13" s="699" t="s">
        <v>18</v>
      </c>
      <c r="S13" s="700">
        <f t="shared" si="0"/>
        <v>100</v>
      </c>
      <c r="T13" s="699" t="s">
        <v>18</v>
      </c>
      <c r="U13" s="700">
        <f t="shared" si="1"/>
        <v>100</v>
      </c>
      <c r="V13" s="699" t="s">
        <v>18</v>
      </c>
      <c r="W13" s="700">
        <f t="shared" si="2"/>
        <v>100</v>
      </c>
      <c r="X13" s="701"/>
      <c r="Y13" s="3614"/>
      <c r="Z13" s="52">
        <f t="shared" si="7"/>
        <v>111</v>
      </c>
      <c r="AA13" s="702">
        <f t="shared" si="3"/>
        <v>1</v>
      </c>
      <c r="AB13" s="702">
        <f t="shared" si="4"/>
        <v>1</v>
      </c>
      <c r="AC13" s="702">
        <f t="shared" si="5"/>
        <v>1</v>
      </c>
    </row>
    <row r="14" spans="1:29" ht="15.6"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7"/>
      <c r="M14" s="2711"/>
      <c r="N14" s="2711"/>
      <c r="O14" s="2711"/>
      <c r="P14" s="3659"/>
      <c r="Q14" s="1339">
        <f t="shared" si="6"/>
        <v>111</v>
      </c>
      <c r="R14" s="699" t="s">
        <v>18</v>
      </c>
      <c r="S14" s="700">
        <f t="shared" si="0"/>
        <v>100</v>
      </c>
      <c r="T14" s="699" t="s">
        <v>18</v>
      </c>
      <c r="U14" s="700">
        <f t="shared" si="1"/>
        <v>100</v>
      </c>
      <c r="V14" s="699" t="s">
        <v>18</v>
      </c>
      <c r="W14" s="700">
        <f t="shared" si="2"/>
        <v>100</v>
      </c>
      <c r="X14" s="701"/>
      <c r="Y14" s="3614"/>
      <c r="Z14" s="52">
        <f t="shared" si="7"/>
        <v>111</v>
      </c>
      <c r="AA14" s="702">
        <f t="shared" si="3"/>
        <v>1</v>
      </c>
      <c r="AB14" s="702">
        <f t="shared" si="4"/>
        <v>1</v>
      </c>
      <c r="AC14" s="702">
        <f t="shared" si="5"/>
        <v>1</v>
      </c>
    </row>
    <row r="15" spans="1:29" ht="96.6">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679" t="s">
        <v>1691</v>
      </c>
      <c r="Q15" s="1348" t="str">
        <f t="shared" si="6"/>
        <v>居住社区成熟度</v>
      </c>
      <c r="R15" s="703" t="s">
        <v>18</v>
      </c>
      <c r="S15" s="704">
        <f t="shared" si="0"/>
        <v>100</v>
      </c>
      <c r="T15" s="703" t="s">
        <v>18</v>
      </c>
      <c r="U15" s="704">
        <f t="shared" si="1"/>
        <v>100</v>
      </c>
      <c r="V15" s="703" t="s">
        <v>18</v>
      </c>
      <c r="W15" s="704">
        <f t="shared" si="2"/>
        <v>100</v>
      </c>
      <c r="X15" s="1351"/>
      <c r="Y15" s="3681"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7"/>
      <c r="M16" s="2711"/>
      <c r="N16" s="2711"/>
      <c r="O16" s="2711"/>
      <c r="P16" s="3680"/>
      <c r="Q16" s="1348"/>
      <c r="R16" s="703"/>
      <c r="S16" s="704"/>
      <c r="T16" s="703"/>
      <c r="U16" s="704"/>
      <c r="V16" s="703"/>
      <c r="W16" s="704"/>
      <c r="X16" s="1351"/>
      <c r="Y16" s="3682"/>
      <c r="Z16" s="1352"/>
      <c r="AA16" s="1349">
        <v>1</v>
      </c>
      <c r="AB16" s="1349">
        <v>1</v>
      </c>
      <c r="AC16" s="1349">
        <v>1</v>
      </c>
    </row>
    <row r="17" spans="1:29" ht="82.8">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680"/>
      <c r="Q17" s="1348" t="str">
        <f>B17</f>
        <v>交通便捷度</v>
      </c>
      <c r="R17" s="703" t="s">
        <v>18</v>
      </c>
      <c r="S17" s="704">
        <f>F17</f>
        <v>100</v>
      </c>
      <c r="T17" s="703" t="s">
        <v>18</v>
      </c>
      <c r="U17" s="704">
        <f>H17</f>
        <v>100</v>
      </c>
      <c r="V17" s="703" t="s">
        <v>18</v>
      </c>
      <c r="W17" s="704">
        <f>J17</f>
        <v>100</v>
      </c>
      <c r="X17" s="1351"/>
      <c r="Y17" s="3682"/>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7"/>
      <c r="M18" s="2711"/>
      <c r="N18" s="2711"/>
      <c r="O18" s="2711"/>
      <c r="P18" s="3680"/>
      <c r="Q18" s="1348"/>
      <c r="R18" s="703"/>
      <c r="S18" s="704"/>
      <c r="T18" s="703"/>
      <c r="U18" s="704"/>
      <c r="V18" s="703"/>
      <c r="W18" s="704"/>
      <c r="X18" s="1351"/>
      <c r="Y18" s="3682"/>
      <c r="Z18" s="1352"/>
      <c r="AA18" s="1349">
        <v>1</v>
      </c>
      <c r="AB18" s="1349">
        <v>1</v>
      </c>
      <c r="AC18" s="1349">
        <v>1</v>
      </c>
    </row>
    <row r="19" spans="1:29" ht="41.4">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680"/>
      <c r="Q19" s="1348" t="str">
        <f>B19</f>
        <v>公共配套设施</v>
      </c>
      <c r="R19" s="703" t="s">
        <v>18</v>
      </c>
      <c r="S19" s="704">
        <f>F19</f>
        <v>100</v>
      </c>
      <c r="T19" s="703" t="s">
        <v>18</v>
      </c>
      <c r="U19" s="704">
        <f>H19</f>
        <v>100</v>
      </c>
      <c r="V19" s="703" t="s">
        <v>18</v>
      </c>
      <c r="W19" s="704">
        <f>J19</f>
        <v>100</v>
      </c>
      <c r="X19" s="1351"/>
      <c r="Y19" s="3682"/>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7"/>
      <c r="M20" s="2711"/>
      <c r="N20" s="2711"/>
      <c r="O20" s="2711"/>
      <c r="P20" s="3680"/>
      <c r="Q20" s="1348"/>
      <c r="R20" s="703"/>
      <c r="S20" s="704"/>
      <c r="T20" s="703"/>
      <c r="U20" s="704"/>
      <c r="V20" s="703"/>
      <c r="W20" s="704"/>
      <c r="X20" s="1351"/>
      <c r="Y20" s="3682"/>
      <c r="Z20" s="1352"/>
      <c r="AA20" s="1349">
        <v>1</v>
      </c>
      <c r="AB20" s="1349">
        <v>1</v>
      </c>
      <c r="AC20" s="1349">
        <v>1</v>
      </c>
    </row>
    <row r="21" spans="1:29" ht="27.6">
      <c r="A21" s="378"/>
      <c r="B21" s="1127"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680"/>
      <c r="Q21" s="1348" t="str">
        <f>B21</f>
        <v>基础设施水平</v>
      </c>
      <c r="R21" s="703" t="s">
        <v>14</v>
      </c>
      <c r="S21" s="704">
        <f>F21</f>
        <v>100</v>
      </c>
      <c r="T21" s="703" t="s">
        <v>14</v>
      </c>
      <c r="U21" s="704">
        <f>H21</f>
        <v>100</v>
      </c>
      <c r="V21" s="703" t="s">
        <v>14</v>
      </c>
      <c r="W21" s="704">
        <f>J21</f>
        <v>100</v>
      </c>
      <c r="X21" s="1351"/>
      <c r="Y21" s="368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7"/>
      <c r="M22" s="2711"/>
      <c r="N22" s="2711"/>
      <c r="O22" s="2711"/>
      <c r="P22" s="3680"/>
      <c r="Q22" s="1348"/>
      <c r="R22" s="703"/>
      <c r="S22" s="704"/>
      <c r="T22" s="703"/>
      <c r="U22" s="704"/>
      <c r="V22" s="703"/>
      <c r="W22" s="704"/>
      <c r="X22" s="1351"/>
      <c r="Y22" s="3682"/>
      <c r="Z22" s="1352"/>
      <c r="AA22" s="1349">
        <v>1</v>
      </c>
      <c r="AB22" s="1349">
        <v>1</v>
      </c>
      <c r="AC22" s="1349">
        <v>1</v>
      </c>
    </row>
    <row r="23" spans="1:29" ht="55.2">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680"/>
      <c r="Q23" s="1348" t="str">
        <f>B23</f>
        <v>自然及人文环境</v>
      </c>
      <c r="R23" s="703" t="s">
        <v>18</v>
      </c>
      <c r="S23" s="704">
        <f>F23</f>
        <v>100</v>
      </c>
      <c r="T23" s="703" t="s">
        <v>18</v>
      </c>
      <c r="U23" s="704">
        <f>H23</f>
        <v>100</v>
      </c>
      <c r="V23" s="703" t="s">
        <v>18</v>
      </c>
      <c r="W23" s="704">
        <f>J23</f>
        <v>100</v>
      </c>
      <c r="X23" s="1351"/>
      <c r="Y23" s="3682"/>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7"/>
      <c r="M24" s="2711"/>
      <c r="N24" s="2711"/>
      <c r="O24" s="2711"/>
      <c r="P24" s="3680"/>
      <c r="Q24" s="1348"/>
      <c r="R24" s="703"/>
      <c r="S24" s="704"/>
      <c r="T24" s="703"/>
      <c r="U24" s="704"/>
      <c r="V24" s="703"/>
      <c r="W24" s="704"/>
      <c r="X24" s="1351"/>
      <c r="Y24" s="3682"/>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7"/>
      <c r="M25" s="2711"/>
      <c r="N25" s="2711"/>
      <c r="O25" s="2711"/>
      <c r="P25" s="3680"/>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82"/>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7"/>
      <c r="M26" s="2711"/>
      <c r="N26" s="2711"/>
      <c r="O26" s="2711"/>
      <c r="P26" s="3680"/>
      <c r="Q26" s="1348" t="str">
        <f t="shared" si="11"/>
        <v>朝向</v>
      </c>
      <c r="R26" s="703" t="s">
        <v>18</v>
      </c>
      <c r="S26" s="704">
        <f t="shared" si="12"/>
        <v>100</v>
      </c>
      <c r="T26" s="703" t="s">
        <v>18</v>
      </c>
      <c r="U26" s="704">
        <f t="shared" si="13"/>
        <v>100</v>
      </c>
      <c r="V26" s="703" t="s">
        <v>18</v>
      </c>
      <c r="W26" s="704">
        <f t="shared" si="14"/>
        <v>100</v>
      </c>
      <c r="X26" s="1351"/>
      <c r="Y26" s="3682"/>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2"/>
      <c r="M27" s="2713"/>
      <c r="N27" s="2713"/>
      <c r="O27" s="2713"/>
      <c r="P27" s="3680"/>
      <c r="Q27" s="1339">
        <f t="shared" si="11"/>
        <v>111</v>
      </c>
      <c r="R27" s="699" t="s">
        <v>18</v>
      </c>
      <c r="S27" s="700">
        <f t="shared" si="12"/>
        <v>100</v>
      </c>
      <c r="T27" s="699" t="s">
        <v>18</v>
      </c>
      <c r="U27" s="700">
        <f t="shared" si="13"/>
        <v>100</v>
      </c>
      <c r="V27" s="699" t="s">
        <v>18</v>
      </c>
      <c r="W27" s="700">
        <f t="shared" si="14"/>
        <v>100</v>
      </c>
      <c r="X27" s="701"/>
      <c r="Y27" s="3682"/>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7"/>
      <c r="M28" s="2711"/>
      <c r="N28" s="2711"/>
      <c r="O28" s="2711"/>
      <c r="P28" s="3680"/>
      <c r="Q28" s="1348">
        <f t="shared" si="11"/>
        <v>111</v>
      </c>
      <c r="R28" s="703" t="s">
        <v>18</v>
      </c>
      <c r="S28" s="704">
        <f t="shared" si="12"/>
        <v>100</v>
      </c>
      <c r="T28" s="703" t="s">
        <v>18</v>
      </c>
      <c r="U28" s="704">
        <f t="shared" si="13"/>
        <v>100</v>
      </c>
      <c r="V28" s="703" t="s">
        <v>18</v>
      </c>
      <c r="W28" s="704">
        <f t="shared" si="14"/>
        <v>100</v>
      </c>
      <c r="X28" s="1351"/>
      <c r="Y28" s="3682"/>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7"/>
      <c r="M29" s="2711"/>
      <c r="N29" s="2711"/>
      <c r="O29" s="2711"/>
      <c r="P29" s="3680"/>
      <c r="Q29" s="1348">
        <f t="shared" si="11"/>
        <v>111</v>
      </c>
      <c r="R29" s="703" t="s">
        <v>18</v>
      </c>
      <c r="S29" s="704">
        <f t="shared" si="12"/>
        <v>100</v>
      </c>
      <c r="T29" s="703" t="s">
        <v>18</v>
      </c>
      <c r="U29" s="704">
        <f t="shared" si="13"/>
        <v>100</v>
      </c>
      <c r="V29" s="703" t="s">
        <v>18</v>
      </c>
      <c r="W29" s="704">
        <f t="shared" si="14"/>
        <v>100</v>
      </c>
      <c r="X29" s="1351"/>
      <c r="Y29" s="3682"/>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7"/>
      <c r="M30" s="2711"/>
      <c r="N30" s="2711"/>
      <c r="O30" s="2711"/>
      <c r="P30" s="3680"/>
      <c r="Q30" s="1348">
        <f t="shared" si="11"/>
        <v>111</v>
      </c>
      <c r="R30" s="703" t="s">
        <v>18</v>
      </c>
      <c r="S30" s="704">
        <f t="shared" si="12"/>
        <v>100</v>
      </c>
      <c r="T30" s="703" t="s">
        <v>18</v>
      </c>
      <c r="U30" s="704">
        <f t="shared" si="13"/>
        <v>100</v>
      </c>
      <c r="V30" s="703" t="s">
        <v>18</v>
      </c>
      <c r="W30" s="704">
        <f t="shared" si="14"/>
        <v>100</v>
      </c>
      <c r="X30" s="1351"/>
      <c r="Y30" s="3682"/>
      <c r="Z30" s="1352">
        <f t="shared" si="18"/>
        <v>111</v>
      </c>
      <c r="AA30" s="1349">
        <f t="shared" si="15"/>
        <v>1</v>
      </c>
      <c r="AB30" s="1349">
        <f t="shared" si="16"/>
        <v>1</v>
      </c>
      <c r="AC30" s="1349">
        <f t="shared" si="17"/>
        <v>1</v>
      </c>
    </row>
    <row r="31" spans="1:29" ht="15.6"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7"/>
      <c r="M31" s="2711"/>
      <c r="N31" s="2711"/>
      <c r="O31" s="2711"/>
      <c r="P31" s="3680"/>
      <c r="Q31" s="1348">
        <f t="shared" si="11"/>
        <v>111</v>
      </c>
      <c r="R31" s="703" t="s">
        <v>18</v>
      </c>
      <c r="S31" s="704">
        <f t="shared" si="12"/>
        <v>100</v>
      </c>
      <c r="T31" s="703" t="s">
        <v>18</v>
      </c>
      <c r="U31" s="704">
        <f t="shared" si="13"/>
        <v>100</v>
      </c>
      <c r="V31" s="703" t="s">
        <v>18</v>
      </c>
      <c r="W31" s="704">
        <f t="shared" si="14"/>
        <v>100</v>
      </c>
      <c r="X31" s="1351"/>
      <c r="Y31" s="3682"/>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7"/>
      <c r="M32" s="2711"/>
      <c r="N32" s="2711"/>
      <c r="O32" s="2711"/>
      <c r="P32" s="3683" t="s">
        <v>1696</v>
      </c>
      <c r="Q32" s="1348" t="str">
        <f t="shared" si="11"/>
        <v>建筑类型</v>
      </c>
      <c r="R32" s="703" t="s">
        <v>18</v>
      </c>
      <c r="S32" s="704">
        <f t="shared" si="12"/>
        <v>100</v>
      </c>
      <c r="T32" s="703" t="s">
        <v>18</v>
      </c>
      <c r="U32" s="704">
        <f t="shared" si="13"/>
        <v>100</v>
      </c>
      <c r="V32" s="703" t="s">
        <v>18</v>
      </c>
      <c r="W32" s="704">
        <f t="shared" si="14"/>
        <v>100</v>
      </c>
      <c r="X32" s="1351"/>
      <c r="Y32" s="3686" t="s">
        <v>1696</v>
      </c>
      <c r="Z32" s="1352" t="str">
        <f t="shared" si="18"/>
        <v>建筑类型</v>
      </c>
      <c r="AA32" s="1349">
        <f t="shared" si="15"/>
        <v>1</v>
      </c>
      <c r="AB32" s="1349">
        <f t="shared" si="16"/>
        <v>1</v>
      </c>
      <c r="AC32" s="1349">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6"/>
      <c r="M33" s="2718"/>
      <c r="N33" s="2718"/>
      <c r="O33" s="2718"/>
      <c r="P33" s="3684"/>
      <c r="Q33" s="705" t="str">
        <f t="shared" si="11"/>
        <v>项目建筑规模</v>
      </c>
      <c r="R33" s="706" t="s">
        <v>18</v>
      </c>
      <c r="S33" s="707" t="e">
        <f t="shared" si="12"/>
        <v>#N/A</v>
      </c>
      <c r="T33" s="706" t="s">
        <v>18</v>
      </c>
      <c r="U33" s="707" t="e">
        <f t="shared" si="13"/>
        <v>#N/A</v>
      </c>
      <c r="V33" s="706" t="s">
        <v>18</v>
      </c>
      <c r="W33" s="707" t="e">
        <f t="shared" si="14"/>
        <v>#N/A</v>
      </c>
      <c r="X33" s="708"/>
      <c r="Y33" s="3686"/>
      <c r="Z33" s="709"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7"/>
      <c r="M34" s="2711"/>
      <c r="N34" s="2711"/>
      <c r="O34" s="2711"/>
      <c r="P34" s="3684"/>
      <c r="Q34" s="1348" t="str">
        <f t="shared" si="11"/>
        <v>建筑结构</v>
      </c>
      <c r="R34" s="703" t="s">
        <v>18</v>
      </c>
      <c r="S34" s="704">
        <f t="shared" si="12"/>
        <v>100</v>
      </c>
      <c r="T34" s="703" t="s">
        <v>18</v>
      </c>
      <c r="U34" s="704">
        <f t="shared" si="13"/>
        <v>100</v>
      </c>
      <c r="V34" s="703" t="s">
        <v>18</v>
      </c>
      <c r="W34" s="704">
        <f t="shared" si="14"/>
        <v>100</v>
      </c>
      <c r="X34" s="1351"/>
      <c r="Y34" s="3686"/>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7"/>
      <c r="M35" s="2711"/>
      <c r="N35" s="2711"/>
      <c r="O35" s="2711"/>
      <c r="P35" s="3684"/>
      <c r="Q35" s="1348" t="str">
        <f t="shared" si="11"/>
        <v>建筑品质</v>
      </c>
      <c r="R35" s="703" t="s">
        <v>18</v>
      </c>
      <c r="S35" s="704">
        <f t="shared" si="12"/>
        <v>100</v>
      </c>
      <c r="T35" s="703" t="s">
        <v>18</v>
      </c>
      <c r="U35" s="704">
        <f t="shared" si="13"/>
        <v>100</v>
      </c>
      <c r="V35" s="703" t="s">
        <v>18</v>
      </c>
      <c r="W35" s="704">
        <f t="shared" si="14"/>
        <v>100</v>
      </c>
      <c r="X35" s="1351"/>
      <c r="Y35" s="3686"/>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7"/>
      <c r="M36" s="2711"/>
      <c r="N36" s="2711"/>
      <c r="O36" s="2711"/>
      <c r="P36" s="3684"/>
      <c r="Q36" s="1348" t="str">
        <f t="shared" si="11"/>
        <v>公共部分装修</v>
      </c>
      <c r="R36" s="703" t="s">
        <v>18</v>
      </c>
      <c r="S36" s="704">
        <f t="shared" si="12"/>
        <v>100</v>
      </c>
      <c r="T36" s="703" t="s">
        <v>18</v>
      </c>
      <c r="U36" s="704">
        <f t="shared" si="13"/>
        <v>100</v>
      </c>
      <c r="V36" s="703" t="s">
        <v>18</v>
      </c>
      <c r="W36" s="704">
        <f t="shared" si="14"/>
        <v>100</v>
      </c>
      <c r="X36" s="1351"/>
      <c r="Y36" s="3686"/>
      <c r="Z36" s="1352" t="str">
        <f t="shared" si="18"/>
        <v>公共部分装修</v>
      </c>
      <c r="AA36" s="1349">
        <f t="shared" si="15"/>
        <v>1</v>
      </c>
      <c r="AB36" s="1349">
        <f t="shared" si="16"/>
        <v>1</v>
      </c>
      <c r="AC36" s="1349">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684"/>
      <c r="Q37" s="1339" t="str">
        <f t="shared" si="11"/>
        <v>成新度</v>
      </c>
      <c r="R37" s="699" t="s">
        <v>18</v>
      </c>
      <c r="S37" s="700" t="e">
        <f t="shared" si="12"/>
        <v>#N/A</v>
      </c>
      <c r="T37" s="699" t="s">
        <v>18</v>
      </c>
      <c r="U37" s="700" t="e">
        <f t="shared" si="13"/>
        <v>#N/A</v>
      </c>
      <c r="V37" s="699" t="s">
        <v>18</v>
      </c>
      <c r="W37" s="700" t="e">
        <f t="shared" si="14"/>
        <v>#N/A</v>
      </c>
      <c r="X37" s="701"/>
      <c r="Y37" s="3686"/>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7"/>
      <c r="M38" s="2711"/>
      <c r="N38" s="2711"/>
      <c r="O38" s="2711"/>
      <c r="P38" s="3684" t="s">
        <v>1696</v>
      </c>
      <c r="Q38" s="1348" t="str">
        <f t="shared" si="11"/>
        <v>物业管理</v>
      </c>
      <c r="R38" s="703" t="s">
        <v>18</v>
      </c>
      <c r="S38" s="704">
        <f t="shared" si="12"/>
        <v>100</v>
      </c>
      <c r="T38" s="703" t="s">
        <v>18</v>
      </c>
      <c r="U38" s="704">
        <f t="shared" si="13"/>
        <v>100</v>
      </c>
      <c r="V38" s="703" t="s">
        <v>18</v>
      </c>
      <c r="W38" s="704">
        <f t="shared" si="14"/>
        <v>100</v>
      </c>
      <c r="X38" s="1351"/>
      <c r="Y38" s="3686"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7"/>
      <c r="M39" s="2711"/>
      <c r="N39" s="2711"/>
      <c r="O39" s="2711"/>
      <c r="P39" s="3684"/>
      <c r="Q39" s="1348" t="str">
        <f t="shared" si="11"/>
        <v>市政基础设施</v>
      </c>
      <c r="R39" s="703" t="s">
        <v>18</v>
      </c>
      <c r="S39" s="704">
        <f t="shared" si="12"/>
        <v>100</v>
      </c>
      <c r="T39" s="703" t="s">
        <v>18</v>
      </c>
      <c r="U39" s="704">
        <f t="shared" si="13"/>
        <v>100</v>
      </c>
      <c r="V39" s="703" t="s">
        <v>18</v>
      </c>
      <c r="W39" s="704">
        <f t="shared" si="14"/>
        <v>100</v>
      </c>
      <c r="X39" s="1351"/>
      <c r="Y39" s="3686"/>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7"/>
      <c r="M40" s="2711"/>
      <c r="N40" s="2711"/>
      <c r="O40" s="2711"/>
      <c r="P40" s="3684"/>
      <c r="Q40" s="1348" t="str">
        <f t="shared" si="11"/>
        <v>房型</v>
      </c>
      <c r="R40" s="703" t="s">
        <v>18</v>
      </c>
      <c r="S40" s="704">
        <f t="shared" si="12"/>
        <v>100</v>
      </c>
      <c r="T40" s="703" t="s">
        <v>18</v>
      </c>
      <c r="U40" s="704">
        <f t="shared" si="13"/>
        <v>100</v>
      </c>
      <c r="V40" s="703" t="s">
        <v>18</v>
      </c>
      <c r="W40" s="704">
        <f t="shared" si="14"/>
        <v>100</v>
      </c>
      <c r="X40" s="1351"/>
      <c r="Y40" s="3686"/>
      <c r="Z40" s="1352" t="str">
        <f t="shared" si="18"/>
        <v>房型</v>
      </c>
      <c r="AA40" s="1349">
        <f t="shared" si="15"/>
        <v>1</v>
      </c>
      <c r="AB40" s="1349">
        <f t="shared" si="16"/>
        <v>1</v>
      </c>
      <c r="AC40" s="1349">
        <f t="shared" si="17"/>
        <v>1</v>
      </c>
    </row>
    <row r="41" spans="1:29" s="421" customFormat="1" ht="28.8">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6"/>
      <c r="M41" s="2718"/>
      <c r="N41" s="2718"/>
      <c r="O41" s="2718"/>
      <c r="P41" s="3684"/>
      <c r="Q41" s="705" t="str">
        <f t="shared" si="11"/>
        <v>单套/主力户型建筑面积</v>
      </c>
      <c r="R41" s="706" t="s">
        <v>18</v>
      </c>
      <c r="S41" s="707">
        <f t="shared" si="12"/>
        <v>100</v>
      </c>
      <c r="T41" s="706" t="s">
        <v>18</v>
      </c>
      <c r="U41" s="707">
        <f t="shared" si="13"/>
        <v>100</v>
      </c>
      <c r="V41" s="706" t="s">
        <v>18</v>
      </c>
      <c r="W41" s="707">
        <f t="shared" si="14"/>
        <v>100</v>
      </c>
      <c r="X41" s="708"/>
      <c r="Y41" s="3686"/>
      <c r="Z41" s="709"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7"/>
      <c r="M42" s="2711"/>
      <c r="N42" s="2711"/>
      <c r="O42" s="2711"/>
      <c r="P42" s="3684"/>
      <c r="Q42" s="1348" t="str">
        <f t="shared" si="11"/>
        <v>内部装修</v>
      </c>
      <c r="R42" s="703" t="s">
        <v>18</v>
      </c>
      <c r="S42" s="704">
        <f t="shared" si="12"/>
        <v>100</v>
      </c>
      <c r="T42" s="703" t="s">
        <v>18</v>
      </c>
      <c r="U42" s="704">
        <f t="shared" si="13"/>
        <v>100</v>
      </c>
      <c r="V42" s="703" t="s">
        <v>18</v>
      </c>
      <c r="W42" s="704">
        <f t="shared" si="14"/>
        <v>100</v>
      </c>
      <c r="X42" s="1351"/>
      <c r="Y42" s="3686"/>
      <c r="Z42" s="1352" t="str">
        <f t="shared" si="18"/>
        <v>内部装修</v>
      </c>
      <c r="AA42" s="1349">
        <f t="shared" si="15"/>
        <v>1</v>
      </c>
      <c r="AB42" s="1349">
        <f t="shared" si="16"/>
        <v>1</v>
      </c>
      <c r="AC42" s="1349">
        <f t="shared" si="17"/>
        <v>1</v>
      </c>
    </row>
    <row r="43" spans="1:29" ht="28.8">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7"/>
      <c r="M43" s="2711"/>
      <c r="N43" s="2711"/>
      <c r="O43" s="2711"/>
      <c r="P43" s="3684"/>
      <c r="Q43" s="1348" t="str">
        <f t="shared" si="11"/>
        <v>内部装修维护情况</v>
      </c>
      <c r="R43" s="703" t="s">
        <v>18</v>
      </c>
      <c r="S43" s="704">
        <f t="shared" si="12"/>
        <v>100</v>
      </c>
      <c r="T43" s="703" t="s">
        <v>18</v>
      </c>
      <c r="U43" s="704">
        <f t="shared" si="13"/>
        <v>100</v>
      </c>
      <c r="V43" s="703" t="s">
        <v>18</v>
      </c>
      <c r="W43" s="704">
        <f t="shared" si="14"/>
        <v>100</v>
      </c>
      <c r="X43" s="1351"/>
      <c r="Y43" s="3686"/>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2"/>
      <c r="M44" s="2713"/>
      <c r="N44" s="2713"/>
      <c r="O44" s="2713"/>
      <c r="P44" s="3684"/>
      <c r="Q44" s="1339">
        <f t="shared" si="11"/>
        <v>111</v>
      </c>
      <c r="R44" s="699" t="s">
        <v>18</v>
      </c>
      <c r="S44" s="700">
        <f t="shared" si="12"/>
        <v>100</v>
      </c>
      <c r="T44" s="699" t="s">
        <v>18</v>
      </c>
      <c r="U44" s="700">
        <f t="shared" si="13"/>
        <v>100</v>
      </c>
      <c r="V44" s="699" t="s">
        <v>18</v>
      </c>
      <c r="W44" s="700">
        <f t="shared" si="14"/>
        <v>100</v>
      </c>
      <c r="X44" s="701"/>
      <c r="Y44" s="3686"/>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7"/>
      <c r="M45" s="2711"/>
      <c r="N45" s="2711"/>
      <c r="O45" s="2711"/>
      <c r="P45" s="3684"/>
      <c r="Q45" s="1348">
        <f t="shared" si="11"/>
        <v>111</v>
      </c>
      <c r="R45" s="703" t="s">
        <v>18</v>
      </c>
      <c r="S45" s="704">
        <f t="shared" si="12"/>
        <v>100</v>
      </c>
      <c r="T45" s="703" t="s">
        <v>18</v>
      </c>
      <c r="U45" s="704">
        <f t="shared" si="13"/>
        <v>100</v>
      </c>
      <c r="V45" s="703" t="s">
        <v>18</v>
      </c>
      <c r="W45" s="704">
        <f t="shared" si="14"/>
        <v>100</v>
      </c>
      <c r="X45" s="1351"/>
      <c r="Y45" s="3686"/>
      <c r="Z45" s="1352">
        <f t="shared" si="18"/>
        <v>111</v>
      </c>
      <c r="AA45" s="1349">
        <f t="shared" si="15"/>
        <v>1</v>
      </c>
      <c r="AB45" s="1349">
        <f t="shared" si="16"/>
        <v>1</v>
      </c>
      <c r="AC45" s="1349">
        <f t="shared" si="17"/>
        <v>1</v>
      </c>
    </row>
    <row r="46" spans="1:29" ht="15.6"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7"/>
      <c r="M46" s="2711"/>
      <c r="N46" s="2711"/>
      <c r="O46" s="2711"/>
      <c r="P46" s="3685"/>
      <c r="Q46" s="1348">
        <f t="shared" si="11"/>
        <v>111</v>
      </c>
      <c r="R46" s="703" t="s">
        <v>17</v>
      </c>
      <c r="S46" s="704">
        <f t="shared" si="12"/>
        <v>100</v>
      </c>
      <c r="T46" s="703" t="s">
        <v>17</v>
      </c>
      <c r="U46" s="704">
        <f t="shared" si="13"/>
        <v>100</v>
      </c>
      <c r="V46" s="703" t="s">
        <v>17</v>
      </c>
      <c r="W46" s="704">
        <f t="shared" si="14"/>
        <v>100</v>
      </c>
      <c r="X46" s="1351"/>
      <c r="Y46" s="3687"/>
      <c r="Z46" s="1352">
        <f t="shared" si="18"/>
        <v>111</v>
      </c>
      <c r="AA46" s="1349">
        <f t="shared" si="15"/>
        <v>1</v>
      </c>
      <c r="AB46" s="1349">
        <f t="shared" si="16"/>
        <v>1</v>
      </c>
      <c r="AC46" s="1349">
        <f t="shared" si="17"/>
        <v>1</v>
      </c>
    </row>
    <row r="47" spans="1:29" ht="14.4">
      <c r="A47" s="429" t="s">
        <v>1708</v>
      </c>
      <c r="B47" s="430"/>
      <c r="C47" s="1150" t="s">
        <v>16</v>
      </c>
      <c r="D47" s="1151"/>
      <c r="E47" s="1152"/>
      <c r="F47" s="1153"/>
      <c r="G47" s="1154"/>
      <c r="H47" s="1155"/>
      <c r="I47" s="1152"/>
      <c r="J47" s="1155"/>
      <c r="K47" s="1910"/>
      <c r="L47" s="2719"/>
      <c r="M47" s="2720"/>
      <c r="N47" s="2711"/>
      <c r="O47" s="2720"/>
      <c r="P47" s="3688" t="str">
        <f>A47</f>
        <v>成交单价（元/平方米）</v>
      </c>
      <c r="Q47" s="3688"/>
      <c r="R47" s="3689">
        <f>E47</f>
        <v>0</v>
      </c>
      <c r="S47" s="3689"/>
      <c r="T47" s="3689">
        <f>G47</f>
        <v>0</v>
      </c>
      <c r="U47" s="3689"/>
      <c r="V47" s="3689">
        <f>I47</f>
        <v>0</v>
      </c>
      <c r="W47" s="3689"/>
      <c r="X47" s="688"/>
      <c r="Y47" s="710"/>
      <c r="Z47" s="688"/>
      <c r="AA47" s="688"/>
      <c r="AB47" s="688"/>
      <c r="AC47" s="688"/>
    </row>
    <row r="48" spans="1:29" ht="15" thickBot="1">
      <c r="A48" s="436" t="s">
        <v>1709</v>
      </c>
      <c r="B48" s="437"/>
      <c r="C48" s="1156" t="e">
        <f>R49</f>
        <v>#DIV/0!</v>
      </c>
      <c r="D48" s="2313" t="s">
        <v>2138</v>
      </c>
      <c r="E48" s="1157" t="e">
        <f>R48</f>
        <v>#DIV/0!</v>
      </c>
      <c r="F48" s="2314"/>
      <c r="G48" s="1156" t="e">
        <f>T48</f>
        <v>#DIV/0!</v>
      </c>
      <c r="H48" s="2314"/>
      <c r="I48" s="1157" t="e">
        <f>V48</f>
        <v>#DIV/0!</v>
      </c>
      <c r="J48" s="2314"/>
      <c r="K48" s="2315">
        <f>F48+H48+J48</f>
        <v>0</v>
      </c>
      <c r="L48" s="2719"/>
      <c r="M48" s="2720"/>
      <c r="N48" s="2720"/>
      <c r="O48" s="2720"/>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 thickBot="1">
      <c r="A49" s="440" t="s">
        <v>1710</v>
      </c>
      <c r="B49" s="441"/>
      <c r="C49" s="1158" t="e">
        <f>R49</f>
        <v>#DIV/0!</v>
      </c>
      <c r="D49" s="1159"/>
      <c r="E49" s="1159"/>
      <c r="F49" s="1159"/>
      <c r="G49" s="1159"/>
      <c r="H49" s="1159"/>
      <c r="I49" s="1159"/>
      <c r="J49" s="1159"/>
      <c r="K49" s="1911"/>
      <c r="L49" s="2719"/>
      <c r="M49" s="2720"/>
      <c r="N49" s="2720"/>
      <c r="O49" s="2720"/>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3"/>
    </row>
    <row r="55" spans="1:29" s="450"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2.2" thickBot="1">
      <c r="A57" s="692" t="s">
        <v>1714</v>
      </c>
      <c r="B57" s="688"/>
      <c r="C57" s="693"/>
      <c r="D57" s="693"/>
      <c r="E57" s="693"/>
      <c r="F57" s="694"/>
      <c r="G57" s="694"/>
      <c r="H57" s="693"/>
      <c r="I57" s="693"/>
      <c r="J57" s="693"/>
      <c r="K57" s="939"/>
      <c r="L57" s="940"/>
      <c r="M57" s="938"/>
      <c r="N57" s="938"/>
      <c r="O57" s="938"/>
      <c r="P57" s="1914"/>
      <c r="Q57" s="452"/>
    </row>
    <row r="58" spans="1:29" s="456" customFormat="1" ht="14.4">
      <c r="A58" s="453" t="s">
        <v>1715</v>
      </c>
      <c r="B58" s="454"/>
      <c r="C58" s="1182" t="str">
        <f>YEAR(C7)&amp;"-"&amp;MONTH(C7)</f>
        <v>2023-7</v>
      </c>
      <c r="D58" s="1181">
        <f>EDATE(C58,-1)</f>
        <v>45078</v>
      </c>
      <c r="E58" s="1181">
        <f>EDATE(D58,-1)</f>
        <v>45047</v>
      </c>
      <c r="F58" s="1181">
        <f t="shared" ref="F58:O58" si="19">EDATE(E58,-1)</f>
        <v>45017</v>
      </c>
      <c r="G58" s="1181">
        <f t="shared" si="19"/>
        <v>44986</v>
      </c>
      <c r="H58" s="1181">
        <f t="shared" si="19"/>
        <v>44958</v>
      </c>
      <c r="I58" s="1181">
        <f t="shared" si="19"/>
        <v>44927</v>
      </c>
      <c r="J58" s="1181">
        <f t="shared" si="19"/>
        <v>44896</v>
      </c>
      <c r="K58" s="1181">
        <f t="shared" si="19"/>
        <v>44866</v>
      </c>
      <c r="L58" s="1181">
        <f t="shared" si="19"/>
        <v>44835</v>
      </c>
      <c r="M58" s="1181">
        <f t="shared" si="19"/>
        <v>44805</v>
      </c>
      <c r="N58" s="1181">
        <f t="shared" si="19"/>
        <v>44774</v>
      </c>
      <c r="O58" s="1181">
        <f t="shared" si="19"/>
        <v>44743</v>
      </c>
      <c r="P58" s="1177"/>
    </row>
    <row r="59" spans="1:29" s="108" customFormat="1">
      <c r="A59" s="457"/>
      <c r="B59" s="1915"/>
      <c r="C59" s="1179">
        <v>100</v>
      </c>
      <c r="D59" s="459"/>
      <c r="E59" s="460"/>
      <c r="F59" s="460"/>
      <c r="G59" s="460"/>
      <c r="H59" s="460"/>
      <c r="I59" s="460"/>
      <c r="J59" s="460"/>
      <c r="K59" s="460"/>
      <c r="L59" s="460"/>
      <c r="M59" s="461"/>
      <c r="N59" s="460"/>
      <c r="O59" s="461"/>
      <c r="P59" s="1916"/>
    </row>
    <row r="60" spans="1:29" s="108" customFormat="1" ht="15" thickBot="1">
      <c r="A60" s="463" t="s">
        <v>1716</v>
      </c>
      <c r="B60" s="464"/>
      <c r="C60" s="465"/>
      <c r="D60" s="466"/>
      <c r="E60" s="466"/>
      <c r="F60" s="466"/>
      <c r="G60" s="466"/>
      <c r="H60" s="466"/>
      <c r="I60" s="466"/>
      <c r="J60" s="466"/>
      <c r="K60" s="466"/>
      <c r="L60" s="466"/>
      <c r="M60" s="467"/>
      <c r="N60" s="466"/>
      <c r="O60" s="467"/>
      <c r="P60" s="1916"/>
      <c r="Q60" s="452"/>
    </row>
    <row r="61" spans="1:29" s="108" customFormat="1" ht="14.4">
      <c r="A61" s="469" t="s">
        <v>1717</v>
      </c>
      <c r="B61" s="458"/>
      <c r="C61" s="470" t="s">
        <v>1718</v>
      </c>
      <c r="D61" s="471"/>
      <c r="E61" s="471"/>
      <c r="F61" s="471"/>
      <c r="G61" s="471"/>
      <c r="H61" s="471"/>
      <c r="I61" s="471"/>
      <c r="J61" s="471"/>
      <c r="K61" s="471"/>
      <c r="L61" s="472"/>
      <c r="M61" s="473"/>
      <c r="N61" s="930"/>
      <c r="O61" s="930"/>
      <c r="P61" s="1917"/>
      <c r="Q61" s="452"/>
    </row>
    <row r="62" spans="1:29" s="108" customFormat="1" ht="14.4" thickBot="1">
      <c r="A62" s="469"/>
      <c r="B62" s="458"/>
      <c r="C62" s="459">
        <v>100</v>
      </c>
      <c r="D62" s="460"/>
      <c r="E62" s="460"/>
      <c r="F62" s="460"/>
      <c r="G62" s="460"/>
      <c r="H62" s="460"/>
      <c r="I62" s="460"/>
      <c r="J62" s="460"/>
      <c r="K62" s="460"/>
      <c r="L62" s="460"/>
      <c r="M62" s="462"/>
      <c r="N62" s="930"/>
      <c r="O62" s="930"/>
      <c r="P62" s="1916"/>
      <c r="Q62" s="452"/>
    </row>
    <row r="63" spans="1:29" ht="14.4">
      <c r="A63" s="475" t="s">
        <v>1719</v>
      </c>
      <c r="B63" s="476" t="s">
        <v>1685</v>
      </c>
      <c r="C63" s="477">
        <f>C9</f>
        <v>0</v>
      </c>
      <c r="D63" s="478"/>
      <c r="E63" s="478"/>
      <c r="F63" s="478"/>
      <c r="G63" s="478"/>
      <c r="H63" s="478"/>
      <c r="I63" s="478"/>
      <c r="J63" s="478"/>
      <c r="K63" s="479"/>
      <c r="L63" s="480"/>
      <c r="M63" s="481"/>
      <c r="N63" s="931"/>
      <c r="O63" s="931"/>
      <c r="P63" s="1918"/>
      <c r="Q63" s="452"/>
    </row>
    <row r="64" spans="1:29" ht="14.4" thickBot="1">
      <c r="A64" s="482"/>
      <c r="B64" s="483"/>
      <c r="C64" s="484">
        <v>100</v>
      </c>
      <c r="D64" s="484"/>
      <c r="E64" s="484"/>
      <c r="F64" s="484"/>
      <c r="G64" s="484"/>
      <c r="H64" s="484"/>
      <c r="I64" s="484"/>
      <c r="J64" s="484"/>
      <c r="K64" s="484"/>
      <c r="L64" s="484"/>
      <c r="M64" s="485"/>
      <c r="N64" s="932"/>
      <c r="O64" s="932"/>
      <c r="P64" s="1918"/>
      <c r="Q64" s="452"/>
    </row>
    <row r="65" spans="1:17" ht="29.4" thickTop="1">
      <c r="A65" s="482"/>
      <c r="B65" s="486" t="s">
        <v>1688</v>
      </c>
      <c r="C65" s="531"/>
      <c r="D65" s="531"/>
      <c r="E65" s="531"/>
      <c r="F65" s="531"/>
      <c r="G65" s="531"/>
      <c r="H65" s="531"/>
      <c r="I65" s="531"/>
      <c r="J65" s="531"/>
      <c r="K65" s="531"/>
      <c r="L65" s="531"/>
      <c r="M65" s="531"/>
      <c r="N65" s="932"/>
      <c r="O65" s="932"/>
      <c r="P65" s="1918"/>
      <c r="Q65" s="452"/>
    </row>
    <row r="66" spans="1:17" ht="14.4" thickBot="1">
      <c r="A66" s="482"/>
      <c r="B66" s="491"/>
      <c r="C66" s="484"/>
      <c r="D66" s="484"/>
      <c r="E66" s="484"/>
      <c r="F66" s="484"/>
      <c r="G66" s="484"/>
      <c r="H66" s="484"/>
      <c r="I66" s="484"/>
      <c r="J66" s="484"/>
      <c r="K66" s="484"/>
      <c r="L66" s="484"/>
      <c r="M66" s="485"/>
      <c r="N66" s="932"/>
      <c r="O66" s="932"/>
      <c r="P66" s="1918"/>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c r="A68" s="482"/>
      <c r="B68" s="496"/>
      <c r="C68" s="497"/>
      <c r="D68" s="497"/>
      <c r="E68" s="497"/>
      <c r="F68" s="497"/>
      <c r="G68" s="497"/>
      <c r="H68" s="497"/>
      <c r="I68" s="497"/>
      <c r="J68" s="497"/>
      <c r="K68" s="498"/>
      <c r="L68" s="499"/>
      <c r="M68" s="500"/>
      <c r="N68" s="931"/>
      <c r="O68" s="931"/>
      <c r="P68" s="1918"/>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4.4" thickTop="1">
      <c r="A70" s="501"/>
      <c r="B70" s="486">
        <f>B12</f>
        <v>111</v>
      </c>
      <c r="C70" s="502"/>
      <c r="D70" s="502"/>
      <c r="E70" s="502"/>
      <c r="F70" s="502"/>
      <c r="G70" s="502"/>
      <c r="H70" s="503"/>
      <c r="I70" s="503"/>
      <c r="J70" s="503"/>
      <c r="K70" s="503"/>
      <c r="L70" s="504"/>
      <c r="M70" s="505"/>
      <c r="N70" s="933"/>
      <c r="O70" s="933"/>
      <c r="P70" s="1919"/>
      <c r="Q70" s="507"/>
    </row>
    <row r="71" spans="1:17" s="421" customFormat="1" ht="14.4" thickBot="1">
      <c r="A71" s="501"/>
      <c r="B71" s="491"/>
      <c r="C71" s="508"/>
      <c r="D71" s="484"/>
      <c r="E71" s="484"/>
      <c r="F71" s="484"/>
      <c r="G71" s="484"/>
      <c r="H71" s="484"/>
      <c r="I71" s="484"/>
      <c r="J71" s="484"/>
      <c r="K71" s="484"/>
      <c r="L71" s="484"/>
      <c r="M71" s="485"/>
      <c r="N71" s="932"/>
      <c r="O71" s="932"/>
      <c r="P71" s="1919"/>
      <c r="Q71" s="507"/>
    </row>
    <row r="72" spans="1:17" s="421" customFormat="1" ht="14.4" thickTop="1">
      <c r="A72" s="501"/>
      <c r="B72" s="486">
        <f>B13</f>
        <v>111</v>
      </c>
      <c r="C72" s="502"/>
      <c r="D72" s="502"/>
      <c r="E72" s="502"/>
      <c r="F72" s="502"/>
      <c r="G72" s="502"/>
      <c r="H72" s="503"/>
      <c r="I72" s="503"/>
      <c r="J72" s="503"/>
      <c r="K72" s="503"/>
      <c r="L72" s="504"/>
      <c r="M72" s="505"/>
      <c r="N72" s="933"/>
      <c r="O72" s="933"/>
      <c r="P72" s="1920"/>
      <c r="Q72" s="509"/>
    </row>
    <row r="73" spans="1:17" s="421" customFormat="1" ht="14.4" thickBot="1">
      <c r="A73" s="501"/>
      <c r="B73" s="491"/>
      <c r="C73" s="508"/>
      <c r="D73" s="508"/>
      <c r="E73" s="508"/>
      <c r="F73" s="508"/>
      <c r="G73" s="508"/>
      <c r="H73" s="510"/>
      <c r="I73" s="510"/>
      <c r="J73" s="510"/>
      <c r="K73" s="510"/>
      <c r="L73" s="510"/>
      <c r="M73" s="511"/>
      <c r="N73" s="933"/>
      <c r="O73" s="933"/>
      <c r="P73" s="1919"/>
      <c r="Q73" s="507"/>
    </row>
    <row r="74" spans="1:17" s="421" customFormat="1" ht="14.4" thickTop="1">
      <c r="A74" s="501"/>
      <c r="B74" s="494">
        <f>B14</f>
        <v>111</v>
      </c>
      <c r="C74" s="502"/>
      <c r="D74" s="502"/>
      <c r="E74" s="502"/>
      <c r="F74" s="502"/>
      <c r="G74" s="471"/>
      <c r="H74" s="512"/>
      <c r="I74" s="512"/>
      <c r="J74" s="512"/>
      <c r="K74" s="512"/>
      <c r="L74" s="513"/>
      <c r="M74" s="514"/>
      <c r="N74" s="933"/>
      <c r="O74" s="933"/>
      <c r="P74" s="1921"/>
      <c r="Q74" s="507"/>
    </row>
    <row r="75" spans="1:17" s="421" customFormat="1" ht="14.4" thickBot="1">
      <c r="A75" s="516"/>
      <c r="B75" s="517"/>
      <c r="C75" s="518"/>
      <c r="D75" s="518"/>
      <c r="E75" s="518"/>
      <c r="F75" s="518"/>
      <c r="G75" s="518"/>
      <c r="H75" s="519"/>
      <c r="I75" s="519"/>
      <c r="J75" s="519"/>
      <c r="K75" s="519"/>
      <c r="L75" s="519"/>
      <c r="M75" s="520"/>
      <c r="N75" s="933"/>
      <c r="O75" s="933"/>
      <c r="P75" s="1919"/>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 thickTop="1">
      <c r="A82" s="482"/>
      <c r="B82" s="494" t="s">
        <v>1260</v>
      </c>
      <c r="C82" s="487" t="s">
        <v>1728</v>
      </c>
      <c r="D82" s="487" t="s">
        <v>1729</v>
      </c>
      <c r="E82" s="487" t="s">
        <v>1730</v>
      </c>
      <c r="F82" s="487" t="s">
        <v>1731</v>
      </c>
      <c r="G82" s="487" t="s">
        <v>1732</v>
      </c>
      <c r="H82" s="487"/>
      <c r="I82" s="487"/>
      <c r="J82" s="487"/>
      <c r="K82" s="487"/>
      <c r="L82" s="487"/>
      <c r="M82" s="1125"/>
      <c r="N82" s="932"/>
      <c r="O82" s="932"/>
      <c r="P82" s="1918"/>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8"/>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8" customFormat="1" ht="15" thickTop="1">
      <c r="A86" s="527"/>
      <c r="B86" s="486" t="s">
        <v>1734</v>
      </c>
      <c r="C86" s="502"/>
      <c r="D86" s="502"/>
      <c r="E86" s="502"/>
      <c r="F86" s="502"/>
      <c r="G86" s="502"/>
      <c r="H86" s="502"/>
      <c r="I86" s="502"/>
      <c r="J86" s="502"/>
      <c r="K86" s="502"/>
      <c r="L86" s="528"/>
      <c r="M86" s="529"/>
      <c r="N86" s="930"/>
      <c r="O86" s="930"/>
      <c r="P86" s="1918"/>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8" customFormat="1" ht="15" thickTop="1">
      <c r="A88" s="527"/>
      <c r="B88" s="486" t="s">
        <v>1735</v>
      </c>
      <c r="C88" s="502"/>
      <c r="D88" s="502"/>
      <c r="E88" s="502"/>
      <c r="F88" s="1923"/>
      <c r="G88" s="502"/>
      <c r="H88" s="502"/>
      <c r="I88" s="502"/>
      <c r="J88" s="502"/>
      <c r="K88" s="502"/>
      <c r="L88" s="502"/>
      <c r="M88" s="529"/>
      <c r="N88" s="930"/>
      <c r="O88" s="930"/>
      <c r="P88" s="1918"/>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4.4" thickTop="1">
      <c r="A90" s="501"/>
      <c r="B90" s="486">
        <f>B27</f>
        <v>111</v>
      </c>
      <c r="C90" s="502"/>
      <c r="D90" s="502"/>
      <c r="E90" s="502"/>
      <c r="F90" s="502"/>
      <c r="G90" s="502"/>
      <c r="H90" s="503"/>
      <c r="I90" s="503"/>
      <c r="J90" s="503"/>
      <c r="K90" s="503"/>
      <c r="L90" s="504"/>
      <c r="M90" s="505"/>
      <c r="N90" s="933"/>
      <c r="O90" s="933"/>
      <c r="P90" s="1919"/>
      <c r="Q90" s="507"/>
    </row>
    <row r="91" spans="1:17" s="421" customFormat="1" ht="14.4" thickBot="1">
      <c r="A91" s="501"/>
      <c r="B91" s="491"/>
      <c r="C91" s="508"/>
      <c r="D91" s="508"/>
      <c r="E91" s="508"/>
      <c r="F91" s="508"/>
      <c r="G91" s="508"/>
      <c r="H91" s="510"/>
      <c r="I91" s="510"/>
      <c r="J91" s="510"/>
      <c r="K91" s="510"/>
      <c r="L91" s="510"/>
      <c r="M91" s="511"/>
      <c r="N91" s="933"/>
      <c r="O91" s="933"/>
      <c r="P91" s="1919"/>
      <c r="Q91" s="507"/>
    </row>
    <row r="92" spans="1:17" ht="14.4" thickTop="1">
      <c r="A92" s="482"/>
      <c r="B92" s="486">
        <f>B28</f>
        <v>111</v>
      </c>
      <c r="C92" s="502"/>
      <c r="D92" s="502"/>
      <c r="E92" s="502"/>
      <c r="F92" s="502"/>
      <c r="G92" s="531"/>
      <c r="H92" s="531"/>
      <c r="I92" s="531"/>
      <c r="J92" s="531"/>
      <c r="K92" s="532"/>
      <c r="L92" s="533"/>
      <c r="M92" s="534"/>
      <c r="N92" s="931"/>
      <c r="O92" s="931"/>
      <c r="P92" s="1918"/>
      <c r="Q92" s="452"/>
    </row>
    <row r="93" spans="1:17" ht="14.4" thickBot="1">
      <c r="A93" s="482"/>
      <c r="B93" s="491"/>
      <c r="C93" s="508"/>
      <c r="D93" s="484"/>
      <c r="E93" s="484"/>
      <c r="F93" s="484"/>
      <c r="G93" s="484"/>
      <c r="H93" s="484"/>
      <c r="I93" s="484"/>
      <c r="J93" s="484"/>
      <c r="K93" s="484"/>
      <c r="L93" s="484"/>
      <c r="M93" s="485"/>
      <c r="N93" s="932"/>
      <c r="O93" s="932"/>
      <c r="P93" s="1918"/>
      <c r="Q93" s="452"/>
    </row>
    <row r="94" spans="1:17" ht="14.4" thickTop="1">
      <c r="A94" s="482"/>
      <c r="B94" s="486">
        <f>B29</f>
        <v>111</v>
      </c>
      <c r="C94" s="502"/>
      <c r="D94" s="502"/>
      <c r="E94" s="502"/>
      <c r="F94" s="502"/>
      <c r="G94" s="531"/>
      <c r="H94" s="531"/>
      <c r="I94" s="531"/>
      <c r="J94" s="531"/>
      <c r="K94" s="532"/>
      <c r="L94" s="533"/>
      <c r="M94" s="534"/>
      <c r="N94" s="931"/>
      <c r="O94" s="931"/>
      <c r="P94" s="1918"/>
      <c r="Q94" s="452"/>
    </row>
    <row r="95" spans="1:17" ht="14.4" thickBot="1">
      <c r="A95" s="482"/>
      <c r="B95" s="491"/>
      <c r="C95" s="508"/>
      <c r="D95" s="508"/>
      <c r="E95" s="508"/>
      <c r="F95" s="508"/>
      <c r="G95" s="484"/>
      <c r="H95" s="484"/>
      <c r="I95" s="484"/>
      <c r="J95" s="484"/>
      <c r="K95" s="484"/>
      <c r="L95" s="484"/>
      <c r="M95" s="485"/>
      <c r="N95" s="932"/>
      <c r="O95" s="932"/>
      <c r="P95" s="1918"/>
      <c r="Q95" s="452"/>
    </row>
    <row r="96" spans="1:17" ht="14.4" thickTop="1">
      <c r="A96" s="482"/>
      <c r="B96" s="486">
        <f>B30</f>
        <v>111</v>
      </c>
      <c r="C96" s="502"/>
      <c r="D96" s="502"/>
      <c r="E96" s="502"/>
      <c r="F96" s="502"/>
      <c r="G96" s="531"/>
      <c r="H96" s="531"/>
      <c r="I96" s="531"/>
      <c r="J96" s="531"/>
      <c r="K96" s="532"/>
      <c r="L96" s="533"/>
      <c r="M96" s="534"/>
      <c r="N96" s="931"/>
      <c r="O96" s="931"/>
      <c r="P96" s="1918"/>
      <c r="Q96" s="452"/>
    </row>
    <row r="97" spans="1:17" ht="14.4" thickBot="1">
      <c r="A97" s="482"/>
      <c r="B97" s="491"/>
      <c r="C97" s="518"/>
      <c r="D97" s="518"/>
      <c r="E97" s="518"/>
      <c r="F97" s="518"/>
      <c r="G97" s="484"/>
      <c r="H97" s="484"/>
      <c r="I97" s="484"/>
      <c r="J97" s="484"/>
      <c r="K97" s="484"/>
      <c r="L97" s="484"/>
      <c r="M97" s="485"/>
      <c r="N97" s="932"/>
      <c r="O97" s="932"/>
      <c r="P97" s="1918"/>
      <c r="Q97" s="452"/>
    </row>
    <row r="98" spans="1:17" ht="14.4" thickTop="1">
      <c r="A98" s="482"/>
      <c r="B98" s="494">
        <f>B31</f>
        <v>111</v>
      </c>
      <c r="C98" s="535"/>
      <c r="D98" s="535"/>
      <c r="E98" s="535"/>
      <c r="F98" s="535"/>
      <c r="G98" s="535"/>
      <c r="H98" s="535"/>
      <c r="I98" s="535"/>
      <c r="J98" s="535"/>
      <c r="K98" s="536"/>
      <c r="L98" s="537"/>
      <c r="M98" s="538"/>
      <c r="N98" s="931"/>
      <c r="O98" s="931"/>
      <c r="P98" s="1918"/>
      <c r="Q98" s="452"/>
    </row>
    <row r="99" spans="1:17" ht="14.4" thickBot="1">
      <c r="A99" s="1924"/>
      <c r="B99" s="517"/>
      <c r="C99" s="539"/>
      <c r="D99" s="539"/>
      <c r="E99" s="539"/>
      <c r="F99" s="539"/>
      <c r="G99" s="539"/>
      <c r="H99" s="539"/>
      <c r="I99" s="539"/>
      <c r="J99" s="539"/>
      <c r="K99" s="539"/>
      <c r="L99" s="539"/>
      <c r="M99" s="540"/>
      <c r="N99" s="932"/>
      <c r="O99" s="932"/>
      <c r="P99" s="1918"/>
      <c r="Q99" s="452"/>
    </row>
    <row r="100" spans="1:17" ht="14.4">
      <c r="A100" s="475" t="s">
        <v>1694</v>
      </c>
      <c r="B100" s="476" t="s">
        <v>1736</v>
      </c>
      <c r="C100" s="478"/>
      <c r="D100" s="478"/>
      <c r="E100" s="478"/>
      <c r="F100" s="478"/>
      <c r="G100" s="478"/>
      <c r="H100" s="478"/>
      <c r="I100" s="478"/>
      <c r="J100" s="478"/>
      <c r="K100" s="479"/>
      <c r="L100" s="480"/>
      <c r="M100" s="481"/>
      <c r="N100" s="931"/>
      <c r="O100" s="931"/>
      <c r="P100" s="1918"/>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4.4"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9.4"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4.4"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4.4"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4.4" thickBot="1">
      <c r="A127" s="501"/>
      <c r="B127" s="491"/>
      <c r="C127" s="508"/>
      <c r="D127" s="484"/>
      <c r="E127" s="484"/>
      <c r="F127" s="484"/>
      <c r="G127" s="508"/>
      <c r="H127" s="510"/>
      <c r="I127" s="510"/>
      <c r="J127" s="510"/>
      <c r="K127" s="510"/>
      <c r="L127" s="510"/>
      <c r="M127" s="511"/>
      <c r="N127" s="933"/>
      <c r="O127" s="933"/>
      <c r="P127" s="1919"/>
      <c r="Q127" s="507"/>
    </row>
    <row r="128" spans="1:17" ht="14.4" thickTop="1">
      <c r="A128" s="547"/>
      <c r="B128" s="486">
        <f>B45</f>
        <v>111</v>
      </c>
      <c r="C128" s="502"/>
      <c r="D128" s="502"/>
      <c r="E128" s="502"/>
      <c r="F128" s="502"/>
      <c r="G128" s="531"/>
      <c r="H128" s="531"/>
      <c r="I128" s="531"/>
      <c r="J128" s="531"/>
      <c r="K128" s="532"/>
      <c r="L128" s="533"/>
      <c r="M128" s="534"/>
      <c r="N128" s="931"/>
      <c r="O128" s="931"/>
      <c r="P128" s="1918"/>
      <c r="Q128" s="452"/>
    </row>
    <row r="129" spans="1:17" ht="14.4" thickBot="1">
      <c r="A129" s="482"/>
      <c r="B129" s="491"/>
      <c r="C129" s="508"/>
      <c r="D129" s="508"/>
      <c r="E129" s="508"/>
      <c r="F129" s="508"/>
      <c r="G129" s="484"/>
      <c r="H129" s="484"/>
      <c r="I129" s="484"/>
      <c r="J129" s="484"/>
      <c r="K129" s="484"/>
      <c r="L129" s="484"/>
      <c r="M129" s="485"/>
      <c r="N129" s="932"/>
      <c r="O129" s="932"/>
      <c r="P129" s="1918"/>
      <c r="Q129" s="452"/>
    </row>
    <row r="130" spans="1:17" ht="14.4" thickTop="1">
      <c r="A130" s="547"/>
      <c r="B130" s="494">
        <f>B46</f>
        <v>111</v>
      </c>
      <c r="C130" s="502"/>
      <c r="D130" s="502"/>
      <c r="E130" s="502"/>
      <c r="F130" s="502"/>
      <c r="G130" s="535"/>
      <c r="H130" s="535"/>
      <c r="I130" s="535"/>
      <c r="J130" s="535"/>
      <c r="K130" s="471"/>
      <c r="L130" s="472"/>
      <c r="M130" s="538"/>
      <c r="N130" s="931"/>
      <c r="O130" s="931"/>
      <c r="P130" s="1918"/>
      <c r="Q130" s="452"/>
    </row>
    <row r="131" spans="1:17" ht="14.4"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874" t="s">
        <v>1766</v>
      </c>
      <c r="C1" s="1234" t="s">
        <v>1662</v>
      </c>
      <c r="D1" s="1221"/>
      <c r="E1" s="3421"/>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6"/>
      <c r="H2" s="906"/>
      <c r="I2" s="906"/>
      <c r="J2" s="906"/>
      <c r="K2" s="906"/>
      <c r="L2" s="2729"/>
      <c r="M2" s="2730"/>
      <c r="N2" s="2730"/>
      <c r="O2" s="2730"/>
      <c r="P2" s="1948"/>
      <c r="Q2" s="910"/>
      <c r="R2" s="910"/>
      <c r="S2" s="910"/>
      <c r="T2" s="910"/>
      <c r="U2" s="910"/>
      <c r="V2" s="910"/>
      <c r="W2" s="910"/>
      <c r="X2" s="910"/>
      <c r="Y2" s="910"/>
      <c r="Z2" s="910"/>
      <c r="AA2" s="910"/>
      <c r="AB2" s="910"/>
      <c r="AC2" s="1949"/>
    </row>
    <row r="3" spans="1:29" s="351" customFormat="1" ht="28.5" customHeight="1" thickBot="1">
      <c r="A3" s="202" t="s">
        <v>1464</v>
      </c>
      <c r="B3" s="557">
        <f>IF(C2="——",C49,ROUND(B2*10000/D3,0))</f>
        <v>0</v>
      </c>
      <c r="C3" s="353" t="s">
        <v>1768</v>
      </c>
      <c r="D3" s="352">
        <f>IF(D1="",'数据-汇总表'!E3,SUMIF('数据-汇总表'!$C19:$C33,D1,'数据-汇总表'!$E19:$E33))</f>
        <v>37711.240000000005</v>
      </c>
      <c r="E3" s="1950"/>
      <c r="F3" s="907"/>
      <c r="G3" s="906"/>
      <c r="H3" s="906"/>
      <c r="I3" s="906"/>
      <c r="J3" s="906"/>
      <c r="K3" s="908"/>
      <c r="L3" s="2729"/>
      <c r="M3" s="2730"/>
      <c r="N3" s="2730"/>
      <c r="O3" s="2730"/>
      <c r="P3" s="1948"/>
      <c r="Q3" s="910"/>
      <c r="R3" s="910"/>
      <c r="S3" s="910"/>
      <c r="T3" s="910"/>
      <c r="U3" s="910"/>
      <c r="V3" s="910"/>
      <c r="W3" s="910"/>
      <c r="X3" s="910"/>
      <c r="Y3" s="910"/>
      <c r="Z3" s="910"/>
      <c r="AA3" s="910"/>
      <c r="AB3" s="910"/>
      <c r="AC3" s="1950"/>
    </row>
    <row r="4" spans="1:29" ht="14.4">
      <c r="A4" s="354" t="s">
        <v>1769</v>
      </c>
      <c r="B4" s="355"/>
      <c r="C4" s="3663" t="s">
        <v>1770</v>
      </c>
      <c r="D4" s="3664"/>
      <c r="E4" s="3665" t="s">
        <v>1771</v>
      </c>
      <c r="F4" s="3666"/>
      <c r="G4" s="3663" t="s">
        <v>1772</v>
      </c>
      <c r="H4" s="3664"/>
      <c r="I4" s="3663" t="s">
        <v>1773</v>
      </c>
      <c r="J4" s="3664"/>
      <c r="K4" s="558" t="s">
        <v>1774</v>
      </c>
      <c r="L4" s="2710"/>
      <c r="M4" s="2711"/>
      <c r="N4" s="2711"/>
      <c r="O4" s="2711"/>
      <c r="P4" s="3723" t="s">
        <v>1775</v>
      </c>
      <c r="Q4" s="3724"/>
      <c r="R4" s="3720" t="s">
        <v>1771</v>
      </c>
      <c r="S4" s="3721"/>
      <c r="T4" s="3720" t="s">
        <v>1772</v>
      </c>
      <c r="U4" s="3721"/>
      <c r="V4" s="3676" t="s">
        <v>1773</v>
      </c>
      <c r="W4" s="3676"/>
      <c r="X4" s="1351"/>
      <c r="Y4" s="3720" t="s">
        <v>1775</v>
      </c>
      <c r="Z4" s="3721"/>
      <c r="AA4" s="3719" t="s">
        <v>1771</v>
      </c>
      <c r="AB4" s="3676" t="s">
        <v>1772</v>
      </c>
      <c r="AC4" s="3719" t="s">
        <v>1773</v>
      </c>
    </row>
    <row r="5" spans="1:29">
      <c r="A5" s="357"/>
      <c r="B5" s="358"/>
      <c r="C5" s="3652" t="s">
        <v>1673</v>
      </c>
      <c r="D5" s="3653"/>
      <c r="E5" s="3722" t="s">
        <v>1674</v>
      </c>
      <c r="F5" s="3651"/>
      <c r="G5" s="3652" t="s">
        <v>1675</v>
      </c>
      <c r="H5" s="3653"/>
      <c r="I5" s="3652" t="s">
        <v>1676</v>
      </c>
      <c r="J5" s="3653"/>
      <c r="K5" s="558"/>
      <c r="L5" s="2710"/>
      <c r="M5" s="2711"/>
      <c r="N5" s="2711"/>
      <c r="O5" s="2711"/>
      <c r="P5" s="3725"/>
      <c r="Q5" s="3670"/>
      <c r="R5" s="3648"/>
      <c r="S5" s="3649"/>
      <c r="T5" s="3648"/>
      <c r="U5" s="3649"/>
      <c r="V5" s="3676"/>
      <c r="W5" s="3676"/>
      <c r="X5" s="1351"/>
      <c r="Y5" s="3648"/>
      <c r="Z5" s="3649"/>
      <c r="AA5" s="3642"/>
      <c r="AB5" s="3676"/>
      <c r="AC5" s="3642"/>
    </row>
    <row r="6" spans="1:29" ht="15" thickBot="1">
      <c r="A6" s="359"/>
      <c r="B6" s="360"/>
      <c r="C6" s="3654" t="s">
        <v>1677</v>
      </c>
      <c r="D6" s="3655"/>
      <c r="E6" s="3657" t="s">
        <v>1677</v>
      </c>
      <c r="F6" s="3658"/>
      <c r="G6" s="3654" t="s">
        <v>1677</v>
      </c>
      <c r="H6" s="3655"/>
      <c r="I6" s="3654" t="s">
        <v>1677</v>
      </c>
      <c r="J6" s="3655"/>
      <c r="K6" s="558" t="s">
        <v>1678</v>
      </c>
      <c r="L6" s="2710"/>
      <c r="M6" s="2711"/>
      <c r="N6" s="2711"/>
      <c r="O6" s="2711"/>
      <c r="P6" s="3726"/>
      <c r="Q6" s="3672"/>
      <c r="R6" s="3648"/>
      <c r="S6" s="3649"/>
      <c r="T6" s="3673"/>
      <c r="U6" s="3674"/>
      <c r="V6" s="3676"/>
      <c r="W6" s="3676"/>
      <c r="X6" s="1351"/>
      <c r="Y6" s="3673"/>
      <c r="Z6" s="3674"/>
      <c r="AA6" s="3643"/>
      <c r="AB6" s="3676"/>
      <c r="AC6" s="3643"/>
    </row>
    <row r="7" spans="1:29" s="108" customFormat="1" ht="15" thickBot="1">
      <c r="A7" s="361" t="s">
        <v>1679</v>
      </c>
      <c r="B7" s="362"/>
      <c r="C7" s="363">
        <f>'数据-取费表'!B2</f>
        <v>45124</v>
      </c>
      <c r="D7" s="364">
        <v>100</v>
      </c>
      <c r="E7" s="365"/>
      <c r="F7" s="366">
        <f>SUMIF(58:58,YEAR(E7)&amp;"-"&amp;MONTH(E7),59:59)</f>
        <v>0</v>
      </c>
      <c r="G7" s="365"/>
      <c r="H7" s="364">
        <f>SUMIF(58:58,YEAR(G7)&amp;"-"&amp;MONTH(G7),59:59)</f>
        <v>0</v>
      </c>
      <c r="I7" s="365"/>
      <c r="J7" s="364">
        <f>SUMIF(58:58,YEAR(I7)&amp;"-"&amp;MONTH(I7),59:59)</f>
        <v>0</v>
      </c>
      <c r="K7" s="559"/>
      <c r="L7" s="2712"/>
      <c r="M7" s="2713"/>
      <c r="N7" s="2713"/>
      <c r="O7" s="2713"/>
      <c r="P7" s="3644" t="s">
        <v>1680</v>
      </c>
      <c r="Q7" s="3678"/>
      <c r="R7" s="699" t="s">
        <v>14</v>
      </c>
      <c r="S7" s="700">
        <f t="shared" ref="S7:S15" si="0">F7</f>
        <v>0</v>
      </c>
      <c r="T7" s="699" t="s">
        <v>14</v>
      </c>
      <c r="U7" s="700">
        <f t="shared" ref="U7:U15" si="1">H7</f>
        <v>0</v>
      </c>
      <c r="V7" s="699" t="s">
        <v>14</v>
      </c>
      <c r="W7" s="700">
        <f t="shared" ref="W7:W15" si="2">J7</f>
        <v>0</v>
      </c>
      <c r="X7" s="701"/>
      <c r="Y7" s="3644" t="s">
        <v>1680</v>
      </c>
      <c r="Z7" s="3645"/>
      <c r="AA7" s="702" t="e">
        <f>D7/F7</f>
        <v>#DIV/0!</v>
      </c>
      <c r="AB7" s="702" t="e">
        <f>D7/H7</f>
        <v>#DIV/0!</v>
      </c>
      <c r="AC7" s="702"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2"/>
      <c r="M8" s="2713"/>
      <c r="N8" s="2713"/>
      <c r="O8" s="2713"/>
      <c r="P8" s="3644" t="s">
        <v>1683</v>
      </c>
      <c r="Q8" s="3645"/>
      <c r="R8" s="699" t="s">
        <v>14</v>
      </c>
      <c r="S8" s="700">
        <f t="shared" si="0"/>
        <v>100</v>
      </c>
      <c r="T8" s="699" t="s">
        <v>14</v>
      </c>
      <c r="U8" s="700">
        <f t="shared" si="1"/>
        <v>100</v>
      </c>
      <c r="V8" s="699" t="s">
        <v>14</v>
      </c>
      <c r="W8" s="700">
        <f t="shared" si="2"/>
        <v>100</v>
      </c>
      <c r="X8" s="701"/>
      <c r="Y8" s="3644" t="s">
        <v>1683</v>
      </c>
      <c r="Z8" s="3645"/>
      <c r="AA8" s="702">
        <f t="shared" ref="AA8:AA46" si="3">D8/F8</f>
        <v>1</v>
      </c>
      <c r="AB8" s="702">
        <f t="shared" ref="AB8:AB46" si="4">D8/H8</f>
        <v>1</v>
      </c>
      <c r="AC8" s="702">
        <f t="shared" ref="AC8:AC46" si="5">D8/J8</f>
        <v>1</v>
      </c>
    </row>
    <row r="9" spans="1:29" s="108" customFormat="1" ht="14.4">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2"/>
      <c r="M9" s="2713"/>
      <c r="N9" s="2713"/>
      <c r="O9" s="2713"/>
      <c r="P9" s="3659" t="s">
        <v>1686</v>
      </c>
      <c r="Q9" s="1339"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7" customFormat="1" ht="28.8">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659"/>
      <c r="Q10" s="1339"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6"/>
      <c r="M11" s="2711"/>
      <c r="N11" s="2711"/>
      <c r="O11" s="2711"/>
      <c r="P11" s="3659"/>
      <c r="Q11" s="1339" t="str">
        <f t="shared" si="6"/>
        <v>容积率</v>
      </c>
      <c r="R11" s="699" t="s">
        <v>14</v>
      </c>
      <c r="S11" s="700" t="e">
        <f t="shared" si="0"/>
        <v>#N/A</v>
      </c>
      <c r="T11" s="699" t="s">
        <v>14</v>
      </c>
      <c r="U11" s="700" t="e">
        <f t="shared" si="1"/>
        <v>#N/A</v>
      </c>
      <c r="V11" s="699" t="s">
        <v>14</v>
      </c>
      <c r="W11" s="700" t="e">
        <f t="shared" si="2"/>
        <v>#N/A</v>
      </c>
      <c r="X11" s="701"/>
      <c r="Y11" s="3614"/>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659"/>
      <c r="Q12" s="1339">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659"/>
      <c r="Q13" s="1339">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6"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659"/>
      <c r="Q14" s="1339">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702">
        <f t="shared" si="5"/>
        <v>1</v>
      </c>
    </row>
    <row r="15" spans="1:29" ht="69">
      <c r="A15" s="390" t="s">
        <v>1690</v>
      </c>
      <c r="B15" s="61" t="s">
        <v>1777</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7"/>
      <c r="M15" s="2711"/>
      <c r="N15" s="2711"/>
      <c r="O15" s="2711"/>
      <c r="P15" s="3679" t="s">
        <v>1691</v>
      </c>
      <c r="Q15" s="1348" t="str">
        <f t="shared" si="6"/>
        <v>商业繁华度</v>
      </c>
      <c r="R15" s="703" t="s">
        <v>14</v>
      </c>
      <c r="S15" s="704">
        <f t="shared" si="0"/>
        <v>100</v>
      </c>
      <c r="T15" s="703" t="s">
        <v>14</v>
      </c>
      <c r="U15" s="704">
        <f t="shared" si="1"/>
        <v>100</v>
      </c>
      <c r="V15" s="703" t="s">
        <v>14</v>
      </c>
      <c r="W15" s="704">
        <f t="shared" si="2"/>
        <v>100</v>
      </c>
      <c r="X15" s="1351"/>
      <c r="Y15" s="3681" t="s">
        <v>1691</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7"/>
      <c r="M16" s="2711"/>
      <c r="N16" s="2711"/>
      <c r="O16" s="2711"/>
      <c r="P16" s="3680"/>
      <c r="Q16" s="1348"/>
      <c r="R16" s="703"/>
      <c r="S16" s="704"/>
      <c r="T16" s="703"/>
      <c r="U16" s="704"/>
      <c r="V16" s="703"/>
      <c r="W16" s="704"/>
      <c r="X16" s="1351"/>
      <c r="Y16" s="3682"/>
      <c r="Z16" s="1352"/>
      <c r="AA16" s="1349">
        <v>1</v>
      </c>
      <c r="AB16" s="1349">
        <v>1</v>
      </c>
      <c r="AC16" s="1349">
        <v>1</v>
      </c>
    </row>
    <row r="17" spans="1:29" ht="82.8">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7"/>
      <c r="M17" s="2711"/>
      <c r="N17" s="2711"/>
      <c r="O17" s="2711"/>
      <c r="P17" s="3680"/>
      <c r="Q17" s="1348" t="str">
        <f>B17</f>
        <v>交通便捷度</v>
      </c>
      <c r="R17" s="703" t="s">
        <v>14</v>
      </c>
      <c r="S17" s="704">
        <f>F17</f>
        <v>100</v>
      </c>
      <c r="T17" s="703" t="s">
        <v>14</v>
      </c>
      <c r="U17" s="704">
        <f>H17</f>
        <v>100</v>
      </c>
      <c r="V17" s="703" t="s">
        <v>14</v>
      </c>
      <c r="W17" s="704">
        <f>J17</f>
        <v>100</v>
      </c>
      <c r="X17" s="1351"/>
      <c r="Y17" s="3682"/>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7"/>
      <c r="M18" s="2711"/>
      <c r="N18" s="2711"/>
      <c r="O18" s="2711"/>
      <c r="P18" s="3680"/>
      <c r="Q18" s="1348"/>
      <c r="R18" s="703"/>
      <c r="S18" s="704"/>
      <c r="T18" s="703"/>
      <c r="U18" s="704"/>
      <c r="V18" s="703"/>
      <c r="W18" s="704"/>
      <c r="X18" s="1351"/>
      <c r="Y18" s="3682"/>
      <c r="Z18" s="1352"/>
      <c r="AA18" s="1349">
        <v>1</v>
      </c>
      <c r="AB18" s="1349">
        <v>1</v>
      </c>
      <c r="AC18" s="1349">
        <v>1</v>
      </c>
    </row>
    <row r="19" spans="1:29" ht="41.4">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680"/>
      <c r="Q19" s="1348" t="str">
        <f>B19</f>
        <v>公共配套设施</v>
      </c>
      <c r="R19" s="703" t="s">
        <v>14</v>
      </c>
      <c r="S19" s="704">
        <f>F19</f>
        <v>100</v>
      </c>
      <c r="T19" s="703" t="s">
        <v>14</v>
      </c>
      <c r="U19" s="704">
        <f>H19</f>
        <v>100</v>
      </c>
      <c r="V19" s="703" t="s">
        <v>14</v>
      </c>
      <c r="W19" s="704">
        <f>J19</f>
        <v>100</v>
      </c>
      <c r="X19" s="1351"/>
      <c r="Y19" s="3682"/>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7"/>
      <c r="M20" s="2711"/>
      <c r="N20" s="2711"/>
      <c r="O20" s="2711"/>
      <c r="P20" s="3680"/>
      <c r="Q20" s="1348"/>
      <c r="R20" s="703"/>
      <c r="S20" s="704"/>
      <c r="T20" s="703"/>
      <c r="U20" s="704"/>
      <c r="V20" s="703"/>
      <c r="W20" s="704"/>
      <c r="X20" s="1351"/>
      <c r="Y20" s="3682"/>
      <c r="Z20" s="1352"/>
      <c r="AA20" s="1349">
        <v>1</v>
      </c>
      <c r="AB20" s="1349">
        <v>1</v>
      </c>
      <c r="AC20" s="1349">
        <v>1</v>
      </c>
    </row>
    <row r="21" spans="1:29" ht="27.6">
      <c r="A21" s="378"/>
      <c r="B21" s="1127"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680"/>
      <c r="Q21" s="1348" t="str">
        <f>B21</f>
        <v>基础设施水平</v>
      </c>
      <c r="R21" s="703" t="s">
        <v>14</v>
      </c>
      <c r="S21" s="704">
        <f>F21</f>
        <v>100</v>
      </c>
      <c r="T21" s="703" t="s">
        <v>14</v>
      </c>
      <c r="U21" s="704">
        <f>H21</f>
        <v>100</v>
      </c>
      <c r="V21" s="703" t="s">
        <v>14</v>
      </c>
      <c r="W21" s="704">
        <f>J21</f>
        <v>100</v>
      </c>
      <c r="X21" s="1351"/>
      <c r="Y21" s="368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7"/>
      <c r="M22" s="2711"/>
      <c r="N22" s="2711"/>
      <c r="O22" s="2711"/>
      <c r="P22" s="3680"/>
      <c r="Q22" s="1348"/>
      <c r="R22" s="703"/>
      <c r="S22" s="704"/>
      <c r="T22" s="703"/>
      <c r="U22" s="704"/>
      <c r="V22" s="703"/>
      <c r="W22" s="704"/>
      <c r="X22" s="1351"/>
      <c r="Y22" s="3682"/>
      <c r="Z22" s="1352"/>
      <c r="AA22" s="1349">
        <v>1</v>
      </c>
      <c r="AB22" s="1349">
        <v>1</v>
      </c>
      <c r="AC22" s="1349">
        <v>1</v>
      </c>
    </row>
    <row r="23" spans="1:29" ht="55.2">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680"/>
      <c r="Q23" s="1348" t="str">
        <f>B23</f>
        <v>自然及人文环境</v>
      </c>
      <c r="R23" s="703" t="s">
        <v>14</v>
      </c>
      <c r="S23" s="704">
        <f>F23</f>
        <v>100</v>
      </c>
      <c r="T23" s="703" t="s">
        <v>14</v>
      </c>
      <c r="U23" s="704">
        <f>H23</f>
        <v>100</v>
      </c>
      <c r="V23" s="703" t="s">
        <v>14</v>
      </c>
      <c r="W23" s="704">
        <f>J23</f>
        <v>100</v>
      </c>
      <c r="X23" s="1351"/>
      <c r="Y23" s="3682"/>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7"/>
      <c r="M24" s="2711"/>
      <c r="N24" s="2711"/>
      <c r="O24" s="2711"/>
      <c r="P24" s="3680"/>
      <c r="Q24" s="1348"/>
      <c r="R24" s="703"/>
      <c r="S24" s="704"/>
      <c r="T24" s="703"/>
      <c r="U24" s="704"/>
      <c r="V24" s="703"/>
      <c r="W24" s="704"/>
      <c r="X24" s="1351"/>
      <c r="Y24" s="3682"/>
      <c r="Z24" s="1352"/>
      <c r="AA24" s="1349">
        <v>1</v>
      </c>
      <c r="AB24" s="1349">
        <v>1</v>
      </c>
      <c r="AC24" s="1349">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7"/>
      <c r="M25" s="2711"/>
      <c r="N25" s="2711"/>
      <c r="O25" s="2711"/>
      <c r="P25" s="3680"/>
      <c r="Q25" s="1348" t="str">
        <f t="shared" ref="Q25:Q46" si="11">B25</f>
        <v>临街状况</v>
      </c>
      <c r="R25" s="703" t="s">
        <v>14</v>
      </c>
      <c r="S25" s="704">
        <f>F25</f>
        <v>100</v>
      </c>
      <c r="T25" s="703" t="s">
        <v>14</v>
      </c>
      <c r="U25" s="704">
        <f>H25</f>
        <v>100</v>
      </c>
      <c r="V25" s="703" t="s">
        <v>14</v>
      </c>
      <c r="W25" s="704">
        <f>J25</f>
        <v>100</v>
      </c>
      <c r="X25" s="1351"/>
      <c r="Y25" s="3682"/>
      <c r="Z25" s="1352" t="str">
        <f>Q25</f>
        <v>临街状况</v>
      </c>
      <c r="AA25" s="1349">
        <f t="shared" si="3"/>
        <v>1</v>
      </c>
      <c r="AB25" s="1349">
        <f t="shared" si="4"/>
        <v>1</v>
      </c>
      <c r="AC25" s="1349">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680"/>
      <c r="Q26" s="1348" t="str">
        <f t="shared" si="11"/>
        <v>平面位置/可视性</v>
      </c>
      <c r="R26" s="703" t="s">
        <v>14</v>
      </c>
      <c r="S26" s="704">
        <f>F26</f>
        <v>100</v>
      </c>
      <c r="T26" s="703" t="s">
        <v>14</v>
      </c>
      <c r="U26" s="704">
        <f>H26</f>
        <v>100</v>
      </c>
      <c r="V26" s="703" t="s">
        <v>14</v>
      </c>
      <c r="W26" s="704">
        <f>J26</f>
        <v>100</v>
      </c>
      <c r="X26" s="1351"/>
      <c r="Y26" s="3682"/>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2"/>
      <c r="M27" s="2713"/>
      <c r="N27" s="2713"/>
      <c r="O27" s="2713"/>
      <c r="P27" s="3680"/>
      <c r="Q27" s="1339" t="str">
        <f t="shared" si="11"/>
        <v>人流量</v>
      </c>
      <c r="R27" s="699" t="s">
        <v>14</v>
      </c>
      <c r="S27" s="700">
        <f>F27</f>
        <v>100</v>
      </c>
      <c r="T27" s="699" t="s">
        <v>14</v>
      </c>
      <c r="U27" s="700">
        <f>H27</f>
        <v>100</v>
      </c>
      <c r="V27" s="699" t="s">
        <v>14</v>
      </c>
      <c r="W27" s="700">
        <f>J27</f>
        <v>100</v>
      </c>
      <c r="X27" s="701"/>
      <c r="Y27" s="3682"/>
      <c r="Z27" s="52" t="str">
        <f>Q27</f>
        <v>人流量</v>
      </c>
      <c r="AA27" s="1349">
        <f>D27/F27</f>
        <v>1</v>
      </c>
      <c r="AB27" s="1349">
        <f>D27/H27</f>
        <v>1</v>
      </c>
      <c r="AC27" s="1349">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7"/>
      <c r="M28" s="2711"/>
      <c r="N28" s="2711"/>
      <c r="O28" s="2711"/>
      <c r="P28" s="3680"/>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82"/>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680"/>
      <c r="Q29" s="1348">
        <f t="shared" si="11"/>
        <v>111</v>
      </c>
      <c r="R29" s="703" t="s">
        <v>14</v>
      </c>
      <c r="S29" s="704">
        <f t="shared" si="12"/>
        <v>100</v>
      </c>
      <c r="T29" s="703" t="s">
        <v>14</v>
      </c>
      <c r="U29" s="704">
        <f t="shared" si="13"/>
        <v>100</v>
      </c>
      <c r="V29" s="703" t="s">
        <v>14</v>
      </c>
      <c r="W29" s="704">
        <f t="shared" si="14"/>
        <v>100</v>
      </c>
      <c r="X29" s="1351"/>
      <c r="Y29" s="3682"/>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680"/>
      <c r="Q30" s="1348">
        <f t="shared" si="11"/>
        <v>111</v>
      </c>
      <c r="R30" s="703" t="s">
        <v>14</v>
      </c>
      <c r="S30" s="704">
        <f t="shared" si="12"/>
        <v>100</v>
      </c>
      <c r="T30" s="703" t="s">
        <v>14</v>
      </c>
      <c r="U30" s="704">
        <f t="shared" si="13"/>
        <v>100</v>
      </c>
      <c r="V30" s="703" t="s">
        <v>14</v>
      </c>
      <c r="W30" s="704">
        <f t="shared" si="14"/>
        <v>100</v>
      </c>
      <c r="X30" s="1351"/>
      <c r="Y30" s="3682"/>
      <c r="Z30" s="1352">
        <f t="shared" si="15"/>
        <v>111</v>
      </c>
      <c r="AA30" s="1349">
        <f t="shared" si="3"/>
        <v>1</v>
      </c>
      <c r="AB30" s="1349">
        <f t="shared" si="4"/>
        <v>1</v>
      </c>
      <c r="AC30" s="1349">
        <f t="shared" si="5"/>
        <v>1</v>
      </c>
    </row>
    <row r="31" spans="1:29" ht="15.6"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680"/>
      <c r="Q31" s="1348">
        <f t="shared" si="11"/>
        <v>111</v>
      </c>
      <c r="R31" s="703" t="s">
        <v>14</v>
      </c>
      <c r="S31" s="704">
        <f t="shared" si="12"/>
        <v>100</v>
      </c>
      <c r="T31" s="703" t="s">
        <v>14</v>
      </c>
      <c r="U31" s="704">
        <f t="shared" si="13"/>
        <v>100</v>
      </c>
      <c r="V31" s="703" t="s">
        <v>14</v>
      </c>
      <c r="W31" s="704">
        <f t="shared" si="14"/>
        <v>100</v>
      </c>
      <c r="X31" s="1351"/>
      <c r="Y31" s="3682"/>
      <c r="Z31" s="1352">
        <f t="shared" si="15"/>
        <v>111</v>
      </c>
      <c r="AA31" s="1349">
        <f t="shared" si="3"/>
        <v>1</v>
      </c>
      <c r="AB31" s="1349">
        <f t="shared" si="4"/>
        <v>1</v>
      </c>
      <c r="AC31" s="1349">
        <f t="shared" si="5"/>
        <v>1</v>
      </c>
    </row>
    <row r="32" spans="1:29" ht="15">
      <c r="A32" s="390" t="s">
        <v>1694</v>
      </c>
      <c r="B32" s="63" t="s">
        <v>1784</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7"/>
      <c r="M32" s="2711"/>
      <c r="N32" s="2711"/>
      <c r="O32" s="2711"/>
      <c r="P32" s="3683" t="s">
        <v>1696</v>
      </c>
      <c r="Q32" s="1348" t="str">
        <f t="shared" si="11"/>
        <v>商业类型</v>
      </c>
      <c r="R32" s="703" t="s">
        <v>14</v>
      </c>
      <c r="S32" s="704">
        <f t="shared" si="12"/>
        <v>100</v>
      </c>
      <c r="T32" s="703" t="s">
        <v>14</v>
      </c>
      <c r="U32" s="704">
        <f t="shared" si="13"/>
        <v>100</v>
      </c>
      <c r="V32" s="703" t="s">
        <v>14</v>
      </c>
      <c r="W32" s="704">
        <f t="shared" si="14"/>
        <v>100</v>
      </c>
      <c r="X32" s="1351"/>
      <c r="Y32" s="3686" t="s">
        <v>1696</v>
      </c>
      <c r="Z32" s="1352" t="str">
        <f t="shared" si="15"/>
        <v>商业类型</v>
      </c>
      <c r="AA32" s="1349">
        <f t="shared" si="3"/>
        <v>1</v>
      </c>
      <c r="AB32" s="1349">
        <f t="shared" si="4"/>
        <v>1</v>
      </c>
      <c r="AC32" s="1349">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6"/>
      <c r="M33" s="2718"/>
      <c r="N33" s="2718"/>
      <c r="O33" s="2718"/>
      <c r="P33" s="3684"/>
      <c r="Q33" s="705" t="str">
        <f t="shared" si="11"/>
        <v>项目建筑规模</v>
      </c>
      <c r="R33" s="706" t="s">
        <v>14</v>
      </c>
      <c r="S33" s="707" t="e">
        <f t="shared" si="12"/>
        <v>#N/A</v>
      </c>
      <c r="T33" s="706" t="s">
        <v>14</v>
      </c>
      <c r="U33" s="707" t="e">
        <f t="shared" si="13"/>
        <v>#N/A</v>
      </c>
      <c r="V33" s="706" t="s">
        <v>14</v>
      </c>
      <c r="W33" s="707" t="e">
        <f t="shared" si="14"/>
        <v>#N/A</v>
      </c>
      <c r="X33" s="708"/>
      <c r="Y33" s="3686"/>
      <c r="Z33" s="709" t="str">
        <f t="shared" si="15"/>
        <v>项目建筑规模</v>
      </c>
      <c r="AA33" s="1349" t="e">
        <f t="shared" si="3"/>
        <v>#N/A</v>
      </c>
      <c r="AB33" s="1349" t="e">
        <f t="shared" si="4"/>
        <v>#N/A</v>
      </c>
      <c r="AC33" s="1349" t="e">
        <f t="shared" si="5"/>
        <v>#N/A</v>
      </c>
    </row>
    <row r="34" spans="1:29" ht="15">
      <c r="A34" s="422"/>
      <c r="B34" s="374" t="s">
        <v>1698</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7"/>
      <c r="M34" s="2711"/>
      <c r="N34" s="2711"/>
      <c r="O34" s="2711"/>
      <c r="P34" s="3684"/>
      <c r="Q34" s="1348" t="str">
        <f t="shared" si="11"/>
        <v>建筑结构</v>
      </c>
      <c r="R34" s="703" t="s">
        <v>14</v>
      </c>
      <c r="S34" s="704">
        <f t="shared" si="12"/>
        <v>100</v>
      </c>
      <c r="T34" s="703" t="s">
        <v>14</v>
      </c>
      <c r="U34" s="704">
        <f t="shared" si="13"/>
        <v>100</v>
      </c>
      <c r="V34" s="703" t="s">
        <v>14</v>
      </c>
      <c r="W34" s="704">
        <f t="shared" si="14"/>
        <v>100</v>
      </c>
      <c r="X34" s="1351"/>
      <c r="Y34" s="3686"/>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7"/>
      <c r="M35" s="2711"/>
      <c r="N35" s="2711"/>
      <c r="O35" s="2711"/>
      <c r="P35" s="3684"/>
      <c r="Q35" s="1348" t="str">
        <f t="shared" si="11"/>
        <v>公共部分装修</v>
      </c>
      <c r="R35" s="703" t="s">
        <v>14</v>
      </c>
      <c r="S35" s="704">
        <f t="shared" si="12"/>
        <v>100</v>
      </c>
      <c r="T35" s="703" t="s">
        <v>14</v>
      </c>
      <c r="U35" s="704">
        <f t="shared" si="13"/>
        <v>100</v>
      </c>
      <c r="V35" s="703" t="s">
        <v>14</v>
      </c>
      <c r="W35" s="704">
        <f t="shared" si="14"/>
        <v>100</v>
      </c>
      <c r="X35" s="1351"/>
      <c r="Y35" s="3686"/>
      <c r="Z35" s="1352" t="str">
        <f t="shared" si="15"/>
        <v>公共部分装修</v>
      </c>
      <c r="AA35" s="1349">
        <f t="shared" si="3"/>
        <v>1</v>
      </c>
      <c r="AB35" s="1349">
        <f t="shared" si="4"/>
        <v>1</v>
      </c>
      <c r="AC35" s="1349">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7"/>
      <c r="M36" s="2711"/>
      <c r="N36" s="2711"/>
      <c r="O36" s="2711"/>
      <c r="P36" s="3684"/>
      <c r="Q36" s="1348" t="str">
        <f t="shared" si="11"/>
        <v>成新度</v>
      </c>
      <c r="R36" s="703" t="s">
        <v>14</v>
      </c>
      <c r="S36" s="704" t="e">
        <f t="shared" si="12"/>
        <v>#N/A</v>
      </c>
      <c r="T36" s="703" t="s">
        <v>14</v>
      </c>
      <c r="U36" s="704" t="e">
        <f t="shared" si="13"/>
        <v>#N/A</v>
      </c>
      <c r="V36" s="703" t="s">
        <v>14</v>
      </c>
      <c r="W36" s="704" t="e">
        <f t="shared" si="14"/>
        <v>#N/A</v>
      </c>
      <c r="X36" s="1351"/>
      <c r="Y36" s="3686"/>
      <c r="Z36" s="1352" t="str">
        <f t="shared" si="15"/>
        <v>成新度</v>
      </c>
      <c r="AA36" s="1349" t="e">
        <f t="shared" si="3"/>
        <v>#N/A</v>
      </c>
      <c r="AB36" s="1349" t="e">
        <f t="shared" si="4"/>
        <v>#N/A</v>
      </c>
      <c r="AC36" s="1349" t="e">
        <f t="shared" si="5"/>
        <v>#N/A</v>
      </c>
    </row>
    <row r="37" spans="1:29" s="108" customFormat="1" ht="15">
      <c r="A37" s="423"/>
      <c r="B37" s="374" t="s">
        <v>1787</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2"/>
      <c r="M37" s="2713"/>
      <c r="N37" s="2713"/>
      <c r="O37" s="2713"/>
      <c r="P37" s="3684"/>
      <c r="Q37" s="1339" t="str">
        <f t="shared" si="11"/>
        <v>市政基础设施</v>
      </c>
      <c r="R37" s="699" t="s">
        <v>14</v>
      </c>
      <c r="S37" s="700">
        <f t="shared" si="12"/>
        <v>100</v>
      </c>
      <c r="T37" s="699" t="s">
        <v>14</v>
      </c>
      <c r="U37" s="700">
        <f t="shared" si="13"/>
        <v>100</v>
      </c>
      <c r="V37" s="699" t="s">
        <v>14</v>
      </c>
      <c r="W37" s="700">
        <f t="shared" si="14"/>
        <v>100</v>
      </c>
      <c r="X37" s="701"/>
      <c r="Y37" s="3686"/>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7"/>
      <c r="M38" s="2711"/>
      <c r="N38" s="2711"/>
      <c r="O38" s="2711"/>
      <c r="P38" s="3684" t="s">
        <v>1696</v>
      </c>
      <c r="Q38" s="1348" t="str">
        <f t="shared" si="11"/>
        <v>业态</v>
      </c>
      <c r="R38" s="703" t="s">
        <v>14</v>
      </c>
      <c r="S38" s="704">
        <f t="shared" si="12"/>
        <v>100</v>
      </c>
      <c r="T38" s="703" t="s">
        <v>14</v>
      </c>
      <c r="U38" s="704">
        <f t="shared" si="13"/>
        <v>100</v>
      </c>
      <c r="V38" s="703" t="s">
        <v>14</v>
      </c>
      <c r="W38" s="704">
        <f t="shared" si="14"/>
        <v>100</v>
      </c>
      <c r="X38" s="1351"/>
      <c r="Y38" s="3686" t="s">
        <v>1696</v>
      </c>
      <c r="Z38" s="1352" t="str">
        <f t="shared" si="15"/>
        <v>业态</v>
      </c>
      <c r="AA38" s="1349">
        <f t="shared" si="3"/>
        <v>1</v>
      </c>
      <c r="AB38" s="1349">
        <f t="shared" si="4"/>
        <v>1</v>
      </c>
      <c r="AC38" s="1349">
        <f t="shared" si="5"/>
        <v>1</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7"/>
      <c r="M39" s="2711"/>
      <c r="N39" s="2711"/>
      <c r="O39" s="2711"/>
      <c r="P39" s="3684"/>
      <c r="Q39" s="1348" t="str">
        <f t="shared" si="11"/>
        <v>层高</v>
      </c>
      <c r="R39" s="703" t="s">
        <v>14</v>
      </c>
      <c r="S39" s="704">
        <f t="shared" si="12"/>
        <v>100</v>
      </c>
      <c r="T39" s="703" t="s">
        <v>14</v>
      </c>
      <c r="U39" s="704">
        <f t="shared" si="13"/>
        <v>100</v>
      </c>
      <c r="V39" s="703" t="s">
        <v>14</v>
      </c>
      <c r="W39" s="704">
        <f t="shared" si="14"/>
        <v>100</v>
      </c>
      <c r="X39" s="1351"/>
      <c r="Y39" s="3686"/>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684"/>
      <c r="Q40" s="1348" t="str">
        <f t="shared" si="11"/>
        <v>单套建筑面积</v>
      </c>
      <c r="R40" s="703" t="s">
        <v>14</v>
      </c>
      <c r="S40" s="704">
        <f t="shared" si="12"/>
        <v>100</v>
      </c>
      <c r="T40" s="703" t="s">
        <v>14</v>
      </c>
      <c r="U40" s="704">
        <f t="shared" si="13"/>
        <v>100</v>
      </c>
      <c r="V40" s="703" t="s">
        <v>14</v>
      </c>
      <c r="W40" s="704">
        <f t="shared" si="14"/>
        <v>100</v>
      </c>
      <c r="X40" s="1351"/>
      <c r="Y40" s="3686"/>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684"/>
      <c r="Q41" s="705" t="str">
        <f t="shared" si="11"/>
        <v>进深比</v>
      </c>
      <c r="R41" s="706" t="s">
        <v>14</v>
      </c>
      <c r="S41" s="707">
        <f t="shared" si="12"/>
        <v>100</v>
      </c>
      <c r="T41" s="706" t="s">
        <v>14</v>
      </c>
      <c r="U41" s="707">
        <f t="shared" si="13"/>
        <v>100</v>
      </c>
      <c r="V41" s="706" t="s">
        <v>14</v>
      </c>
      <c r="W41" s="707">
        <f t="shared" si="14"/>
        <v>100</v>
      </c>
      <c r="X41" s="708"/>
      <c r="Y41" s="3686"/>
      <c r="Z41" s="709" t="str">
        <f t="shared" si="15"/>
        <v>进深比</v>
      </c>
      <c r="AA41" s="1349">
        <f t="shared" si="3"/>
        <v>1</v>
      </c>
      <c r="AB41" s="1349">
        <f t="shared" si="4"/>
        <v>1</v>
      </c>
      <c r="AC41" s="1349">
        <f t="shared" si="5"/>
        <v>1</v>
      </c>
    </row>
    <row r="42" spans="1:29" ht="15">
      <c r="A42" s="422"/>
      <c r="B42" s="374" t="s">
        <v>1792</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7"/>
      <c r="M42" s="2711"/>
      <c r="N42" s="2711"/>
      <c r="O42" s="2711"/>
      <c r="P42" s="3684"/>
      <c r="Q42" s="1348" t="str">
        <f t="shared" si="11"/>
        <v>内部装修</v>
      </c>
      <c r="R42" s="703" t="s">
        <v>14</v>
      </c>
      <c r="S42" s="704">
        <f t="shared" si="12"/>
        <v>100</v>
      </c>
      <c r="T42" s="703" t="s">
        <v>14</v>
      </c>
      <c r="U42" s="704">
        <f t="shared" si="13"/>
        <v>100</v>
      </c>
      <c r="V42" s="703" t="s">
        <v>14</v>
      </c>
      <c r="W42" s="704">
        <f t="shared" si="14"/>
        <v>100</v>
      </c>
      <c r="X42" s="1351"/>
      <c r="Y42" s="3686"/>
      <c r="Z42" s="1352" t="str">
        <f t="shared" si="15"/>
        <v>内部装修</v>
      </c>
      <c r="AA42" s="1349">
        <f t="shared" si="3"/>
        <v>1</v>
      </c>
      <c r="AB42" s="1349">
        <f t="shared" si="4"/>
        <v>1</v>
      </c>
      <c r="AC42" s="1349">
        <f t="shared" si="5"/>
        <v>1</v>
      </c>
    </row>
    <row r="43" spans="1:29" ht="28.8">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7"/>
      <c r="M43" s="2711"/>
      <c r="N43" s="2711"/>
      <c r="O43" s="2711"/>
      <c r="P43" s="3684"/>
      <c r="Q43" s="1348" t="str">
        <f t="shared" si="11"/>
        <v>内部装修维护情况</v>
      </c>
      <c r="R43" s="703" t="s">
        <v>14</v>
      </c>
      <c r="S43" s="704">
        <f t="shared" si="12"/>
        <v>100</v>
      </c>
      <c r="T43" s="703" t="s">
        <v>14</v>
      </c>
      <c r="U43" s="704">
        <f t="shared" si="13"/>
        <v>100</v>
      </c>
      <c r="V43" s="703" t="s">
        <v>14</v>
      </c>
      <c r="W43" s="704">
        <f t="shared" si="14"/>
        <v>100</v>
      </c>
      <c r="X43" s="1351"/>
      <c r="Y43" s="3686"/>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684"/>
      <c r="Q44" s="1339">
        <f t="shared" si="11"/>
        <v>111</v>
      </c>
      <c r="R44" s="699" t="s">
        <v>14</v>
      </c>
      <c r="S44" s="700">
        <f t="shared" si="12"/>
        <v>100</v>
      </c>
      <c r="T44" s="699" t="s">
        <v>14</v>
      </c>
      <c r="U44" s="700">
        <f t="shared" si="13"/>
        <v>100</v>
      </c>
      <c r="V44" s="699" t="s">
        <v>14</v>
      </c>
      <c r="W44" s="700">
        <f t="shared" si="14"/>
        <v>100</v>
      </c>
      <c r="X44" s="701"/>
      <c r="Y44" s="3686"/>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684"/>
      <c r="Q45" s="1348">
        <f t="shared" si="11"/>
        <v>111</v>
      </c>
      <c r="R45" s="703" t="s">
        <v>14</v>
      </c>
      <c r="S45" s="704">
        <f t="shared" si="12"/>
        <v>100</v>
      </c>
      <c r="T45" s="703" t="s">
        <v>14</v>
      </c>
      <c r="U45" s="704">
        <f t="shared" si="13"/>
        <v>100</v>
      </c>
      <c r="V45" s="703" t="s">
        <v>14</v>
      </c>
      <c r="W45" s="704">
        <f t="shared" si="14"/>
        <v>100</v>
      </c>
      <c r="X45" s="1351"/>
      <c r="Y45" s="3686"/>
      <c r="Z45" s="1352">
        <f t="shared" si="15"/>
        <v>111</v>
      </c>
      <c r="AA45" s="1349">
        <f t="shared" si="3"/>
        <v>1</v>
      </c>
      <c r="AB45" s="1349">
        <f t="shared" si="4"/>
        <v>1</v>
      </c>
      <c r="AC45" s="1349">
        <f t="shared" si="5"/>
        <v>1</v>
      </c>
    </row>
    <row r="46" spans="1:29" ht="15.6"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685"/>
      <c r="Q46" s="1348">
        <f t="shared" si="11"/>
        <v>111</v>
      </c>
      <c r="R46" s="703" t="s">
        <v>14</v>
      </c>
      <c r="S46" s="704">
        <f t="shared" si="12"/>
        <v>100</v>
      </c>
      <c r="T46" s="703" t="s">
        <v>14</v>
      </c>
      <c r="U46" s="704">
        <f t="shared" si="13"/>
        <v>100</v>
      </c>
      <c r="V46" s="703" t="s">
        <v>14</v>
      </c>
      <c r="W46" s="704">
        <f t="shared" si="14"/>
        <v>100</v>
      </c>
      <c r="X46" s="1351"/>
      <c r="Y46" s="3687"/>
      <c r="Z46" s="1352">
        <f t="shared" si="15"/>
        <v>111</v>
      </c>
      <c r="AA46" s="1349">
        <f t="shared" si="3"/>
        <v>1</v>
      </c>
      <c r="AB46" s="1349">
        <f t="shared" si="4"/>
        <v>1</v>
      </c>
      <c r="AC46" s="1349">
        <f t="shared" si="5"/>
        <v>1</v>
      </c>
    </row>
    <row r="47" spans="1:29" ht="14.4">
      <c r="A47" s="429" t="s">
        <v>1708</v>
      </c>
      <c r="B47" s="430"/>
      <c r="C47" s="1150" t="s">
        <v>0</v>
      </c>
      <c r="D47" s="1151"/>
      <c r="E47" s="1152"/>
      <c r="F47" s="1153"/>
      <c r="G47" s="1154"/>
      <c r="H47" s="1155"/>
      <c r="I47" s="1152"/>
      <c r="J47" s="1155"/>
      <c r="K47" s="712"/>
      <c r="L47" s="2719"/>
      <c r="M47" s="2720"/>
      <c r="N47" s="2711"/>
      <c r="O47" s="2720"/>
      <c r="P47" s="3688" t="str">
        <f>A47</f>
        <v>成交单价（元/平方米）</v>
      </c>
      <c r="Q47" s="3688"/>
      <c r="R47" s="3676">
        <f>E47</f>
        <v>0</v>
      </c>
      <c r="S47" s="3676"/>
      <c r="T47" s="3676">
        <f>G47</f>
        <v>0</v>
      </c>
      <c r="U47" s="3676"/>
      <c r="V47" s="3676">
        <f>I47</f>
        <v>0</v>
      </c>
      <c r="W47" s="3676"/>
      <c r="X47" s="688"/>
      <c r="Y47" s="710"/>
      <c r="Z47" s="688"/>
      <c r="AA47" s="688"/>
      <c r="AB47" s="688"/>
      <c r="AC47" s="688"/>
    </row>
    <row r="48" spans="1:29" ht="15" thickBot="1">
      <c r="A48" s="436" t="s">
        <v>1793</v>
      </c>
      <c r="B48" s="437"/>
      <c r="C48" s="1156" t="e">
        <f>R49</f>
        <v>#DIV/0!</v>
      </c>
      <c r="D48" s="2313" t="s">
        <v>2138</v>
      </c>
      <c r="E48" s="1157" t="e">
        <f>R48</f>
        <v>#DIV/0!</v>
      </c>
      <c r="F48" s="2314"/>
      <c r="G48" s="1156" t="e">
        <f>T48</f>
        <v>#DIV/0!</v>
      </c>
      <c r="H48" s="2314"/>
      <c r="I48" s="1157" t="e">
        <f>V48</f>
        <v>#DIV/0!</v>
      </c>
      <c r="J48" s="2314"/>
      <c r="K48" s="2316">
        <f>F48+H48+J48</f>
        <v>0</v>
      </c>
      <c r="L48" s="2719"/>
      <c r="M48" s="2720"/>
      <c r="N48" s="2711"/>
      <c r="O48" s="2720"/>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 thickBot="1">
      <c r="A49" s="440" t="s">
        <v>1794</v>
      </c>
      <c r="B49" s="441"/>
      <c r="C49" s="1159" t="e">
        <f>R49</f>
        <v>#DIV/0!</v>
      </c>
      <c r="D49" s="1159"/>
      <c r="E49" s="1159"/>
      <c r="F49" s="1159"/>
      <c r="G49" s="1159"/>
      <c r="H49" s="1159"/>
      <c r="I49" s="1159"/>
      <c r="J49" s="1159"/>
      <c r="K49" s="713"/>
      <c r="L49" s="2719"/>
      <c r="M49" s="2720"/>
      <c r="N49" s="2711"/>
      <c r="O49" s="2720"/>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2" t="s">
        <v>1798</v>
      </c>
      <c r="B57" s="688"/>
      <c r="C57" s="693"/>
      <c r="D57" s="693"/>
      <c r="E57" s="693"/>
      <c r="F57" s="694"/>
      <c r="G57" s="694"/>
      <c r="H57" s="693"/>
      <c r="I57" s="693"/>
      <c r="J57" s="693"/>
      <c r="K57" s="695"/>
      <c r="L57" s="940"/>
      <c r="M57" s="938"/>
      <c r="N57" s="938"/>
      <c r="O57" s="938"/>
      <c r="P57" s="2733"/>
      <c r="Q57" s="2734"/>
      <c r="R57" s="2720"/>
      <c r="S57" s="2720"/>
      <c r="T57" s="2720"/>
      <c r="U57" s="2720"/>
      <c r="V57" s="2720"/>
      <c r="W57" s="2720"/>
      <c r="X57" s="2720"/>
      <c r="Y57" s="2720"/>
      <c r="Z57" s="2720"/>
      <c r="AA57" s="2720"/>
      <c r="AB57" s="2720"/>
      <c r="AC57" s="2720"/>
    </row>
    <row r="58" spans="1:29" s="456" customFormat="1" ht="14.4">
      <c r="A58" s="453" t="s">
        <v>1679</v>
      </c>
      <c r="B58" s="454"/>
      <c r="C58" s="1180" t="str">
        <f>YEAR(C7)&amp;"-"&amp;MONTH(C7)</f>
        <v>2023-7</v>
      </c>
      <c r="D58" s="1181">
        <f>EDATE(C58,-1)</f>
        <v>45078</v>
      </c>
      <c r="E58" s="1181">
        <f t="shared" ref="E58:N58" si="16">EDATE(D58,-1)</f>
        <v>45047</v>
      </c>
      <c r="F58" s="1181">
        <f t="shared" si="16"/>
        <v>45017</v>
      </c>
      <c r="G58" s="1181">
        <f t="shared" si="16"/>
        <v>44986</v>
      </c>
      <c r="H58" s="1181">
        <f t="shared" si="16"/>
        <v>44958</v>
      </c>
      <c r="I58" s="1181">
        <f t="shared" si="16"/>
        <v>44927</v>
      </c>
      <c r="J58" s="1181">
        <f t="shared" si="16"/>
        <v>44896</v>
      </c>
      <c r="K58" s="1181">
        <f t="shared" si="16"/>
        <v>44866</v>
      </c>
      <c r="L58" s="1181">
        <f t="shared" si="16"/>
        <v>44835</v>
      </c>
      <c r="M58" s="1181">
        <f t="shared" si="16"/>
        <v>44805</v>
      </c>
      <c r="N58" s="1181">
        <f t="shared" si="16"/>
        <v>44774</v>
      </c>
      <c r="O58" s="1181">
        <f>EDATE(N58,-1)</f>
        <v>44743</v>
      </c>
      <c r="P58" s="2735"/>
      <c r="Q58" s="2736"/>
      <c r="R58" s="2736"/>
      <c r="S58" s="2736"/>
      <c r="T58" s="2736"/>
      <c r="U58" s="2736"/>
      <c r="V58" s="2736"/>
      <c r="W58" s="2736"/>
      <c r="X58" s="2736"/>
      <c r="Y58" s="2736"/>
      <c r="Z58" s="2736"/>
      <c r="AA58" s="2736"/>
      <c r="AB58" s="2736"/>
      <c r="AC58" s="2736"/>
    </row>
    <row r="59" spans="1:29" s="108" customFormat="1">
      <c r="A59" s="457"/>
      <c r="B59" s="458"/>
      <c r="C59" s="1179">
        <v>100</v>
      </c>
      <c r="D59" s="460"/>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 thickBot="1">
      <c r="A60" s="463" t="s">
        <v>1716</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4.4">
      <c r="A61" s="469" t="s">
        <v>1681</v>
      </c>
      <c r="B61" s="458"/>
      <c r="C61" s="470" t="s">
        <v>1776</v>
      </c>
      <c r="D61" s="471"/>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4.4" thickBot="1">
      <c r="A62" s="469"/>
      <c r="B62" s="458"/>
      <c r="C62" s="459">
        <v>100</v>
      </c>
      <c r="D62" s="460"/>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ht="14.4">
      <c r="A63" s="475" t="s">
        <v>1719</v>
      </c>
      <c r="B63" s="476" t="s">
        <v>1685</v>
      </c>
      <c r="C63" s="477">
        <f>C9</f>
        <v>0</v>
      </c>
      <c r="D63" s="478"/>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4.4" thickBot="1">
      <c r="A64" s="482"/>
      <c r="B64" s="483"/>
      <c r="C64" s="484">
        <v>100</v>
      </c>
      <c r="D64" s="484"/>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9.4" thickTop="1">
      <c r="A65" s="482"/>
      <c r="B65" s="486" t="s">
        <v>1688</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4.4"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c r="A68" s="482"/>
      <c r="B68" s="496"/>
      <c r="C68" s="497"/>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4.4"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4.4"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4.4"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4.4"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4.4"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4.4"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ht="14.4">
      <c r="A76" s="475" t="s">
        <v>1690</v>
      </c>
      <c r="B76" s="476" t="s">
        <v>1720</v>
      </c>
      <c r="C76" s="521" t="s">
        <v>1721</v>
      </c>
      <c r="D76" s="521" t="s">
        <v>1722</v>
      </c>
      <c r="E76" s="521" t="s">
        <v>1723</v>
      </c>
      <c r="F76" s="521" t="s">
        <v>1724</v>
      </c>
      <c r="G76" s="521" t="s">
        <v>1725</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 thickTop="1">
      <c r="A78" s="482"/>
      <c r="B78" s="486" t="s">
        <v>1726</v>
      </c>
      <c r="C78" s="526" t="s">
        <v>1721</v>
      </c>
      <c r="D78" s="526" t="s">
        <v>1722</v>
      </c>
      <c r="E78" s="526" t="s">
        <v>1723</v>
      </c>
      <c r="F78" s="526" t="s">
        <v>1724</v>
      </c>
      <c r="G78" s="526" t="s">
        <v>1725</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 thickTop="1">
      <c r="A80" s="482"/>
      <c r="B80" s="486" t="s">
        <v>1727</v>
      </c>
      <c r="C80" s="526" t="s">
        <v>1721</v>
      </c>
      <c r="D80" s="526" t="s">
        <v>1722</v>
      </c>
      <c r="E80" s="526" t="s">
        <v>1723</v>
      </c>
      <c r="F80" s="526" t="s">
        <v>1724</v>
      </c>
      <c r="G80" s="526" t="s">
        <v>1725</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 thickTop="1">
      <c r="A82" s="482"/>
      <c r="B82" s="494" t="s">
        <v>1779</v>
      </c>
      <c r="C82" s="607" t="s">
        <v>1799</v>
      </c>
      <c r="D82" s="607" t="s">
        <v>1800</v>
      </c>
      <c r="E82" s="607" t="s">
        <v>1801</v>
      </c>
      <c r="F82" s="607" t="s">
        <v>1802</v>
      </c>
      <c r="G82" s="607" t="s">
        <v>1803</v>
      </c>
      <c r="H82" s="487"/>
      <c r="I82" s="487"/>
      <c r="J82" s="487"/>
      <c r="K82" s="487"/>
      <c r="L82" s="487"/>
      <c r="M82" s="1125"/>
      <c r="N82" s="2749"/>
      <c r="O82" s="2749"/>
      <c r="P82" s="2739"/>
      <c r="Q82" s="2734"/>
      <c r="R82" s="2720"/>
      <c r="S82" s="2720"/>
      <c r="T82" s="2720"/>
      <c r="U82" s="2720"/>
      <c r="V82" s="2720"/>
      <c r="W82" s="2720"/>
      <c r="X82" s="2720"/>
      <c r="Y82" s="2720"/>
      <c r="Z82" s="2720"/>
      <c r="AA82" s="2720"/>
      <c r="AB82" s="2720"/>
      <c r="AC82" s="2720"/>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 thickTop="1">
      <c r="A84" s="482"/>
      <c r="B84" s="486" t="s">
        <v>1733</v>
      </c>
      <c r="C84" s="526" t="s">
        <v>1721</v>
      </c>
      <c r="D84" s="526" t="s">
        <v>1722</v>
      </c>
      <c r="E84" s="526" t="s">
        <v>1723</v>
      </c>
      <c r="F84" s="526" t="s">
        <v>1724</v>
      </c>
      <c r="G84" s="526" t="s">
        <v>1725</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 thickTop="1">
      <c r="A86" s="527"/>
      <c r="B86" s="486" t="s">
        <v>1804</v>
      </c>
      <c r="C86" s="502"/>
      <c r="D86" s="502"/>
      <c r="E86" s="502"/>
      <c r="F86" s="502"/>
      <c r="G86" s="502"/>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9"/>
      <c r="O87" s="2749"/>
      <c r="P87" s="2739"/>
      <c r="Q87" s="2734"/>
      <c r="R87" s="2656"/>
      <c r="S87" s="2656"/>
      <c r="T87" s="2656"/>
      <c r="U87" s="2656"/>
      <c r="V87" s="2656"/>
      <c r="W87" s="2656"/>
      <c r="X87" s="2656"/>
      <c r="Y87" s="2656"/>
      <c r="Z87" s="2656"/>
      <c r="AA87" s="2656"/>
      <c r="AB87" s="2656"/>
      <c r="AC87" s="2656"/>
    </row>
    <row r="88" spans="1:29" s="108" customFormat="1" ht="14.4" thickTop="1">
      <c r="A88" s="527"/>
      <c r="B88" s="486" t="str">
        <f>B26</f>
        <v>平面位置/可视性</v>
      </c>
      <c r="C88" s="502"/>
      <c r="D88" s="502"/>
      <c r="E88" s="502"/>
      <c r="F88" s="1923"/>
      <c r="G88" s="502"/>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4.4" thickBot="1">
      <c r="A89" s="527"/>
      <c r="B89" s="491"/>
      <c r="C89" s="508"/>
      <c r="D89" s="484"/>
      <c r="E89" s="484"/>
      <c r="F89" s="484"/>
      <c r="G89" s="484"/>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4.4" thickTop="1">
      <c r="A90" s="501"/>
      <c r="B90" s="486" t="str">
        <f>B27</f>
        <v>人流量</v>
      </c>
      <c r="C90" s="502"/>
      <c r="D90" s="502"/>
      <c r="E90" s="502"/>
      <c r="F90" s="502"/>
      <c r="G90" s="502"/>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4.4" thickTop="1">
      <c r="A92" s="482"/>
      <c r="B92" s="486" t="str">
        <f>B28</f>
        <v>楼层</v>
      </c>
      <c r="C92" s="502"/>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4.4" thickBot="1">
      <c r="A93" s="482"/>
      <c r="B93" s="491"/>
      <c r="C93" s="484"/>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4.4"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4.4"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4.4"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4.4"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4.4"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4.4" thickBot="1">
      <c r="A99" s="1924"/>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ht="14.4">
      <c r="A100" s="475" t="s">
        <v>1694</v>
      </c>
      <c r="B100" s="476" t="s">
        <v>1805</v>
      </c>
      <c r="C100" s="478"/>
      <c r="D100" s="478"/>
      <c r="E100" s="478"/>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c r="D103" s="543"/>
      <c r="E103" s="543"/>
      <c r="F103" s="543"/>
      <c r="G103" s="543"/>
      <c r="H103" s="543"/>
      <c r="I103" s="543"/>
      <c r="J103" s="544"/>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4.4" thickBot="1">
      <c r="A104" s="501"/>
      <c r="B104" s="491"/>
      <c r="C104" s="508"/>
      <c r="D104" s="484"/>
      <c r="E104" s="484"/>
      <c r="F104" s="484"/>
      <c r="G104" s="484"/>
      <c r="H104" s="484"/>
      <c r="I104" s="484"/>
      <c r="J104" s="484"/>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1738</v>
      </c>
      <c r="C105" s="502"/>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1740</v>
      </c>
      <c r="C107" s="502"/>
      <c r="D107" s="502"/>
      <c r="E107" s="502"/>
      <c r="F107" s="531"/>
      <c r="G107" s="531"/>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1742</v>
      </c>
      <c r="C112" s="502"/>
      <c r="D112" s="502"/>
      <c r="E112" s="502"/>
      <c r="F112" s="502"/>
      <c r="G112" s="502"/>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1806</v>
      </c>
      <c r="C114" s="502"/>
      <c r="D114" s="502"/>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1807</v>
      </c>
      <c r="C116" s="502"/>
      <c r="D116" s="502"/>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1808</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4.4"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1809</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1744</v>
      </c>
      <c r="C122" s="502"/>
      <c r="D122" s="502"/>
      <c r="E122" s="502"/>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4.4"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4.4"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4.4"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4.4"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4.4"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4.4" thickBot="1">
      <c r="A131" s="1924"/>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953" t="s">
        <v>1826</v>
      </c>
      <c r="C1" s="1220" t="s">
        <v>1662</v>
      </c>
      <c r="D1" s="1221"/>
      <c r="E1" s="3428"/>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37711.240000000005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4" t="s">
        <v>1769</v>
      </c>
      <c r="B4" s="355"/>
      <c r="C4" s="3663" t="s">
        <v>1770</v>
      </c>
      <c r="D4" s="3664"/>
      <c r="E4" s="3665" t="s">
        <v>1771</v>
      </c>
      <c r="F4" s="3666"/>
      <c r="G4" s="3663" t="s">
        <v>1772</v>
      </c>
      <c r="H4" s="3664"/>
      <c r="I4" s="3663" t="s">
        <v>1773</v>
      </c>
      <c r="J4" s="3664"/>
      <c r="K4" s="558" t="s">
        <v>1774</v>
      </c>
      <c r="L4" s="911"/>
      <c r="M4" s="912"/>
      <c r="N4" s="912"/>
      <c r="O4" s="912"/>
      <c r="P4" s="3723" t="s">
        <v>1775</v>
      </c>
      <c r="Q4" s="3724"/>
      <c r="R4" s="3720" t="s">
        <v>1771</v>
      </c>
      <c r="S4" s="3721"/>
      <c r="T4" s="3720" t="s">
        <v>1772</v>
      </c>
      <c r="U4" s="3721"/>
      <c r="V4" s="3676" t="s">
        <v>1773</v>
      </c>
      <c r="W4" s="3676"/>
      <c r="X4" s="1351"/>
      <c r="Y4" s="3720" t="s">
        <v>1775</v>
      </c>
      <c r="Z4" s="3721"/>
      <c r="AA4" s="3719" t="s">
        <v>1771</v>
      </c>
      <c r="AB4" s="3642" t="s">
        <v>1772</v>
      </c>
      <c r="AC4" s="3719" t="s">
        <v>1773</v>
      </c>
    </row>
    <row r="5" spans="1:29">
      <c r="A5" s="357"/>
      <c r="B5" s="358"/>
      <c r="C5" s="3652" t="s">
        <v>1673</v>
      </c>
      <c r="D5" s="3653"/>
      <c r="E5" s="3722" t="s">
        <v>1674</v>
      </c>
      <c r="F5" s="3651"/>
      <c r="G5" s="3652" t="s">
        <v>1675</v>
      </c>
      <c r="H5" s="3653"/>
      <c r="I5" s="3652" t="s">
        <v>1676</v>
      </c>
      <c r="J5" s="3653"/>
      <c r="K5" s="558"/>
      <c r="L5" s="911"/>
      <c r="M5" s="912"/>
      <c r="N5" s="912"/>
      <c r="O5" s="912"/>
      <c r="P5" s="3725"/>
      <c r="Q5" s="3670"/>
      <c r="R5" s="3648"/>
      <c r="S5" s="3649"/>
      <c r="T5" s="3648"/>
      <c r="U5" s="3649"/>
      <c r="V5" s="3676"/>
      <c r="W5" s="3676"/>
      <c r="X5" s="1351"/>
      <c r="Y5" s="3648"/>
      <c r="Z5" s="3649"/>
      <c r="AA5" s="3642"/>
      <c r="AB5" s="3642"/>
      <c r="AC5" s="3642"/>
    </row>
    <row r="6" spans="1:29" ht="15" thickBot="1">
      <c r="A6" s="359"/>
      <c r="B6" s="360"/>
      <c r="C6" s="3654" t="s">
        <v>1677</v>
      </c>
      <c r="D6" s="3655"/>
      <c r="E6" s="3657" t="s">
        <v>1677</v>
      </c>
      <c r="F6" s="3658"/>
      <c r="G6" s="3654" t="s">
        <v>1677</v>
      </c>
      <c r="H6" s="3655"/>
      <c r="I6" s="3654" t="s">
        <v>1677</v>
      </c>
      <c r="J6" s="3655"/>
      <c r="K6" s="558" t="s">
        <v>1678</v>
      </c>
      <c r="L6" s="911"/>
      <c r="M6" s="912"/>
      <c r="N6" s="912"/>
      <c r="O6" s="912"/>
      <c r="P6" s="3726"/>
      <c r="Q6" s="3672"/>
      <c r="R6" s="3648"/>
      <c r="S6" s="3649"/>
      <c r="T6" s="3673"/>
      <c r="U6" s="3674"/>
      <c r="V6" s="3676"/>
      <c r="W6" s="3676"/>
      <c r="X6" s="1351"/>
      <c r="Y6" s="3673"/>
      <c r="Z6" s="3674"/>
      <c r="AA6" s="3643"/>
      <c r="AB6" s="3643"/>
      <c r="AC6" s="3643"/>
    </row>
    <row r="7" spans="1:29" s="108" customFormat="1" ht="15" thickBot="1">
      <c r="A7" s="361" t="s">
        <v>1679</v>
      </c>
      <c r="B7" s="362"/>
      <c r="C7" s="363">
        <f>'数据-取费表'!B2</f>
        <v>45124</v>
      </c>
      <c r="D7" s="364">
        <v>100</v>
      </c>
      <c r="E7" s="365"/>
      <c r="F7" s="366">
        <f>SUMIF(52:52,YEAR(E7)&amp;"-"&amp;MONTH(E7),53:53)</f>
        <v>0</v>
      </c>
      <c r="G7" s="365"/>
      <c r="H7" s="364">
        <f>SUMIF(52:52,YEAR(G7)&amp;"-"&amp;MONTH(G7),53:53)</f>
        <v>0</v>
      </c>
      <c r="I7" s="365"/>
      <c r="J7" s="364">
        <f>SUMIF(52:52,YEAR(I7)&amp;"-"&amp;MONTH(I7),53:53)</f>
        <v>0</v>
      </c>
      <c r="K7" s="559"/>
      <c r="L7" s="913"/>
      <c r="M7" s="914"/>
      <c r="N7" s="914"/>
      <c r="O7" s="914"/>
      <c r="P7" s="3644" t="s">
        <v>1680</v>
      </c>
      <c r="Q7" s="3678"/>
      <c r="R7" s="699" t="s">
        <v>14</v>
      </c>
      <c r="S7" s="700">
        <f t="shared" ref="S7:S15" si="0">F7</f>
        <v>0</v>
      </c>
      <c r="T7" s="699" t="s">
        <v>14</v>
      </c>
      <c r="U7" s="700">
        <f t="shared" ref="U7:U15" si="1">H7</f>
        <v>0</v>
      </c>
      <c r="V7" s="699" t="s">
        <v>14</v>
      </c>
      <c r="W7" s="700">
        <f t="shared" ref="W7:W15" si="2">J7</f>
        <v>0</v>
      </c>
      <c r="X7" s="701"/>
      <c r="Y7" s="3644" t="s">
        <v>1680</v>
      </c>
      <c r="Z7" s="3645"/>
      <c r="AA7" s="702" t="e">
        <f>D7/F7</f>
        <v>#DIV/0!</v>
      </c>
      <c r="AB7" s="702" t="e">
        <f>D7/H7</f>
        <v>#DIV/0!</v>
      </c>
      <c r="AC7" s="702"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644" t="s">
        <v>1683</v>
      </c>
      <c r="Q8" s="3645"/>
      <c r="R8" s="699" t="s">
        <v>14</v>
      </c>
      <c r="S8" s="700">
        <f t="shared" si="0"/>
        <v>100</v>
      </c>
      <c r="T8" s="699" t="s">
        <v>14</v>
      </c>
      <c r="U8" s="700">
        <f t="shared" si="1"/>
        <v>100</v>
      </c>
      <c r="V8" s="699" t="s">
        <v>14</v>
      </c>
      <c r="W8" s="700">
        <f t="shared" si="2"/>
        <v>100</v>
      </c>
      <c r="X8" s="701"/>
      <c r="Y8" s="3644" t="s">
        <v>1683</v>
      </c>
      <c r="Z8" s="3645"/>
      <c r="AA8" s="702">
        <f t="shared" ref="AA8:AA40" si="3">D8/F8</f>
        <v>1</v>
      </c>
      <c r="AB8" s="702">
        <f t="shared" ref="AB8:AB40" si="4">D8/H8</f>
        <v>1</v>
      </c>
      <c r="AC8" s="702">
        <f t="shared" ref="AC8:AC40" si="5">D8/J8</f>
        <v>1</v>
      </c>
    </row>
    <row r="9" spans="1:29" s="108" customFormat="1" ht="14.4">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688" t="s">
        <v>1686</v>
      </c>
      <c r="Q9" s="1339"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7" customFormat="1" ht="28.8">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6"/>
      <c r="M10" s="917"/>
      <c r="N10" s="917"/>
      <c r="O10" s="918"/>
      <c r="P10" s="3688"/>
      <c r="Q10" s="1339"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688"/>
      <c r="Q11" s="1339" t="str">
        <f t="shared" si="6"/>
        <v>容积率</v>
      </c>
      <c r="R11" s="699" t="s">
        <v>14</v>
      </c>
      <c r="S11" s="700">
        <f t="shared" si="0"/>
        <v>100</v>
      </c>
      <c r="T11" s="699" t="s">
        <v>14</v>
      </c>
      <c r="U11" s="700">
        <f t="shared" si="1"/>
        <v>100</v>
      </c>
      <c r="V11" s="699" t="s">
        <v>14</v>
      </c>
      <c r="W11" s="700">
        <f t="shared" si="2"/>
        <v>100</v>
      </c>
      <c r="X11" s="701"/>
      <c r="Y11" s="3614"/>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688"/>
      <c r="Q12" s="1339">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688"/>
      <c r="Q13" s="1339">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6"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688"/>
      <c r="Q14" s="1339">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702">
        <f t="shared" si="5"/>
        <v>1</v>
      </c>
    </row>
    <row r="15" spans="1:29" ht="69">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681" t="s">
        <v>1691</v>
      </c>
      <c r="Q15" s="1348" t="str">
        <f t="shared" si="6"/>
        <v>产业集聚程度</v>
      </c>
      <c r="R15" s="703" t="s">
        <v>14</v>
      </c>
      <c r="S15" s="704">
        <f t="shared" si="0"/>
        <v>100</v>
      </c>
      <c r="T15" s="703" t="s">
        <v>14</v>
      </c>
      <c r="U15" s="704">
        <f t="shared" si="1"/>
        <v>100</v>
      </c>
      <c r="V15" s="703" t="s">
        <v>14</v>
      </c>
      <c r="W15" s="704">
        <f t="shared" si="2"/>
        <v>100</v>
      </c>
      <c r="X15" s="1351"/>
      <c r="Y15" s="3681"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21"/>
      <c r="M16" s="912"/>
      <c r="N16" s="912"/>
      <c r="O16" s="920"/>
      <c r="P16" s="3682"/>
      <c r="Q16" s="1348"/>
      <c r="R16" s="703"/>
      <c r="S16" s="704"/>
      <c r="T16" s="703"/>
      <c r="U16" s="704"/>
      <c r="V16" s="703"/>
      <c r="W16" s="704"/>
      <c r="X16" s="1351"/>
      <c r="Y16" s="3682"/>
      <c r="Z16" s="1352"/>
      <c r="AA16" s="1349">
        <v>1</v>
      </c>
      <c r="AB16" s="1349">
        <v>1</v>
      </c>
      <c r="AC16" s="1349">
        <v>1</v>
      </c>
    </row>
    <row r="17" spans="1:29" ht="96.6">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682"/>
      <c r="Q17" s="1348" t="str">
        <f>B17</f>
        <v>交通便捷度</v>
      </c>
      <c r="R17" s="703" t="s">
        <v>14</v>
      </c>
      <c r="S17" s="704">
        <f>F17</f>
        <v>100</v>
      </c>
      <c r="T17" s="703" t="s">
        <v>14</v>
      </c>
      <c r="U17" s="704">
        <f>H17</f>
        <v>100</v>
      </c>
      <c r="V17" s="703" t="s">
        <v>14</v>
      </c>
      <c r="W17" s="704">
        <f>J17</f>
        <v>100</v>
      </c>
      <c r="X17" s="1351"/>
      <c r="Y17" s="3682"/>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21"/>
      <c r="M18" s="912"/>
      <c r="N18" s="912"/>
      <c r="O18" s="920"/>
      <c r="P18" s="3682"/>
      <c r="Q18" s="1348"/>
      <c r="R18" s="703"/>
      <c r="S18" s="704"/>
      <c r="T18" s="703"/>
      <c r="U18" s="704"/>
      <c r="V18" s="703"/>
      <c r="W18" s="704"/>
      <c r="X18" s="1351"/>
      <c r="Y18" s="3682"/>
      <c r="Z18" s="1352"/>
      <c r="AA18" s="1349">
        <v>1</v>
      </c>
      <c r="AB18" s="1349">
        <v>1</v>
      </c>
      <c r="AC18" s="1349">
        <v>1</v>
      </c>
    </row>
    <row r="19" spans="1:29" ht="41.4">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682"/>
      <c r="Q19" s="1348" t="str">
        <f>B19</f>
        <v>公共配套设施</v>
      </c>
      <c r="R19" s="703" t="s">
        <v>14</v>
      </c>
      <c r="S19" s="704">
        <f>F19</f>
        <v>100</v>
      </c>
      <c r="T19" s="703" t="s">
        <v>14</v>
      </c>
      <c r="U19" s="704">
        <f>H19</f>
        <v>100</v>
      </c>
      <c r="V19" s="703" t="s">
        <v>14</v>
      </c>
      <c r="W19" s="704">
        <f>J19</f>
        <v>100</v>
      </c>
      <c r="X19" s="1351"/>
      <c r="Y19" s="3682"/>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21"/>
      <c r="M20" s="912"/>
      <c r="N20" s="912"/>
      <c r="O20" s="920"/>
      <c r="P20" s="3682"/>
      <c r="Q20" s="1348"/>
      <c r="R20" s="703"/>
      <c r="S20" s="704"/>
      <c r="T20" s="703"/>
      <c r="U20" s="704"/>
      <c r="V20" s="703"/>
      <c r="W20" s="704"/>
      <c r="X20" s="1351"/>
      <c r="Y20" s="3682"/>
      <c r="Z20" s="1352"/>
      <c r="AA20" s="1349">
        <v>1</v>
      </c>
      <c r="AB20" s="1349">
        <v>1</v>
      </c>
      <c r="AC20" s="1349">
        <v>1</v>
      </c>
    </row>
    <row r="21" spans="1:29" ht="41.4">
      <c r="A21" s="378"/>
      <c r="B21" s="1127"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682"/>
      <c r="Q21" s="1348" t="str">
        <f>B21</f>
        <v>基础设施水平</v>
      </c>
      <c r="R21" s="703" t="s">
        <v>14</v>
      </c>
      <c r="S21" s="704">
        <f>F21</f>
        <v>100</v>
      </c>
      <c r="T21" s="703" t="s">
        <v>14</v>
      </c>
      <c r="U21" s="704">
        <f>H21</f>
        <v>100</v>
      </c>
      <c r="V21" s="703" t="s">
        <v>14</v>
      </c>
      <c r="W21" s="704">
        <f>J21</f>
        <v>100</v>
      </c>
      <c r="X21" s="1351"/>
      <c r="Y21" s="368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21"/>
      <c r="M22" s="912"/>
      <c r="N22" s="912"/>
      <c r="O22" s="920"/>
      <c r="P22" s="3682"/>
      <c r="Q22" s="1348"/>
      <c r="R22" s="703"/>
      <c r="S22" s="704"/>
      <c r="T22" s="703"/>
      <c r="U22" s="704"/>
      <c r="V22" s="703"/>
      <c r="W22" s="704"/>
      <c r="X22" s="1351"/>
      <c r="Y22" s="3682"/>
      <c r="Z22" s="1352"/>
      <c r="AA22" s="1349">
        <v>1</v>
      </c>
      <c r="AB22" s="1349">
        <v>1</v>
      </c>
      <c r="AC22" s="1349">
        <v>1</v>
      </c>
    </row>
    <row r="23" spans="1:29" ht="82.8">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682"/>
      <c r="Q23" s="1348" t="str">
        <f>B23</f>
        <v>环境质量</v>
      </c>
      <c r="R23" s="703" t="s">
        <v>14</v>
      </c>
      <c r="S23" s="704">
        <f>F23</f>
        <v>100</v>
      </c>
      <c r="T23" s="703" t="s">
        <v>14</v>
      </c>
      <c r="U23" s="704">
        <f>H23</f>
        <v>100</v>
      </c>
      <c r="V23" s="703" t="s">
        <v>14</v>
      </c>
      <c r="W23" s="704">
        <f>J23</f>
        <v>100</v>
      </c>
      <c r="X23" s="1351"/>
      <c r="Y23" s="3682"/>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21"/>
      <c r="M24" s="912"/>
      <c r="N24" s="912"/>
      <c r="O24" s="920"/>
      <c r="P24" s="3682"/>
      <c r="Q24" s="1348"/>
      <c r="R24" s="703"/>
      <c r="S24" s="704"/>
      <c r="T24" s="703"/>
      <c r="U24" s="704"/>
      <c r="V24" s="703"/>
      <c r="W24" s="704"/>
      <c r="X24" s="1351"/>
      <c r="Y24" s="3682"/>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682"/>
      <c r="Q25" s="1348">
        <f>B25</f>
        <v>111</v>
      </c>
      <c r="R25" s="703" t="s">
        <v>14</v>
      </c>
      <c r="S25" s="704">
        <f>F25</f>
        <v>100</v>
      </c>
      <c r="T25" s="703" t="s">
        <v>14</v>
      </c>
      <c r="U25" s="704">
        <f>H25</f>
        <v>100</v>
      </c>
      <c r="V25" s="703" t="s">
        <v>14</v>
      </c>
      <c r="W25" s="704">
        <f>J25</f>
        <v>100</v>
      </c>
      <c r="X25" s="1351"/>
      <c r="Y25" s="3682"/>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682"/>
      <c r="Q26" s="1348">
        <f t="shared" ref="Q26:Q40" si="11">B26</f>
        <v>111</v>
      </c>
      <c r="R26" s="703" t="s">
        <v>14</v>
      </c>
      <c r="S26" s="704">
        <f>F26</f>
        <v>100</v>
      </c>
      <c r="T26" s="703" t="s">
        <v>14</v>
      </c>
      <c r="U26" s="704">
        <f>H26</f>
        <v>100</v>
      </c>
      <c r="V26" s="703" t="s">
        <v>14</v>
      </c>
      <c r="W26" s="704">
        <f>J26</f>
        <v>100</v>
      </c>
      <c r="X26" s="1351"/>
      <c r="Y26" s="3682"/>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682"/>
      <c r="Q27" s="1339">
        <f t="shared" si="11"/>
        <v>111</v>
      </c>
      <c r="R27" s="699" t="s">
        <v>14</v>
      </c>
      <c r="S27" s="700">
        <f>F27</f>
        <v>100</v>
      </c>
      <c r="T27" s="699" t="s">
        <v>14</v>
      </c>
      <c r="U27" s="700">
        <f>H27</f>
        <v>100</v>
      </c>
      <c r="V27" s="699" t="s">
        <v>14</v>
      </c>
      <c r="W27" s="700">
        <f>J27</f>
        <v>100</v>
      </c>
      <c r="X27" s="701"/>
      <c r="Y27" s="3682"/>
      <c r="Z27" s="52">
        <f>Q27</f>
        <v>111</v>
      </c>
      <c r="AA27" s="1349">
        <f>D27/F27</f>
        <v>1</v>
      </c>
      <c r="AB27" s="1349">
        <f>D27/H27</f>
        <v>1</v>
      </c>
      <c r="AC27" s="1349">
        <f>D27/J27</f>
        <v>1</v>
      </c>
    </row>
    <row r="28" spans="1:29" ht="15.6"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682"/>
      <c r="Q28" s="1348">
        <f t="shared" si="11"/>
        <v>111</v>
      </c>
      <c r="R28" s="703" t="s">
        <v>14</v>
      </c>
      <c r="S28" s="704">
        <f t="shared" ref="S28:S40" si="12">F28</f>
        <v>100</v>
      </c>
      <c r="T28" s="703" t="s">
        <v>14</v>
      </c>
      <c r="U28" s="704">
        <f t="shared" ref="U28:U40" si="13">H28</f>
        <v>100</v>
      </c>
      <c r="V28" s="703" t="s">
        <v>14</v>
      </c>
      <c r="W28" s="704">
        <f t="shared" ref="W28:W40" si="14">J28</f>
        <v>100</v>
      </c>
      <c r="X28" s="1351"/>
      <c r="Y28" s="3682"/>
      <c r="Z28" s="1352">
        <f t="shared" ref="Z28:Z40" si="15">Q28</f>
        <v>111</v>
      </c>
      <c r="AA28" s="1349">
        <f t="shared" si="3"/>
        <v>1</v>
      </c>
      <c r="AB28" s="1349">
        <f t="shared" si="4"/>
        <v>1</v>
      </c>
      <c r="AC28" s="1349">
        <f t="shared" si="5"/>
        <v>1</v>
      </c>
    </row>
    <row r="29" spans="1:29" ht="30">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730" t="s">
        <v>1696</v>
      </c>
      <c r="Q29" s="1348" t="str">
        <f t="shared" si="11"/>
        <v>建筑类型</v>
      </c>
      <c r="R29" s="703" t="s">
        <v>14</v>
      </c>
      <c r="S29" s="704">
        <f t="shared" si="12"/>
        <v>100</v>
      </c>
      <c r="T29" s="703" t="s">
        <v>14</v>
      </c>
      <c r="U29" s="704">
        <f t="shared" si="13"/>
        <v>100</v>
      </c>
      <c r="V29" s="703" t="s">
        <v>14</v>
      </c>
      <c r="W29" s="704">
        <f t="shared" si="14"/>
        <v>100</v>
      </c>
      <c r="X29" s="1351"/>
      <c r="Y29" s="3686"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686"/>
      <c r="Q30" s="705" t="str">
        <f t="shared" si="11"/>
        <v>项目建筑规模</v>
      </c>
      <c r="R30" s="706" t="s">
        <v>14</v>
      </c>
      <c r="S30" s="707" t="e">
        <f t="shared" si="12"/>
        <v>#N/A</v>
      </c>
      <c r="T30" s="706" t="s">
        <v>14</v>
      </c>
      <c r="U30" s="707" t="e">
        <f t="shared" si="13"/>
        <v>#N/A</v>
      </c>
      <c r="V30" s="706" t="s">
        <v>14</v>
      </c>
      <c r="W30" s="707" t="e">
        <f t="shared" si="14"/>
        <v>#N/A</v>
      </c>
      <c r="X30" s="708"/>
      <c r="Y30" s="3686"/>
      <c r="Z30" s="709"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686"/>
      <c r="Q31" s="1348" t="str">
        <f t="shared" si="11"/>
        <v>建筑结构</v>
      </c>
      <c r="R31" s="703" t="s">
        <v>14</v>
      </c>
      <c r="S31" s="704">
        <f t="shared" si="12"/>
        <v>100</v>
      </c>
      <c r="T31" s="703" t="s">
        <v>14</v>
      </c>
      <c r="U31" s="704">
        <f t="shared" si="13"/>
        <v>100</v>
      </c>
      <c r="V31" s="703" t="s">
        <v>14</v>
      </c>
      <c r="W31" s="704">
        <f t="shared" si="14"/>
        <v>100</v>
      </c>
      <c r="X31" s="1351"/>
      <c r="Y31" s="3686"/>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686"/>
      <c r="Q32" s="1348" t="str">
        <f t="shared" si="11"/>
        <v>公共部分装修</v>
      </c>
      <c r="R32" s="703" t="s">
        <v>14</v>
      </c>
      <c r="S32" s="704">
        <f t="shared" si="12"/>
        <v>100</v>
      </c>
      <c r="T32" s="703" t="s">
        <v>14</v>
      </c>
      <c r="U32" s="704">
        <f t="shared" si="13"/>
        <v>100</v>
      </c>
      <c r="V32" s="703" t="s">
        <v>14</v>
      </c>
      <c r="W32" s="704">
        <f t="shared" si="14"/>
        <v>100</v>
      </c>
      <c r="X32" s="1351"/>
      <c r="Y32" s="3686"/>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686"/>
      <c r="Q33" s="1348" t="str">
        <f t="shared" si="11"/>
        <v>成新度</v>
      </c>
      <c r="R33" s="703" t="s">
        <v>14</v>
      </c>
      <c r="S33" s="704" t="e">
        <f t="shared" si="12"/>
        <v>#N/A</v>
      </c>
      <c r="T33" s="703" t="s">
        <v>14</v>
      </c>
      <c r="U33" s="704" t="e">
        <f t="shared" si="13"/>
        <v>#N/A</v>
      </c>
      <c r="V33" s="703" t="s">
        <v>14</v>
      </c>
      <c r="W33" s="704" t="e">
        <f t="shared" si="14"/>
        <v>#N/A</v>
      </c>
      <c r="X33" s="1351"/>
      <c r="Y33" s="3686"/>
      <c r="Z33" s="1352" t="str">
        <f t="shared" si="15"/>
        <v>成新度</v>
      </c>
      <c r="AA33" s="1349" t="e">
        <f t="shared" si="3"/>
        <v>#N/A</v>
      </c>
      <c r="AB33" s="1349" t="e">
        <f t="shared" si="4"/>
        <v>#N/A</v>
      </c>
      <c r="AC33" s="1349"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686"/>
      <c r="Q34" s="1339" t="str">
        <f t="shared" si="11"/>
        <v>物业管理</v>
      </c>
      <c r="R34" s="699" t="s">
        <v>14</v>
      </c>
      <c r="S34" s="700">
        <f t="shared" si="12"/>
        <v>100</v>
      </c>
      <c r="T34" s="699" t="s">
        <v>14</v>
      </c>
      <c r="U34" s="700">
        <f t="shared" si="13"/>
        <v>100</v>
      </c>
      <c r="V34" s="699" t="s">
        <v>14</v>
      </c>
      <c r="W34" s="700">
        <f t="shared" si="14"/>
        <v>100</v>
      </c>
      <c r="X34" s="701"/>
      <c r="Y34" s="3686"/>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686" t="s">
        <v>1696</v>
      </c>
      <c r="Q35" s="1348" t="str">
        <f t="shared" si="11"/>
        <v>市政基础设施</v>
      </c>
      <c r="R35" s="703" t="s">
        <v>14</v>
      </c>
      <c r="S35" s="704">
        <f t="shared" si="12"/>
        <v>100</v>
      </c>
      <c r="T35" s="703" t="s">
        <v>14</v>
      </c>
      <c r="U35" s="704">
        <f t="shared" si="13"/>
        <v>100</v>
      </c>
      <c r="V35" s="703" t="s">
        <v>14</v>
      </c>
      <c r="W35" s="704">
        <f t="shared" si="14"/>
        <v>100</v>
      </c>
      <c r="X35" s="1351"/>
      <c r="Y35" s="3686"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686"/>
      <c r="Q36" s="1348" t="str">
        <f t="shared" si="11"/>
        <v>内部装修</v>
      </c>
      <c r="R36" s="703" t="s">
        <v>14</v>
      </c>
      <c r="S36" s="704">
        <f t="shared" si="12"/>
        <v>100</v>
      </c>
      <c r="T36" s="703" t="s">
        <v>14</v>
      </c>
      <c r="U36" s="704">
        <f t="shared" si="13"/>
        <v>100</v>
      </c>
      <c r="V36" s="703" t="s">
        <v>14</v>
      </c>
      <c r="W36" s="704">
        <f t="shared" si="14"/>
        <v>100</v>
      </c>
      <c r="X36" s="1351"/>
      <c r="Y36" s="3686"/>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686"/>
      <c r="Q37" s="1348" t="str">
        <f t="shared" si="11"/>
        <v>内部装修状况</v>
      </c>
      <c r="R37" s="703" t="s">
        <v>14</v>
      </c>
      <c r="S37" s="704">
        <f t="shared" si="12"/>
        <v>100</v>
      </c>
      <c r="T37" s="703" t="s">
        <v>14</v>
      </c>
      <c r="U37" s="704">
        <f t="shared" si="13"/>
        <v>100</v>
      </c>
      <c r="V37" s="703" t="s">
        <v>14</v>
      </c>
      <c r="W37" s="704">
        <f t="shared" si="14"/>
        <v>100</v>
      </c>
      <c r="X37" s="1351"/>
      <c r="Y37" s="3686"/>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686"/>
      <c r="Q38" s="705">
        <f t="shared" si="11"/>
        <v>111</v>
      </c>
      <c r="R38" s="706" t="s">
        <v>14</v>
      </c>
      <c r="S38" s="707">
        <f t="shared" si="12"/>
        <v>100</v>
      </c>
      <c r="T38" s="706" t="s">
        <v>14</v>
      </c>
      <c r="U38" s="707">
        <f t="shared" si="13"/>
        <v>100</v>
      </c>
      <c r="V38" s="706" t="s">
        <v>14</v>
      </c>
      <c r="W38" s="707">
        <f t="shared" si="14"/>
        <v>100</v>
      </c>
      <c r="X38" s="708"/>
      <c r="Y38" s="3686"/>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686"/>
      <c r="Q39" s="1348">
        <f t="shared" si="11"/>
        <v>111</v>
      </c>
      <c r="R39" s="703" t="s">
        <v>14</v>
      </c>
      <c r="S39" s="704">
        <f t="shared" si="12"/>
        <v>100</v>
      </c>
      <c r="T39" s="703" t="s">
        <v>14</v>
      </c>
      <c r="U39" s="704">
        <f t="shared" si="13"/>
        <v>100</v>
      </c>
      <c r="V39" s="703" t="s">
        <v>14</v>
      </c>
      <c r="W39" s="704">
        <f t="shared" si="14"/>
        <v>100</v>
      </c>
      <c r="X39" s="1351"/>
      <c r="Y39" s="3686"/>
      <c r="Z39" s="1352">
        <f t="shared" si="15"/>
        <v>111</v>
      </c>
      <c r="AA39" s="1349">
        <f t="shared" si="3"/>
        <v>1</v>
      </c>
      <c r="AB39" s="1349">
        <f t="shared" si="4"/>
        <v>1</v>
      </c>
      <c r="AC39" s="1349">
        <f t="shared" si="5"/>
        <v>1</v>
      </c>
    </row>
    <row r="40" spans="1:29" ht="15.6"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687"/>
      <c r="Q40" s="1348">
        <f t="shared" si="11"/>
        <v>111</v>
      </c>
      <c r="R40" s="703" t="s">
        <v>14</v>
      </c>
      <c r="S40" s="704">
        <f t="shared" si="12"/>
        <v>100</v>
      </c>
      <c r="T40" s="703" t="s">
        <v>14</v>
      </c>
      <c r="U40" s="704">
        <f t="shared" si="13"/>
        <v>100</v>
      </c>
      <c r="V40" s="703" t="s">
        <v>14</v>
      </c>
      <c r="W40" s="704">
        <f t="shared" si="14"/>
        <v>100</v>
      </c>
      <c r="X40" s="1351"/>
      <c r="Y40" s="3687"/>
      <c r="Z40" s="1352">
        <f t="shared" si="15"/>
        <v>111</v>
      </c>
      <c r="AA40" s="1349">
        <f t="shared" si="3"/>
        <v>1</v>
      </c>
      <c r="AB40" s="1349">
        <f t="shared" si="4"/>
        <v>1</v>
      </c>
      <c r="AC40" s="1349">
        <f t="shared" si="5"/>
        <v>1</v>
      </c>
    </row>
    <row r="41" spans="1:29" ht="14.4">
      <c r="A41" s="429" t="s">
        <v>1708</v>
      </c>
      <c r="B41" s="430"/>
      <c r="C41" s="1150" t="s">
        <v>0</v>
      </c>
      <c r="D41" s="1151"/>
      <c r="E41" s="1152"/>
      <c r="F41" s="1153"/>
      <c r="G41" s="1154"/>
      <c r="H41" s="1155"/>
      <c r="I41" s="1152"/>
      <c r="J41" s="1155"/>
      <c r="K41" s="712"/>
      <c r="L41" s="924"/>
      <c r="M41" s="925"/>
      <c r="N41" s="912"/>
      <c r="O41" s="925"/>
      <c r="P41" s="3688" t="str">
        <f>A41</f>
        <v>成交单价（元/平方米）</v>
      </c>
      <c r="Q41" s="3688"/>
      <c r="R41" s="3689">
        <f>E41</f>
        <v>0</v>
      </c>
      <c r="S41" s="3689"/>
      <c r="T41" s="3689">
        <f>G41</f>
        <v>0</v>
      </c>
      <c r="U41" s="3689"/>
      <c r="V41" s="3689">
        <f>I41</f>
        <v>0</v>
      </c>
      <c r="W41" s="3689"/>
      <c r="X41" s="688"/>
      <c r="Y41" s="710"/>
      <c r="Z41" s="688"/>
      <c r="AA41" s="688"/>
      <c r="AB41" s="688"/>
      <c r="AC41" s="688"/>
    </row>
    <row r="42" spans="1:29" ht="15" thickBot="1">
      <c r="A42" s="436" t="s">
        <v>1793</v>
      </c>
      <c r="B42" s="437"/>
      <c r="C42" s="1156" t="e">
        <f>R43</f>
        <v>#DIV/0!</v>
      </c>
      <c r="D42" s="2313" t="s">
        <v>2138</v>
      </c>
      <c r="E42" s="1157" t="e">
        <f>R42</f>
        <v>#DIV/0!</v>
      </c>
      <c r="F42" s="2314"/>
      <c r="G42" s="1156" t="e">
        <f>T42</f>
        <v>#DIV/0!</v>
      </c>
      <c r="H42" s="2314"/>
      <c r="I42" s="1157" t="e">
        <f>V42</f>
        <v>#DIV/0!</v>
      </c>
      <c r="J42" s="2314"/>
      <c r="K42" s="2316">
        <f>F42+H42+J42</f>
        <v>0</v>
      </c>
      <c r="L42" s="924"/>
      <c r="M42" s="925"/>
      <c r="N42" s="912"/>
      <c r="O42" s="925"/>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88"/>
      <c r="Y42" s="688"/>
      <c r="Z42" s="688"/>
      <c r="AA42" s="688"/>
      <c r="AB42" s="688"/>
      <c r="AC42" s="688"/>
    </row>
    <row r="43" spans="1:29" ht="15" thickBot="1">
      <c r="A43" s="440" t="s">
        <v>1794</v>
      </c>
      <c r="B43" s="441"/>
      <c r="C43" s="1159" t="e">
        <f>R43</f>
        <v>#DIV/0!</v>
      </c>
      <c r="D43" s="1159"/>
      <c r="E43" s="1159"/>
      <c r="F43" s="1159"/>
      <c r="G43" s="1159"/>
      <c r="H43" s="1159"/>
      <c r="I43" s="1159"/>
      <c r="J43" s="1159"/>
      <c r="K43" s="713"/>
      <c r="L43" s="924"/>
      <c r="M43" s="925"/>
      <c r="N43" s="925"/>
      <c r="O43" s="925"/>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88"/>
      <c r="Y43" s="688"/>
      <c r="Z43" s="688"/>
      <c r="AA43" s="688"/>
      <c r="AB43" s="688"/>
      <c r="AC43" s="688"/>
    </row>
    <row r="44" spans="1:29">
      <c r="A44" s="2720"/>
      <c r="B44" s="2720"/>
      <c r="C44" s="2720"/>
      <c r="D44" s="2720"/>
      <c r="E44" s="2720"/>
      <c r="F44" s="2720"/>
      <c r="G44" s="2724"/>
      <c r="H44" s="2720"/>
      <c r="I44" s="2720"/>
      <c r="J44" s="2720"/>
      <c r="K44" s="2725"/>
      <c r="L44" s="887"/>
      <c r="M44" s="925"/>
      <c r="N44" s="925"/>
      <c r="O44" s="925"/>
    </row>
    <row r="45" spans="1:29">
      <c r="A45" s="2720"/>
      <c r="B45" s="2720"/>
      <c r="C45" s="2720"/>
      <c r="D45" s="2720"/>
      <c r="E45" s="2720"/>
      <c r="F45" s="2720"/>
      <c r="G45" s="2720"/>
      <c r="H45" s="2720"/>
      <c r="I45" s="2720"/>
      <c r="J45" s="2720"/>
      <c r="K45" s="2725"/>
      <c r="L45" s="887"/>
      <c r="M45" s="925"/>
      <c r="N45" s="925"/>
      <c r="O45" s="925"/>
    </row>
    <row r="46" spans="1:29"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7"/>
      <c r="M46" s="925"/>
      <c r="N46" s="925"/>
      <c r="O46" s="925"/>
    </row>
    <row r="47" spans="1:29"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7"/>
      <c r="M47" s="925"/>
      <c r="N47" s="925"/>
      <c r="O47" s="925"/>
    </row>
    <row r="48" spans="1:29"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8"/>
      <c r="M48" s="926"/>
      <c r="N48" s="926"/>
      <c r="O48" s="926"/>
    </row>
    <row r="49" spans="1:17" s="450" customFormat="1">
      <c r="A49" s="2723"/>
      <c r="B49" s="2726"/>
      <c r="C49" s="2727"/>
      <c r="D49" s="2723"/>
      <c r="E49" s="2723"/>
      <c r="F49" s="2723"/>
      <c r="G49" s="2723"/>
      <c r="H49" s="2723"/>
      <c r="I49" s="2723"/>
      <c r="J49" s="2723"/>
      <c r="K49" s="2728"/>
      <c r="L49" s="928"/>
      <c r="M49" s="926"/>
      <c r="N49" s="926"/>
      <c r="O49" s="926"/>
    </row>
    <row r="50" spans="1:17">
      <c r="A50" s="2720"/>
      <c r="B50" s="2726"/>
      <c r="C50" s="2727"/>
      <c r="D50" s="2720"/>
      <c r="E50" s="2720"/>
      <c r="F50" s="2720"/>
      <c r="G50" s="2720"/>
      <c r="H50" s="2720"/>
      <c r="I50" s="2720"/>
      <c r="J50" s="2720"/>
      <c r="K50" s="2725"/>
      <c r="L50" s="887"/>
      <c r="M50" s="925"/>
      <c r="N50" s="925"/>
      <c r="O50" s="925"/>
    </row>
    <row r="51" spans="1:17" ht="22.2" thickBot="1">
      <c r="A51" s="692" t="s">
        <v>1798</v>
      </c>
      <c r="B51" s="688"/>
      <c r="C51" s="693"/>
      <c r="D51" s="693"/>
      <c r="E51" s="693"/>
      <c r="F51" s="694"/>
      <c r="G51" s="694"/>
      <c r="H51" s="693"/>
      <c r="I51" s="693"/>
      <c r="J51" s="693"/>
      <c r="K51" s="939"/>
      <c r="L51" s="940"/>
      <c r="M51" s="938"/>
      <c r="N51" s="938"/>
      <c r="O51" s="938"/>
      <c r="P51" s="451"/>
      <c r="Q51" s="452"/>
    </row>
    <row r="52" spans="1:17" s="456" customFormat="1" ht="14.4">
      <c r="A52" s="453" t="s">
        <v>1679</v>
      </c>
      <c r="B52" s="454"/>
      <c r="C52" s="1180" t="str">
        <f>YEAR(C7)&amp;"-"&amp;MONTH(C7)</f>
        <v>2023-7</v>
      </c>
      <c r="D52" s="1181">
        <f>EDATE(C52,-1)</f>
        <v>45078</v>
      </c>
      <c r="E52" s="1181">
        <f t="shared" ref="E52:O52" si="16">EDATE(D52,-1)</f>
        <v>45047</v>
      </c>
      <c r="F52" s="1181">
        <f t="shared" si="16"/>
        <v>45017</v>
      </c>
      <c r="G52" s="1181">
        <f t="shared" si="16"/>
        <v>44986</v>
      </c>
      <c r="H52" s="1181">
        <f t="shared" si="16"/>
        <v>44958</v>
      </c>
      <c r="I52" s="1181">
        <f t="shared" si="16"/>
        <v>44927</v>
      </c>
      <c r="J52" s="1181">
        <f t="shared" si="16"/>
        <v>44896</v>
      </c>
      <c r="K52" s="1181">
        <f t="shared" si="16"/>
        <v>44866</v>
      </c>
      <c r="L52" s="1181">
        <f t="shared" si="16"/>
        <v>44835</v>
      </c>
      <c r="M52" s="1181">
        <f t="shared" si="16"/>
        <v>44805</v>
      </c>
      <c r="N52" s="1181">
        <f t="shared" si="16"/>
        <v>44774</v>
      </c>
      <c r="O52" s="1181">
        <f t="shared" si="16"/>
        <v>44743</v>
      </c>
      <c r="P52" s="455"/>
    </row>
    <row r="53" spans="1:17" s="108" customFormat="1">
      <c r="A53" s="457"/>
      <c r="B53" s="458"/>
      <c r="C53" s="1179">
        <v>100</v>
      </c>
      <c r="D53" s="460"/>
      <c r="E53" s="460"/>
      <c r="F53" s="460"/>
      <c r="G53" s="460"/>
      <c r="H53" s="460"/>
      <c r="I53" s="460"/>
      <c r="J53" s="460"/>
      <c r="K53" s="460"/>
      <c r="L53" s="460"/>
      <c r="M53" s="461"/>
      <c r="N53" s="460"/>
      <c r="O53" s="462"/>
      <c r="P53" s="452"/>
    </row>
    <row r="54" spans="1:17" s="108" customFormat="1" ht="15" thickBot="1">
      <c r="A54" s="463" t="s">
        <v>1716</v>
      </c>
      <c r="B54" s="464"/>
      <c r="C54" s="465"/>
      <c r="D54" s="466"/>
      <c r="E54" s="466"/>
      <c r="F54" s="466"/>
      <c r="G54" s="466"/>
      <c r="H54" s="466"/>
      <c r="I54" s="466"/>
      <c r="J54" s="466"/>
      <c r="K54" s="466"/>
      <c r="L54" s="466"/>
      <c r="M54" s="467"/>
      <c r="N54" s="2765"/>
      <c r="O54" s="2766"/>
      <c r="P54" s="452"/>
      <c r="Q54" s="452"/>
    </row>
    <row r="55" spans="1:17" s="108" customFormat="1" ht="14.4">
      <c r="A55" s="469" t="s">
        <v>1681</v>
      </c>
      <c r="B55" s="458"/>
      <c r="C55" s="470" t="s">
        <v>1776</v>
      </c>
      <c r="D55" s="471"/>
      <c r="E55" s="471"/>
      <c r="F55" s="471"/>
      <c r="G55" s="471"/>
      <c r="H55" s="471"/>
      <c r="I55" s="471"/>
      <c r="J55" s="471"/>
      <c r="K55" s="471"/>
      <c r="L55" s="472"/>
      <c r="M55" s="473"/>
      <c r="N55" s="930"/>
      <c r="O55" s="930"/>
      <c r="P55" s="474"/>
      <c r="Q55" s="452"/>
    </row>
    <row r="56" spans="1:17" s="108" customFormat="1" ht="14.4" thickBot="1">
      <c r="A56" s="469"/>
      <c r="B56" s="458"/>
      <c r="C56" s="586">
        <v>100</v>
      </c>
      <c r="D56" s="460"/>
      <c r="E56" s="460"/>
      <c r="F56" s="460"/>
      <c r="G56" s="460"/>
      <c r="H56" s="460"/>
      <c r="I56" s="460"/>
      <c r="J56" s="460"/>
      <c r="K56" s="460"/>
      <c r="L56" s="460"/>
      <c r="M56" s="462"/>
      <c r="N56" s="930"/>
      <c r="O56" s="930"/>
      <c r="P56" s="452"/>
      <c r="Q56" s="452"/>
    </row>
    <row r="57" spans="1:17" ht="14.4">
      <c r="A57" s="475" t="s">
        <v>1719</v>
      </c>
      <c r="B57" s="476" t="s">
        <v>1685</v>
      </c>
      <c r="C57" s="477">
        <f>C9</f>
        <v>0</v>
      </c>
      <c r="D57" s="478"/>
      <c r="E57" s="478"/>
      <c r="F57" s="478"/>
      <c r="G57" s="478"/>
      <c r="H57" s="478"/>
      <c r="I57" s="478"/>
      <c r="J57" s="478"/>
      <c r="K57" s="479"/>
      <c r="L57" s="480"/>
      <c r="M57" s="481"/>
      <c r="N57" s="931"/>
      <c r="O57" s="931"/>
      <c r="P57" s="42"/>
      <c r="Q57" s="452"/>
    </row>
    <row r="58" spans="1:17" ht="14.4" thickBot="1">
      <c r="A58" s="482"/>
      <c r="B58" s="483"/>
      <c r="C58" s="484">
        <v>100</v>
      </c>
      <c r="D58" s="484"/>
      <c r="E58" s="484"/>
      <c r="F58" s="484"/>
      <c r="G58" s="484"/>
      <c r="H58" s="484"/>
      <c r="I58" s="484"/>
      <c r="J58" s="484"/>
      <c r="K58" s="484"/>
      <c r="L58" s="484"/>
      <c r="M58" s="485"/>
      <c r="N58" s="932"/>
      <c r="O58" s="932"/>
      <c r="P58" s="42"/>
      <c r="Q58" s="452"/>
    </row>
    <row r="59" spans="1:17" ht="29.4" thickTop="1">
      <c r="A59" s="482"/>
      <c r="B59" s="486" t="s">
        <v>1688</v>
      </c>
      <c r="C59" s="531"/>
      <c r="D59" s="531"/>
      <c r="E59" s="531"/>
      <c r="F59" s="531"/>
      <c r="G59" s="531"/>
      <c r="H59" s="531"/>
      <c r="I59" s="531"/>
      <c r="J59" s="531"/>
      <c r="K59" s="532"/>
      <c r="L59" s="533"/>
      <c r="M59" s="534"/>
      <c r="N59" s="931"/>
      <c r="O59" s="931"/>
      <c r="P59" s="42"/>
      <c r="Q59" s="452"/>
    </row>
    <row r="60" spans="1:17" ht="14.4" thickBot="1">
      <c r="A60" s="482"/>
      <c r="B60" s="491"/>
      <c r="C60" s="484"/>
      <c r="D60" s="484"/>
      <c r="E60" s="484"/>
      <c r="F60" s="484"/>
      <c r="G60" s="484"/>
      <c r="H60" s="484"/>
      <c r="I60" s="484"/>
      <c r="J60" s="484"/>
      <c r="K60" s="484"/>
      <c r="L60" s="484"/>
      <c r="M60" s="485"/>
      <c r="N60" s="932"/>
      <c r="O60" s="932"/>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c r="A62" s="482"/>
      <c r="B62" s="496"/>
      <c r="C62" s="497">
        <v>0</v>
      </c>
      <c r="D62" s="497">
        <v>2</v>
      </c>
      <c r="E62" s="497"/>
      <c r="F62" s="497"/>
      <c r="G62" s="497"/>
      <c r="H62" s="497"/>
      <c r="I62" s="497"/>
      <c r="J62" s="497"/>
      <c r="K62" s="498"/>
      <c r="L62" s="499"/>
      <c r="M62" s="500"/>
      <c r="N62" s="931"/>
      <c r="O62" s="931"/>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4.4" thickTop="1">
      <c r="A64" s="501"/>
      <c r="B64" s="486">
        <f>B12</f>
        <v>111</v>
      </c>
      <c r="C64" s="502"/>
      <c r="D64" s="502"/>
      <c r="E64" s="502"/>
      <c r="F64" s="502"/>
      <c r="G64" s="502"/>
      <c r="H64" s="503"/>
      <c r="I64" s="503"/>
      <c r="J64" s="503"/>
      <c r="K64" s="503"/>
      <c r="L64" s="504"/>
      <c r="M64" s="505"/>
      <c r="N64" s="933"/>
      <c r="O64" s="933"/>
      <c r="P64" s="506"/>
      <c r="Q64" s="507"/>
    </row>
    <row r="65" spans="1:17" s="421" customFormat="1" ht="14.4" thickBot="1">
      <c r="A65" s="501"/>
      <c r="B65" s="491"/>
      <c r="C65" s="508"/>
      <c r="D65" s="484"/>
      <c r="E65" s="484"/>
      <c r="F65" s="484"/>
      <c r="G65" s="484"/>
      <c r="H65" s="484"/>
      <c r="I65" s="484"/>
      <c r="J65" s="484"/>
      <c r="K65" s="484"/>
      <c r="L65" s="484"/>
      <c r="M65" s="485"/>
      <c r="N65" s="932"/>
      <c r="O65" s="932"/>
      <c r="P65" s="506"/>
      <c r="Q65" s="507"/>
    </row>
    <row r="66" spans="1:17" s="421" customFormat="1" ht="14.4" thickTop="1">
      <c r="A66" s="501"/>
      <c r="B66" s="486">
        <f>B13</f>
        <v>111</v>
      </c>
      <c r="C66" s="502"/>
      <c r="D66" s="502"/>
      <c r="E66" s="502"/>
      <c r="F66" s="502"/>
      <c r="G66" s="502"/>
      <c r="H66" s="503"/>
      <c r="I66" s="503"/>
      <c r="J66" s="503"/>
      <c r="K66" s="503"/>
      <c r="L66" s="504"/>
      <c r="M66" s="505"/>
      <c r="N66" s="933"/>
      <c r="O66" s="933"/>
      <c r="P66" s="420"/>
      <c r="Q66" s="509"/>
    </row>
    <row r="67" spans="1:17" s="421" customFormat="1" ht="14.4" thickBot="1">
      <c r="A67" s="501"/>
      <c r="B67" s="491"/>
      <c r="C67" s="508"/>
      <c r="D67" s="484"/>
      <c r="E67" s="484"/>
      <c r="F67" s="484"/>
      <c r="G67" s="508"/>
      <c r="H67" s="510"/>
      <c r="I67" s="510"/>
      <c r="J67" s="510"/>
      <c r="K67" s="510"/>
      <c r="L67" s="510"/>
      <c r="M67" s="511"/>
      <c r="N67" s="933"/>
      <c r="O67" s="933"/>
      <c r="P67" s="506"/>
      <c r="Q67" s="507"/>
    </row>
    <row r="68" spans="1:17" s="421" customFormat="1" ht="14.4" thickTop="1">
      <c r="A68" s="501"/>
      <c r="B68" s="494">
        <f>B14</f>
        <v>111</v>
      </c>
      <c r="C68" s="471"/>
      <c r="D68" s="471"/>
      <c r="E68" s="471"/>
      <c r="F68" s="471"/>
      <c r="G68" s="471"/>
      <c r="H68" s="512"/>
      <c r="I68" s="512"/>
      <c r="J68" s="512"/>
      <c r="K68" s="512"/>
      <c r="L68" s="513"/>
      <c r="M68" s="514"/>
      <c r="N68" s="933"/>
      <c r="O68" s="933"/>
      <c r="P68" s="515"/>
      <c r="Q68" s="507"/>
    </row>
    <row r="69" spans="1:17" s="421" customFormat="1" ht="14.4" thickBot="1">
      <c r="A69" s="516"/>
      <c r="B69" s="517"/>
      <c r="C69" s="518"/>
      <c r="D69" s="518"/>
      <c r="E69" s="518"/>
      <c r="F69" s="518"/>
      <c r="G69" s="518"/>
      <c r="H69" s="519"/>
      <c r="I69" s="519"/>
      <c r="J69" s="519"/>
      <c r="K69" s="519"/>
      <c r="L69" s="519"/>
      <c r="M69" s="520"/>
      <c r="N69" s="933"/>
      <c r="O69" s="933"/>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5"/>
      <c r="N76" s="932"/>
      <c r="O76" s="932"/>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4.4" thickTop="1">
      <c r="A80" s="527"/>
      <c r="B80" s="486">
        <f>B25</f>
        <v>111</v>
      </c>
      <c r="C80" s="502"/>
      <c r="D80" s="502"/>
      <c r="E80" s="502"/>
      <c r="F80" s="502"/>
      <c r="G80" s="502"/>
      <c r="H80" s="502"/>
      <c r="I80" s="502"/>
      <c r="J80" s="502"/>
      <c r="K80" s="502"/>
      <c r="L80" s="528"/>
      <c r="M80" s="529"/>
      <c r="N80" s="930"/>
      <c r="O80" s="930"/>
      <c r="P80" s="42"/>
      <c r="Q80" s="452"/>
    </row>
    <row r="81" spans="1:17" s="108" customFormat="1" ht="14.4" thickBot="1">
      <c r="A81" s="527"/>
      <c r="B81" s="491"/>
      <c r="C81" s="508"/>
      <c r="D81" s="484"/>
      <c r="E81" s="484"/>
      <c r="F81" s="484"/>
      <c r="G81" s="484"/>
      <c r="H81" s="484"/>
      <c r="I81" s="484"/>
      <c r="J81" s="484"/>
      <c r="K81" s="484"/>
      <c r="L81" s="484"/>
      <c r="M81" s="485"/>
      <c r="N81" s="932"/>
      <c r="O81" s="932"/>
      <c r="P81" s="42"/>
      <c r="Q81" s="452"/>
    </row>
    <row r="82" spans="1:17" s="108" customFormat="1" ht="14.4" thickTop="1">
      <c r="A82" s="527"/>
      <c r="B82" s="486">
        <f>B26</f>
        <v>111</v>
      </c>
      <c r="C82" s="502"/>
      <c r="D82" s="502"/>
      <c r="E82" s="502"/>
      <c r="F82" s="502"/>
      <c r="G82" s="502"/>
      <c r="H82" s="502"/>
      <c r="I82" s="502"/>
      <c r="J82" s="502"/>
      <c r="K82" s="502"/>
      <c r="L82" s="528"/>
      <c r="M82" s="529"/>
      <c r="N82" s="930"/>
      <c r="O82" s="930"/>
      <c r="P82" s="42"/>
      <c r="Q82" s="452"/>
    </row>
    <row r="83" spans="1:17" s="108" customFormat="1" ht="14.4" thickBot="1">
      <c r="A83" s="527"/>
      <c r="B83" s="491"/>
      <c r="C83" s="508"/>
      <c r="D83" s="484"/>
      <c r="E83" s="484"/>
      <c r="F83" s="484"/>
      <c r="G83" s="484"/>
      <c r="H83" s="484"/>
      <c r="I83" s="484"/>
      <c r="J83" s="484"/>
      <c r="K83" s="484"/>
      <c r="L83" s="484"/>
      <c r="M83" s="485"/>
      <c r="N83" s="932"/>
      <c r="O83" s="932"/>
      <c r="P83" s="42"/>
      <c r="Q83" s="452"/>
    </row>
    <row r="84" spans="1:17" s="421" customFormat="1" ht="14.4" thickTop="1">
      <c r="A84" s="501"/>
      <c r="B84" s="486">
        <f>B27</f>
        <v>111</v>
      </c>
      <c r="C84" s="502"/>
      <c r="D84" s="502"/>
      <c r="E84" s="502"/>
      <c r="F84" s="502"/>
      <c r="G84" s="502"/>
      <c r="H84" s="502"/>
      <c r="I84" s="502"/>
      <c r="J84" s="502"/>
      <c r="K84" s="502"/>
      <c r="L84" s="528"/>
      <c r="M84" s="529"/>
      <c r="N84" s="933"/>
      <c r="O84" s="933"/>
      <c r="P84" s="506"/>
      <c r="Q84" s="507"/>
    </row>
    <row r="85" spans="1:17" s="421" customFormat="1" ht="14.4" thickBot="1">
      <c r="A85" s="501"/>
      <c r="B85" s="491"/>
      <c r="C85" s="508"/>
      <c r="D85" s="484"/>
      <c r="E85" s="484"/>
      <c r="F85" s="484"/>
      <c r="G85" s="484"/>
      <c r="H85" s="484"/>
      <c r="I85" s="484"/>
      <c r="J85" s="484"/>
      <c r="K85" s="484"/>
      <c r="L85" s="484"/>
      <c r="M85" s="485"/>
      <c r="N85" s="933"/>
      <c r="O85" s="933"/>
      <c r="P85" s="506"/>
      <c r="Q85" s="507"/>
    </row>
    <row r="86" spans="1:17" ht="14.4" thickTop="1">
      <c r="A86" s="482"/>
      <c r="B86" s="494">
        <f>B28</f>
        <v>111</v>
      </c>
      <c r="C86" s="471"/>
      <c r="D86" s="471"/>
      <c r="E86" s="471"/>
      <c r="F86" s="471"/>
      <c r="G86" s="535"/>
      <c r="H86" s="535"/>
      <c r="I86" s="535"/>
      <c r="J86" s="535"/>
      <c r="K86" s="536"/>
      <c r="L86" s="537"/>
      <c r="M86" s="538"/>
      <c r="N86" s="931"/>
      <c r="O86" s="931"/>
      <c r="P86" s="42"/>
      <c r="Q86" s="452"/>
    </row>
    <row r="87" spans="1:17" ht="14.4" thickBot="1">
      <c r="A87" s="1924"/>
      <c r="B87" s="517"/>
      <c r="C87" s="518"/>
      <c r="D87" s="518"/>
      <c r="E87" s="518"/>
      <c r="F87" s="518"/>
      <c r="G87" s="539"/>
      <c r="H87" s="539"/>
      <c r="I87" s="539"/>
      <c r="J87" s="539"/>
      <c r="K87" s="539"/>
      <c r="L87" s="539"/>
      <c r="M87" s="540"/>
      <c r="N87" s="932"/>
      <c r="O87" s="932"/>
      <c r="P87" s="42"/>
      <c r="Q87" s="452"/>
    </row>
    <row r="88" spans="1:17" ht="14.4">
      <c r="A88" s="475" t="s">
        <v>1694</v>
      </c>
      <c r="B88" s="476" t="s">
        <v>1736</v>
      </c>
      <c r="C88" s="478"/>
      <c r="D88" s="478"/>
      <c r="E88" s="478"/>
      <c r="F88" s="478"/>
      <c r="G88" s="478"/>
      <c r="H88" s="478"/>
      <c r="I88" s="478"/>
      <c r="J88" s="478"/>
      <c r="K88" s="479"/>
      <c r="L88" s="480"/>
      <c r="M88" s="481"/>
      <c r="N88" s="931"/>
      <c r="O88" s="931"/>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4.4"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4.4"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4.4" thickBot="1">
      <c r="A109" s="501"/>
      <c r="B109" s="483"/>
      <c r="C109" s="508"/>
      <c r="D109" s="484"/>
      <c r="E109" s="484"/>
      <c r="F109" s="484"/>
      <c r="G109" s="508"/>
      <c r="H109" s="510"/>
      <c r="I109" s="510"/>
      <c r="J109" s="510"/>
      <c r="K109" s="510"/>
      <c r="L109" s="510"/>
      <c r="M109" s="511"/>
      <c r="N109" s="933"/>
      <c r="O109" s="933"/>
      <c r="P109" s="506"/>
      <c r="Q109" s="507"/>
    </row>
    <row r="110" spans="1:17" ht="14.4" thickTop="1">
      <c r="A110" s="547"/>
      <c r="B110" s="486">
        <f>B39</f>
        <v>111</v>
      </c>
      <c r="C110" s="502"/>
      <c r="D110" s="502"/>
      <c r="E110" s="502"/>
      <c r="F110" s="502"/>
      <c r="G110" s="502"/>
      <c r="H110" s="503"/>
      <c r="I110" s="503"/>
      <c r="J110" s="503"/>
      <c r="K110" s="503"/>
      <c r="L110" s="504"/>
      <c r="M110" s="505"/>
      <c r="N110" s="931"/>
      <c r="O110" s="931"/>
      <c r="P110" s="42"/>
      <c r="Q110" s="452"/>
    </row>
    <row r="111" spans="1:17" ht="14.4" thickBot="1">
      <c r="A111" s="482"/>
      <c r="B111" s="491"/>
      <c r="C111" s="508"/>
      <c r="D111" s="484"/>
      <c r="E111" s="484"/>
      <c r="F111" s="484"/>
      <c r="G111" s="508"/>
      <c r="H111" s="510"/>
      <c r="I111" s="510"/>
      <c r="J111" s="510"/>
      <c r="K111" s="510"/>
      <c r="L111" s="510"/>
      <c r="M111" s="511"/>
      <c r="N111" s="932"/>
      <c r="O111" s="932"/>
      <c r="P111" s="42"/>
      <c r="Q111" s="452"/>
    </row>
    <row r="112" spans="1:17" ht="14.4" thickTop="1">
      <c r="A112" s="547"/>
      <c r="B112" s="494">
        <f>B40</f>
        <v>111</v>
      </c>
      <c r="C112" s="471"/>
      <c r="D112" s="471"/>
      <c r="E112" s="471"/>
      <c r="F112" s="471"/>
      <c r="G112" s="535"/>
      <c r="H112" s="535"/>
      <c r="I112" s="535"/>
      <c r="J112" s="535"/>
      <c r="K112" s="471"/>
      <c r="L112" s="472"/>
      <c r="M112" s="538"/>
      <c r="N112" s="931"/>
      <c r="O112" s="931"/>
      <c r="P112" s="42"/>
      <c r="Q112" s="452"/>
    </row>
    <row r="113" spans="1:17" ht="14.4"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1831</v>
      </c>
      <c r="B1" s="1219" t="s">
        <v>3338</v>
      </c>
      <c r="C1" s="1220" t="s">
        <v>1662</v>
      </c>
      <c r="D1" s="1221"/>
      <c r="E1" s="3428"/>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9"/>
      <c r="M2" s="2730"/>
      <c r="N2" s="2730"/>
      <c r="O2" s="2730"/>
      <c r="P2" s="1161"/>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9"/>
      <c r="M3" s="2730" t="e">
        <f ca="1">IF(C2="——",IF(B37="元/平方米",ROUND(C39*D3/10000,0),ROUND(F3*C39/10000,0)),IF(B37="元/平方米",ROUND(C39*D3/10000,0),ROUND(F3*C39/10000,0))-D2)</f>
        <v>#DIV/0!</v>
      </c>
      <c r="N3" s="2730"/>
      <c r="O3" s="2730"/>
      <c r="P3" s="1161"/>
      <c r="Q3" s="697"/>
      <c r="R3" s="697"/>
      <c r="S3" s="697"/>
      <c r="T3" s="697"/>
      <c r="U3" s="697"/>
      <c r="V3" s="697"/>
      <c r="W3" s="697"/>
      <c r="X3" s="697"/>
      <c r="Y3" s="697"/>
      <c r="Z3" s="697"/>
      <c r="AA3" s="697"/>
      <c r="AB3" s="714"/>
      <c r="AC3" s="711"/>
    </row>
    <row r="4" spans="1:29" ht="14.4">
      <c r="A4" s="354" t="s">
        <v>1769</v>
      </c>
      <c r="B4" s="355"/>
      <c r="C4" s="3663" t="s">
        <v>1770</v>
      </c>
      <c r="D4" s="3664"/>
      <c r="E4" s="3665" t="s">
        <v>1771</v>
      </c>
      <c r="F4" s="3666"/>
      <c r="G4" s="3663" t="s">
        <v>1772</v>
      </c>
      <c r="H4" s="3664"/>
      <c r="I4" s="3663" t="s">
        <v>1773</v>
      </c>
      <c r="J4" s="3664"/>
      <c r="K4" s="558" t="s">
        <v>1774</v>
      </c>
      <c r="L4" s="2710"/>
      <c r="M4" s="2711"/>
      <c r="N4" s="2711"/>
      <c r="O4" s="2711"/>
      <c r="P4" s="3723" t="s">
        <v>1775</v>
      </c>
      <c r="Q4" s="3724"/>
      <c r="R4" s="3720" t="s">
        <v>1771</v>
      </c>
      <c r="S4" s="3721"/>
      <c r="T4" s="3720" t="s">
        <v>1772</v>
      </c>
      <c r="U4" s="3721"/>
      <c r="V4" s="3676" t="s">
        <v>1773</v>
      </c>
      <c r="W4" s="3676"/>
      <c r="X4" s="1351"/>
      <c r="Y4" s="3720" t="s">
        <v>1775</v>
      </c>
      <c r="Z4" s="3721"/>
      <c r="AA4" s="3719" t="s">
        <v>1771</v>
      </c>
      <c r="AB4" s="3642" t="s">
        <v>1772</v>
      </c>
      <c r="AC4" s="3719" t="s">
        <v>1773</v>
      </c>
    </row>
    <row r="5" spans="1:29">
      <c r="A5" s="357"/>
      <c r="B5" s="358"/>
      <c r="C5" s="3652" t="s">
        <v>1673</v>
      </c>
      <c r="D5" s="3653"/>
      <c r="E5" s="3722" t="s">
        <v>1674</v>
      </c>
      <c r="F5" s="3651"/>
      <c r="G5" s="3652" t="s">
        <v>1675</v>
      </c>
      <c r="H5" s="3653"/>
      <c r="I5" s="3652" t="s">
        <v>1676</v>
      </c>
      <c r="J5" s="3653"/>
      <c r="K5" s="558"/>
      <c r="L5" s="2710"/>
      <c r="M5" s="2711"/>
      <c r="N5" s="2711"/>
      <c r="O5" s="2711"/>
      <c r="P5" s="3725"/>
      <c r="Q5" s="3670"/>
      <c r="R5" s="3648"/>
      <c r="S5" s="3649"/>
      <c r="T5" s="3648"/>
      <c r="U5" s="3649"/>
      <c r="V5" s="3676"/>
      <c r="W5" s="3676"/>
      <c r="X5" s="1351"/>
      <c r="Y5" s="3648"/>
      <c r="Z5" s="3649"/>
      <c r="AA5" s="3642"/>
      <c r="AB5" s="3642"/>
      <c r="AC5" s="3642"/>
    </row>
    <row r="6" spans="1:29" ht="15" thickBot="1">
      <c r="A6" s="359"/>
      <c r="B6" s="360"/>
      <c r="C6" s="3654" t="s">
        <v>1677</v>
      </c>
      <c r="D6" s="3655"/>
      <c r="E6" s="3657" t="s">
        <v>1677</v>
      </c>
      <c r="F6" s="3658"/>
      <c r="G6" s="3654" t="s">
        <v>1677</v>
      </c>
      <c r="H6" s="3655"/>
      <c r="I6" s="3654" t="s">
        <v>1677</v>
      </c>
      <c r="J6" s="3655"/>
      <c r="K6" s="558" t="s">
        <v>1678</v>
      </c>
      <c r="L6" s="2710"/>
      <c r="M6" s="2711"/>
      <c r="N6" s="2711"/>
      <c r="O6" s="2711"/>
      <c r="P6" s="3726"/>
      <c r="Q6" s="3672"/>
      <c r="R6" s="3648"/>
      <c r="S6" s="3649"/>
      <c r="T6" s="3673"/>
      <c r="U6" s="3674"/>
      <c r="V6" s="3676"/>
      <c r="W6" s="3676"/>
      <c r="X6" s="1351"/>
      <c r="Y6" s="3673"/>
      <c r="Z6" s="3674"/>
      <c r="AA6" s="3643"/>
      <c r="AB6" s="3643"/>
      <c r="AC6" s="3643"/>
    </row>
    <row r="7" spans="1:29" s="108" customFormat="1" ht="15" thickBot="1">
      <c r="A7" s="361" t="s">
        <v>1679</v>
      </c>
      <c r="B7" s="362"/>
      <c r="C7" s="363">
        <f>'数据-取费表'!B2</f>
        <v>45124</v>
      </c>
      <c r="D7" s="364">
        <v>100</v>
      </c>
      <c r="E7" s="365"/>
      <c r="F7" s="366">
        <f>SUMIF(48:48,YEAR(E7)&amp;"-"&amp;MONTH(E7),49:49)</f>
        <v>0</v>
      </c>
      <c r="G7" s="365"/>
      <c r="H7" s="364">
        <f>SUMIF(48:48,YEAR(G7)&amp;"-"&amp;MONTH(G7),49:49)</f>
        <v>0</v>
      </c>
      <c r="I7" s="365"/>
      <c r="J7" s="364">
        <f>SUMIF(48:48,YEAR(I7)&amp;"-"&amp;MONTH(I7),49:49)</f>
        <v>0</v>
      </c>
      <c r="K7" s="559"/>
      <c r="L7" s="2712"/>
      <c r="M7" s="2713"/>
      <c r="N7" s="2713"/>
      <c r="O7" s="2713"/>
      <c r="P7" s="3644" t="s">
        <v>1680</v>
      </c>
      <c r="Q7" s="3678"/>
      <c r="R7" s="699" t="s">
        <v>14</v>
      </c>
      <c r="S7" s="700">
        <f t="shared" ref="S7:S14" si="0">F7</f>
        <v>0</v>
      </c>
      <c r="T7" s="699" t="s">
        <v>14</v>
      </c>
      <c r="U7" s="700">
        <f t="shared" ref="U7:U14" si="1">H7</f>
        <v>0</v>
      </c>
      <c r="V7" s="699" t="s">
        <v>14</v>
      </c>
      <c r="W7" s="700">
        <f t="shared" ref="W7:W14" si="2">J7</f>
        <v>0</v>
      </c>
      <c r="X7" s="701"/>
      <c r="Y7" s="3644" t="s">
        <v>1680</v>
      </c>
      <c r="Z7" s="3645"/>
      <c r="AA7" s="702" t="e">
        <f>D7/F7</f>
        <v>#DIV/0!</v>
      </c>
      <c r="AB7" s="702" t="e">
        <f>D7/H7</f>
        <v>#DIV/0!</v>
      </c>
      <c r="AC7" s="702"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644" t="s">
        <v>1683</v>
      </c>
      <c r="Q8" s="3645"/>
      <c r="R8" s="699" t="s">
        <v>14</v>
      </c>
      <c r="S8" s="700">
        <f t="shared" si="0"/>
        <v>100</v>
      </c>
      <c r="T8" s="699" t="s">
        <v>14</v>
      </c>
      <c r="U8" s="700">
        <f t="shared" si="1"/>
        <v>100</v>
      </c>
      <c r="V8" s="699" t="s">
        <v>14</v>
      </c>
      <c r="W8" s="700">
        <f t="shared" si="2"/>
        <v>100</v>
      </c>
      <c r="X8" s="701"/>
      <c r="Y8" s="3644" t="s">
        <v>1683</v>
      </c>
      <c r="Z8" s="3645"/>
      <c r="AA8" s="702">
        <f t="shared" ref="AA8:AA36" si="3">D8/F8</f>
        <v>1</v>
      </c>
      <c r="AB8" s="702">
        <f t="shared" ref="AB8:AB36" si="4">D8/H8</f>
        <v>1</v>
      </c>
      <c r="AC8" s="702">
        <f t="shared" ref="AC8:AC36" si="5">D8/J8</f>
        <v>1</v>
      </c>
    </row>
    <row r="9" spans="1:29" s="108" customFormat="1" ht="14.4">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688" t="s">
        <v>1686</v>
      </c>
      <c r="Q9" s="1339" t="str">
        <f t="shared" ref="Q9:Q14" si="6">B9</f>
        <v>用途</v>
      </c>
      <c r="R9" s="699" t="s">
        <v>14</v>
      </c>
      <c r="S9" s="700">
        <f t="shared" si="0"/>
        <v>100</v>
      </c>
      <c r="T9" s="699" t="s">
        <v>14</v>
      </c>
      <c r="U9" s="700">
        <f t="shared" si="1"/>
        <v>100</v>
      </c>
      <c r="V9" s="699" t="s">
        <v>14</v>
      </c>
      <c r="W9" s="700">
        <f t="shared" si="2"/>
        <v>100</v>
      </c>
      <c r="X9" s="701"/>
      <c r="Y9" s="3614" t="s">
        <v>1687</v>
      </c>
      <c r="Z9" s="52" t="str">
        <f t="shared" ref="Z9:Z14" si="7">Q9</f>
        <v>用途</v>
      </c>
      <c r="AA9" s="702">
        <f t="shared" si="3"/>
        <v>1</v>
      </c>
      <c r="AB9" s="702">
        <f t="shared" si="4"/>
        <v>1</v>
      </c>
      <c r="AC9" s="702">
        <f t="shared" si="5"/>
        <v>1</v>
      </c>
    </row>
    <row r="10" spans="1:29" s="377" customFormat="1" ht="28.8">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688"/>
      <c r="Q10" s="1339"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688"/>
      <c r="Q11" s="1339">
        <f t="shared" si="6"/>
        <v>111</v>
      </c>
      <c r="R11" s="699" t="s">
        <v>14</v>
      </c>
      <c r="S11" s="700">
        <f t="shared" si="0"/>
        <v>100</v>
      </c>
      <c r="T11" s="699" t="s">
        <v>14</v>
      </c>
      <c r="U11" s="700">
        <f t="shared" si="1"/>
        <v>100</v>
      </c>
      <c r="V11" s="699" t="s">
        <v>14</v>
      </c>
      <c r="W11" s="700">
        <f t="shared" si="2"/>
        <v>100</v>
      </c>
      <c r="X11" s="701"/>
      <c r="Y11" s="3614"/>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688"/>
      <c r="Q12" s="1339">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688"/>
      <c r="Q13" s="1339">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96.6">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681" t="s">
        <v>1691</v>
      </c>
      <c r="Q14" s="1348" t="str">
        <f t="shared" si="6"/>
        <v>交通便捷度</v>
      </c>
      <c r="R14" s="703" t="s">
        <v>14</v>
      </c>
      <c r="S14" s="704">
        <f t="shared" si="0"/>
        <v>100</v>
      </c>
      <c r="T14" s="703" t="s">
        <v>14</v>
      </c>
      <c r="U14" s="704">
        <f t="shared" si="1"/>
        <v>100</v>
      </c>
      <c r="V14" s="703" t="s">
        <v>14</v>
      </c>
      <c r="W14" s="704">
        <f t="shared" si="2"/>
        <v>100</v>
      </c>
      <c r="X14" s="1351"/>
      <c r="Y14" s="3681"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7"/>
      <c r="M15" s="2711"/>
      <c r="N15" s="2711"/>
      <c r="O15" s="2711"/>
      <c r="P15" s="3682"/>
      <c r="Q15" s="1348"/>
      <c r="R15" s="703"/>
      <c r="S15" s="704"/>
      <c r="T15" s="703"/>
      <c r="U15" s="704"/>
      <c r="V15" s="703"/>
      <c r="W15" s="704"/>
      <c r="X15" s="1351"/>
      <c r="Y15" s="3682"/>
      <c r="Z15" s="1352"/>
      <c r="AA15" s="1349">
        <v>1</v>
      </c>
      <c r="AB15" s="1349">
        <v>1</v>
      </c>
      <c r="AC15" s="1349">
        <v>1</v>
      </c>
    </row>
    <row r="16" spans="1:29" ht="41.4">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682"/>
      <c r="Q16" s="1348" t="str">
        <f>B16</f>
        <v>公共配套设施</v>
      </c>
      <c r="R16" s="703" t="s">
        <v>14</v>
      </c>
      <c r="S16" s="704">
        <f>F16</f>
        <v>100</v>
      </c>
      <c r="T16" s="703" t="s">
        <v>14</v>
      </c>
      <c r="U16" s="704">
        <f>H16</f>
        <v>100</v>
      </c>
      <c r="V16" s="703" t="s">
        <v>14</v>
      </c>
      <c r="W16" s="704">
        <f>J16</f>
        <v>100</v>
      </c>
      <c r="X16" s="1351"/>
      <c r="Y16" s="3682"/>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7"/>
      <c r="M17" s="2711"/>
      <c r="N17" s="2711"/>
      <c r="O17" s="2711"/>
      <c r="P17" s="3682"/>
      <c r="Q17" s="1348"/>
      <c r="R17" s="703"/>
      <c r="S17" s="704"/>
      <c r="T17" s="703"/>
      <c r="U17" s="704"/>
      <c r="V17" s="703"/>
      <c r="W17" s="704"/>
      <c r="X17" s="1351"/>
      <c r="Y17" s="3682"/>
      <c r="Z17" s="1352"/>
      <c r="AA17" s="1349">
        <v>1</v>
      </c>
      <c r="AB17" s="1349">
        <v>1</v>
      </c>
      <c r="AC17" s="1349">
        <v>1</v>
      </c>
    </row>
    <row r="18" spans="1:29" ht="41.4">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682"/>
      <c r="Q18" s="1348" t="str">
        <f>B18</f>
        <v>基础设施水平</v>
      </c>
      <c r="R18" s="703" t="s">
        <v>14</v>
      </c>
      <c r="S18" s="704">
        <f>F18</f>
        <v>100</v>
      </c>
      <c r="T18" s="703" t="s">
        <v>14</v>
      </c>
      <c r="U18" s="704">
        <f>H18</f>
        <v>100</v>
      </c>
      <c r="V18" s="703" t="s">
        <v>14</v>
      </c>
      <c r="W18" s="704">
        <f>J18</f>
        <v>100</v>
      </c>
      <c r="X18" s="1351"/>
      <c r="Y18" s="3682"/>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7"/>
      <c r="M19" s="2711"/>
      <c r="N19" s="2711"/>
      <c r="O19" s="2711"/>
      <c r="P19" s="3682"/>
      <c r="Q19" s="1348"/>
      <c r="R19" s="703"/>
      <c r="S19" s="704"/>
      <c r="T19" s="703"/>
      <c r="U19" s="704"/>
      <c r="V19" s="703"/>
      <c r="W19" s="704"/>
      <c r="X19" s="1351"/>
      <c r="Y19" s="3682"/>
      <c r="Z19" s="1352"/>
      <c r="AA19" s="1349">
        <v>1</v>
      </c>
      <c r="AB19" s="1349">
        <v>1</v>
      </c>
      <c r="AC19" s="1349">
        <v>1</v>
      </c>
    </row>
    <row r="20" spans="1:29" ht="55.2">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682"/>
      <c r="Q20" s="1348" t="str">
        <f>B20</f>
        <v>自然及人文环境</v>
      </c>
      <c r="R20" s="703" t="s">
        <v>14</v>
      </c>
      <c r="S20" s="704">
        <f>F20</f>
        <v>100</v>
      </c>
      <c r="T20" s="703" t="s">
        <v>14</v>
      </c>
      <c r="U20" s="704">
        <f>H20</f>
        <v>100</v>
      </c>
      <c r="V20" s="703" t="s">
        <v>14</v>
      </c>
      <c r="W20" s="704">
        <f>J20</f>
        <v>100</v>
      </c>
      <c r="X20" s="1351"/>
      <c r="Y20" s="3682"/>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7"/>
      <c r="M21" s="2711"/>
      <c r="N21" s="2711"/>
      <c r="O21" s="2711"/>
      <c r="P21" s="3682"/>
      <c r="Q21" s="1348"/>
      <c r="R21" s="703"/>
      <c r="S21" s="704"/>
      <c r="T21" s="703"/>
      <c r="U21" s="704"/>
      <c r="V21" s="703"/>
      <c r="W21" s="704"/>
      <c r="X21" s="1351"/>
      <c r="Y21" s="3682"/>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682"/>
      <c r="Q22" s="1348" t="str">
        <f>B22</f>
        <v>楼层</v>
      </c>
      <c r="R22" s="703" t="s">
        <v>14</v>
      </c>
      <c r="S22" s="704">
        <f>F22</f>
        <v>100</v>
      </c>
      <c r="T22" s="703" t="s">
        <v>14</v>
      </c>
      <c r="U22" s="704">
        <f>H22</f>
        <v>100</v>
      </c>
      <c r="V22" s="703" t="s">
        <v>14</v>
      </c>
      <c r="W22" s="704">
        <f>J22</f>
        <v>100</v>
      </c>
      <c r="X22" s="1351"/>
      <c r="Y22" s="3682"/>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682"/>
      <c r="Q23" s="1348">
        <f>B23</f>
        <v>111</v>
      </c>
      <c r="R23" s="703" t="s">
        <v>14</v>
      </c>
      <c r="S23" s="704">
        <f>F23</f>
        <v>100</v>
      </c>
      <c r="T23" s="703" t="s">
        <v>14</v>
      </c>
      <c r="U23" s="704">
        <f>H23</f>
        <v>100</v>
      </c>
      <c r="V23" s="703" t="s">
        <v>14</v>
      </c>
      <c r="W23" s="704">
        <f>J23</f>
        <v>100</v>
      </c>
      <c r="X23" s="1351"/>
      <c r="Y23" s="3682"/>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682"/>
      <c r="Q24" s="1348">
        <f t="shared" ref="Q24:Q36" si="11">B24</f>
        <v>111</v>
      </c>
      <c r="R24" s="703" t="s">
        <v>14</v>
      </c>
      <c r="S24" s="704">
        <f>F24</f>
        <v>100</v>
      </c>
      <c r="T24" s="703" t="s">
        <v>14</v>
      </c>
      <c r="U24" s="704">
        <f>H24</f>
        <v>100</v>
      </c>
      <c r="V24" s="703" t="s">
        <v>14</v>
      </c>
      <c r="W24" s="704">
        <f>J24</f>
        <v>100</v>
      </c>
      <c r="X24" s="1351"/>
      <c r="Y24" s="3682"/>
      <c r="Z24" s="1352">
        <f>Q24</f>
        <v>111</v>
      </c>
      <c r="AA24" s="1349">
        <f t="shared" si="3"/>
        <v>1</v>
      </c>
      <c r="AB24" s="1349">
        <f t="shared" si="4"/>
        <v>1</v>
      </c>
      <c r="AC24" s="1349">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682"/>
      <c r="Q25" s="1339">
        <f t="shared" si="11"/>
        <v>111</v>
      </c>
      <c r="R25" s="699" t="s">
        <v>14</v>
      </c>
      <c r="S25" s="700">
        <f>F25</f>
        <v>100</v>
      </c>
      <c r="T25" s="699" t="s">
        <v>14</v>
      </c>
      <c r="U25" s="700">
        <f>H25</f>
        <v>100</v>
      </c>
      <c r="V25" s="699" t="s">
        <v>14</v>
      </c>
      <c r="W25" s="700">
        <f>J25</f>
        <v>100</v>
      </c>
      <c r="X25" s="701"/>
      <c r="Y25" s="3682"/>
      <c r="Z25" s="52">
        <f>Q25</f>
        <v>111</v>
      </c>
      <c r="AA25" s="1349">
        <f>D25/F25</f>
        <v>1</v>
      </c>
      <c r="AB25" s="1349">
        <f>D25/H25</f>
        <v>1</v>
      </c>
      <c r="AC25" s="1349">
        <f>D25/J25</f>
        <v>1</v>
      </c>
    </row>
    <row r="26" spans="1:29" ht="30">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730"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86"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686"/>
      <c r="Q27" s="705" t="str">
        <f t="shared" si="11"/>
        <v>项目停车位配比</v>
      </c>
      <c r="R27" s="706" t="s">
        <v>14</v>
      </c>
      <c r="S27" s="707">
        <f t="shared" si="12"/>
        <v>100</v>
      </c>
      <c r="T27" s="706" t="s">
        <v>14</v>
      </c>
      <c r="U27" s="707">
        <f t="shared" si="13"/>
        <v>100</v>
      </c>
      <c r="V27" s="706" t="s">
        <v>14</v>
      </c>
      <c r="W27" s="707">
        <f t="shared" si="14"/>
        <v>100</v>
      </c>
      <c r="X27" s="708"/>
      <c r="Y27" s="3686"/>
      <c r="Z27" s="709"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686"/>
      <c r="Q28" s="1348" t="str">
        <f t="shared" si="11"/>
        <v>公共部分装修</v>
      </c>
      <c r="R28" s="703" t="s">
        <v>14</v>
      </c>
      <c r="S28" s="704">
        <f t="shared" si="12"/>
        <v>100</v>
      </c>
      <c r="T28" s="703" t="s">
        <v>14</v>
      </c>
      <c r="U28" s="704">
        <f t="shared" si="13"/>
        <v>100</v>
      </c>
      <c r="V28" s="703" t="s">
        <v>14</v>
      </c>
      <c r="W28" s="704">
        <f t="shared" si="14"/>
        <v>100</v>
      </c>
      <c r="X28" s="1351"/>
      <c r="Y28" s="3686"/>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686"/>
      <c r="Q29" s="1348" t="str">
        <f t="shared" si="11"/>
        <v>成新率</v>
      </c>
      <c r="R29" s="703" t="s">
        <v>14</v>
      </c>
      <c r="S29" s="704" t="e">
        <f t="shared" si="12"/>
        <v>#N/A</v>
      </c>
      <c r="T29" s="703" t="s">
        <v>14</v>
      </c>
      <c r="U29" s="704" t="e">
        <f t="shared" si="13"/>
        <v>#N/A</v>
      </c>
      <c r="V29" s="703" t="s">
        <v>14</v>
      </c>
      <c r="W29" s="704" t="e">
        <f t="shared" si="14"/>
        <v>#N/A</v>
      </c>
      <c r="X29" s="1351"/>
      <c r="Y29" s="3686"/>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686"/>
      <c r="Q30" s="1348" t="str">
        <f t="shared" si="11"/>
        <v>物业等级</v>
      </c>
      <c r="R30" s="703" t="s">
        <v>14</v>
      </c>
      <c r="S30" s="704">
        <f t="shared" si="12"/>
        <v>100</v>
      </c>
      <c r="T30" s="703" t="s">
        <v>14</v>
      </c>
      <c r="U30" s="704">
        <f t="shared" si="13"/>
        <v>100</v>
      </c>
      <c r="V30" s="703" t="s">
        <v>14</v>
      </c>
      <c r="W30" s="704">
        <f t="shared" si="14"/>
        <v>100</v>
      </c>
      <c r="X30" s="1351"/>
      <c r="Y30" s="3686"/>
      <c r="Z30" s="1352" t="str">
        <f t="shared" si="15"/>
        <v>物业等级</v>
      </c>
      <c r="AA30" s="1349">
        <f t="shared" si="3"/>
        <v>1</v>
      </c>
      <c r="AB30" s="1349">
        <f t="shared" si="4"/>
        <v>1</v>
      </c>
      <c r="AC30" s="1349">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686"/>
      <c r="Q31" s="1339" t="str">
        <f t="shared" si="11"/>
        <v>停车位面积</v>
      </c>
      <c r="R31" s="699" t="s">
        <v>14</v>
      </c>
      <c r="S31" s="700" t="e">
        <f t="shared" si="12"/>
        <v>#N/A</v>
      </c>
      <c r="T31" s="699" t="s">
        <v>14</v>
      </c>
      <c r="U31" s="700" t="e">
        <f t="shared" si="13"/>
        <v>#N/A</v>
      </c>
      <c r="V31" s="699" t="s">
        <v>14</v>
      </c>
      <c r="W31" s="700" t="e">
        <f t="shared" si="14"/>
        <v>#N/A</v>
      </c>
      <c r="X31" s="701"/>
      <c r="Y31" s="3686"/>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686" t="s">
        <v>1696</v>
      </c>
      <c r="Q32" s="1348" t="str">
        <f t="shared" si="11"/>
        <v>车位类型</v>
      </c>
      <c r="R32" s="703" t="s">
        <v>14</v>
      </c>
      <c r="S32" s="704">
        <f t="shared" si="12"/>
        <v>100</v>
      </c>
      <c r="T32" s="703" t="s">
        <v>14</v>
      </c>
      <c r="U32" s="704">
        <f t="shared" si="13"/>
        <v>100</v>
      </c>
      <c r="V32" s="703" t="s">
        <v>14</v>
      </c>
      <c r="W32" s="704">
        <f t="shared" si="14"/>
        <v>100</v>
      </c>
      <c r="X32" s="1351"/>
      <c r="Y32" s="3686"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686"/>
      <c r="Q33" s="1348" t="str">
        <f t="shared" si="11"/>
        <v>是否直接入户</v>
      </c>
      <c r="R33" s="703" t="s">
        <v>14</v>
      </c>
      <c r="S33" s="704">
        <f t="shared" si="12"/>
        <v>100</v>
      </c>
      <c r="T33" s="703" t="s">
        <v>14</v>
      </c>
      <c r="U33" s="704">
        <f t="shared" si="13"/>
        <v>100</v>
      </c>
      <c r="V33" s="703" t="s">
        <v>14</v>
      </c>
      <c r="W33" s="704">
        <f t="shared" si="14"/>
        <v>100</v>
      </c>
      <c r="X33" s="1351"/>
      <c r="Y33" s="3686"/>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686"/>
      <c r="Q34" s="1348">
        <f t="shared" si="11"/>
        <v>111</v>
      </c>
      <c r="R34" s="703" t="s">
        <v>14</v>
      </c>
      <c r="S34" s="704">
        <f t="shared" si="12"/>
        <v>100</v>
      </c>
      <c r="T34" s="703" t="s">
        <v>14</v>
      </c>
      <c r="U34" s="704">
        <f t="shared" si="13"/>
        <v>100</v>
      </c>
      <c r="V34" s="703" t="s">
        <v>14</v>
      </c>
      <c r="W34" s="704">
        <f t="shared" si="14"/>
        <v>100</v>
      </c>
      <c r="X34" s="1351"/>
      <c r="Y34" s="3686"/>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686"/>
      <c r="Q35" s="705">
        <f t="shared" si="11"/>
        <v>111</v>
      </c>
      <c r="R35" s="706" t="s">
        <v>14</v>
      </c>
      <c r="S35" s="707">
        <f t="shared" si="12"/>
        <v>100</v>
      </c>
      <c r="T35" s="706" t="s">
        <v>14</v>
      </c>
      <c r="U35" s="707">
        <f t="shared" si="13"/>
        <v>100</v>
      </c>
      <c r="V35" s="706" t="s">
        <v>14</v>
      </c>
      <c r="W35" s="707">
        <f t="shared" si="14"/>
        <v>100</v>
      </c>
      <c r="X35" s="708"/>
      <c r="Y35" s="3686"/>
      <c r="Z35" s="709">
        <f t="shared" si="15"/>
        <v>111</v>
      </c>
      <c r="AA35" s="1349">
        <f t="shared" si="3"/>
        <v>1</v>
      </c>
      <c r="AB35" s="1349">
        <f t="shared" si="4"/>
        <v>1</v>
      </c>
      <c r="AC35" s="1349">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686"/>
      <c r="Q36" s="1348">
        <f t="shared" si="11"/>
        <v>111</v>
      </c>
      <c r="R36" s="703" t="s">
        <v>14</v>
      </c>
      <c r="S36" s="704">
        <f t="shared" si="12"/>
        <v>100</v>
      </c>
      <c r="T36" s="703" t="s">
        <v>14</v>
      </c>
      <c r="U36" s="704">
        <f t="shared" si="13"/>
        <v>100</v>
      </c>
      <c r="V36" s="703" t="s">
        <v>14</v>
      </c>
      <c r="W36" s="704">
        <f t="shared" si="14"/>
        <v>100</v>
      </c>
      <c r="X36" s="1351"/>
      <c r="Y36" s="3686"/>
      <c r="Z36" s="1352">
        <f t="shared" si="15"/>
        <v>111</v>
      </c>
      <c r="AA36" s="1349">
        <f t="shared" si="3"/>
        <v>1</v>
      </c>
      <c r="AB36" s="1349">
        <f t="shared" si="4"/>
        <v>1</v>
      </c>
      <c r="AC36" s="1349">
        <f t="shared" si="5"/>
        <v>1</v>
      </c>
    </row>
    <row r="37" spans="1:29" ht="14.4">
      <c r="A37" s="429" t="s">
        <v>1844</v>
      </c>
      <c r="B37" s="1969" t="s">
        <v>3358</v>
      </c>
      <c r="C37" s="1150" t="s">
        <v>0</v>
      </c>
      <c r="D37" s="1151"/>
      <c r="E37" s="1152"/>
      <c r="F37" s="1153"/>
      <c r="G37" s="1154"/>
      <c r="H37" s="1155"/>
      <c r="I37" s="1152"/>
      <c r="J37" s="1155"/>
      <c r="K37" s="567"/>
      <c r="L37" s="2719"/>
      <c r="M37" s="2720"/>
      <c r="N37" s="2711"/>
      <c r="O37" s="2720"/>
      <c r="P37" s="3688" t="str">
        <f>A37</f>
        <v>成交单价</v>
      </c>
      <c r="Q37" s="3688"/>
      <c r="R37" s="3689">
        <f>E37</f>
        <v>0</v>
      </c>
      <c r="S37" s="3689"/>
      <c r="T37" s="3689">
        <f>G37</f>
        <v>0</v>
      </c>
      <c r="U37" s="3689"/>
      <c r="V37" s="3689">
        <f>I37</f>
        <v>0</v>
      </c>
      <c r="W37" s="3689"/>
      <c r="X37" s="688"/>
      <c r="Y37" s="710"/>
      <c r="Z37" s="688"/>
      <c r="AA37" s="688"/>
      <c r="AB37" s="688"/>
      <c r="AC37" s="688"/>
    </row>
    <row r="38" spans="1:29" ht="15" thickBot="1">
      <c r="A38" s="436" t="s">
        <v>1845</v>
      </c>
      <c r="B38" s="437" t="str">
        <f>B37</f>
        <v>元/平方米</v>
      </c>
      <c r="C38" s="1156" t="e">
        <f>R39</f>
        <v>#DIV/0!</v>
      </c>
      <c r="D38" s="2313" t="s">
        <v>2138</v>
      </c>
      <c r="E38" s="1157" t="e">
        <f>R38</f>
        <v>#DIV/0!</v>
      </c>
      <c r="F38" s="2314"/>
      <c r="G38" s="1156" t="e">
        <f>T38</f>
        <v>#DIV/0!</v>
      </c>
      <c r="H38" s="2314"/>
      <c r="I38" s="1157" t="e">
        <f>V38</f>
        <v>#DIV/0!</v>
      </c>
      <c r="J38" s="2314"/>
      <c r="K38" s="2316">
        <f>F38+H38+J38</f>
        <v>0</v>
      </c>
      <c r="L38" s="2719"/>
      <c r="M38" s="2720"/>
      <c r="N38" s="2720"/>
      <c r="O38" s="2720"/>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8"/>
      <c r="Y38" s="688"/>
      <c r="Z38" s="688"/>
      <c r="AA38" s="688"/>
      <c r="AB38" s="688"/>
      <c r="AC38" s="688"/>
    </row>
    <row r="39" spans="1:29" ht="15" thickBot="1">
      <c r="A39" s="440" t="s">
        <v>1846</v>
      </c>
      <c r="B39" s="441"/>
      <c r="C39" s="1159" t="e">
        <f>R39</f>
        <v>#DIV/0!</v>
      </c>
      <c r="D39" s="1159"/>
      <c r="E39" s="1159"/>
      <c r="F39" s="1159"/>
      <c r="G39" s="1159"/>
      <c r="H39" s="1159"/>
      <c r="I39" s="1159"/>
      <c r="J39" s="1159"/>
      <c r="K39" s="568"/>
      <c r="L39" s="2719"/>
      <c r="M39" s="2720"/>
      <c r="N39" s="2720"/>
      <c r="O39" s="2720"/>
      <c r="P39" s="3727" t="str">
        <f>A39</f>
        <v>估价对象XX用房的比较价值（楼面单价，元/平方米）</v>
      </c>
      <c r="Q39" s="3728"/>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2.2" thickBot="1">
      <c r="A47" s="1162" t="s">
        <v>1850</v>
      </c>
      <c r="B47" s="925"/>
      <c r="C47" s="938"/>
      <c r="D47" s="938"/>
      <c r="E47" s="938"/>
      <c r="F47" s="1163"/>
      <c r="G47" s="1163"/>
      <c r="H47" s="938"/>
      <c r="I47" s="938"/>
      <c r="J47" s="938"/>
      <c r="K47" s="939"/>
      <c r="L47" s="940"/>
      <c r="M47" s="938"/>
      <c r="N47" s="2764"/>
      <c r="O47" s="2764"/>
      <c r="P47" s="2753"/>
      <c r="Q47" s="2734"/>
      <c r="R47" s="2720"/>
      <c r="S47" s="2720"/>
      <c r="T47" s="2720"/>
      <c r="U47" s="2720"/>
      <c r="V47" s="2720"/>
      <c r="W47" s="2720"/>
      <c r="X47" s="2720"/>
      <c r="Y47" s="2720"/>
      <c r="Z47" s="2720"/>
      <c r="AA47" s="2720"/>
      <c r="AB47" s="2720"/>
      <c r="AC47" s="2720"/>
    </row>
    <row r="48" spans="1:29" s="456" customFormat="1" ht="14.4">
      <c r="A48" s="453" t="s">
        <v>1851</v>
      </c>
      <c r="B48" s="454"/>
      <c r="C48" s="1180" t="str">
        <f>YEAR(C7)&amp;"-"&amp;MONTH(C7)</f>
        <v>2023-7</v>
      </c>
      <c r="D48" s="1181">
        <f>EDATE(C48,-1)</f>
        <v>45078</v>
      </c>
      <c r="E48" s="1181">
        <f t="shared" ref="E48:O48" si="16">EDATE(D48,-1)</f>
        <v>45047</v>
      </c>
      <c r="F48" s="1181">
        <f t="shared" si="16"/>
        <v>45017</v>
      </c>
      <c r="G48" s="1181">
        <f t="shared" si="16"/>
        <v>44986</v>
      </c>
      <c r="H48" s="1181">
        <f t="shared" si="16"/>
        <v>44958</v>
      </c>
      <c r="I48" s="1181">
        <f t="shared" si="16"/>
        <v>44927</v>
      </c>
      <c r="J48" s="1181">
        <f t="shared" si="16"/>
        <v>44896</v>
      </c>
      <c r="K48" s="1181">
        <f t="shared" si="16"/>
        <v>44866</v>
      </c>
      <c r="L48" s="1181">
        <f t="shared" si="16"/>
        <v>44835</v>
      </c>
      <c r="M48" s="1181">
        <f t="shared" si="16"/>
        <v>44805</v>
      </c>
      <c r="N48" s="1181">
        <f t="shared" si="16"/>
        <v>44774</v>
      </c>
      <c r="O48" s="1181">
        <f t="shared" si="16"/>
        <v>44743</v>
      </c>
      <c r="P48" s="2754"/>
      <c r="Q48" s="2736"/>
      <c r="R48" s="2736"/>
      <c r="S48" s="2736"/>
      <c r="T48" s="2736"/>
      <c r="U48" s="2736"/>
      <c r="V48" s="2736"/>
      <c r="W48" s="2736"/>
      <c r="X48" s="2736"/>
      <c r="Y48" s="2736"/>
      <c r="Z48" s="2736"/>
      <c r="AA48" s="2736"/>
      <c r="AB48" s="2736"/>
      <c r="AC48" s="2736"/>
    </row>
    <row r="49" spans="1:29" s="108" customFormat="1">
      <c r="A49" s="457"/>
      <c r="B49" s="458"/>
      <c r="C49" s="1173">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 thickBot="1">
      <c r="A50" s="463" t="s">
        <v>1716</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4.4">
      <c r="A51" s="469" t="s">
        <v>1681</v>
      </c>
      <c r="B51" s="458"/>
      <c r="C51" s="470" t="s">
        <v>1776</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4.4"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ht="14.4">
      <c r="A53" s="475" t="s">
        <v>1719</v>
      </c>
      <c r="B53" s="476" t="s">
        <v>1685</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4.4"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9.4" thickTop="1">
      <c r="A55" s="482"/>
      <c r="B55" s="486" t="s">
        <v>1688</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4.4"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4.4"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4.4"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4.4"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4.4"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4.4"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4.4"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 thickTop="1">
      <c r="A65" s="482"/>
      <c r="B65" s="486" t="s">
        <v>1727</v>
      </c>
      <c r="C65" s="526" t="s">
        <v>1721</v>
      </c>
      <c r="D65" s="526" t="s">
        <v>1722</v>
      </c>
      <c r="E65" s="526" t="s">
        <v>1723</v>
      </c>
      <c r="F65" s="526" t="s">
        <v>1724</v>
      </c>
      <c r="G65" s="526" t="s">
        <v>1725</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 thickTop="1">
      <c r="A67" s="482"/>
      <c r="B67" s="494" t="s">
        <v>1813</v>
      </c>
      <c r="C67" s="607" t="s">
        <v>1799</v>
      </c>
      <c r="D67" s="607" t="s">
        <v>1800</v>
      </c>
      <c r="E67" s="607" t="s">
        <v>1801</v>
      </c>
      <c r="F67" s="607" t="s">
        <v>1802</v>
      </c>
      <c r="G67" s="607" t="s">
        <v>1803</v>
      </c>
      <c r="H67" s="487"/>
      <c r="I67" s="487"/>
      <c r="J67" s="487"/>
      <c r="K67" s="487"/>
      <c r="L67" s="487"/>
      <c r="M67" s="1125"/>
      <c r="N67" s="2749"/>
      <c r="O67" s="2749"/>
      <c r="P67" s="2757"/>
      <c r="Q67" s="2734"/>
      <c r="R67" s="2720"/>
      <c r="S67" s="2720"/>
      <c r="T67" s="2720"/>
      <c r="U67" s="2720"/>
      <c r="V67" s="2720"/>
      <c r="W67" s="2720"/>
      <c r="X67" s="2720"/>
      <c r="Y67" s="2720"/>
      <c r="Z67" s="2720"/>
      <c r="AA67" s="2720"/>
      <c r="AB67" s="2720"/>
      <c r="AC67" s="2720"/>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 thickTop="1">
      <c r="A69" s="482"/>
      <c r="B69" s="486" t="s">
        <v>1733</v>
      </c>
      <c r="C69" s="526" t="s">
        <v>1721</v>
      </c>
      <c r="D69" s="526" t="s">
        <v>1722</v>
      </c>
      <c r="E69" s="526" t="s">
        <v>1723</v>
      </c>
      <c r="F69" s="526" t="s">
        <v>1724</v>
      </c>
      <c r="G69" s="526" t="s">
        <v>1725</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 thickTop="1">
      <c r="A71" s="482"/>
      <c r="B71" s="486" t="s">
        <v>1852</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4.4"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4.4"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4.4"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4.4"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4.4"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4.4"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9.4" thickTop="1">
      <c r="A79" s="475" t="s">
        <v>1694</v>
      </c>
      <c r="B79" s="476" t="s">
        <v>1853</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 thickTop="1">
      <c r="A81" s="482"/>
      <c r="B81" s="486"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4.4"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1740</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1856</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4.4"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1858</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1859</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4.4"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4.4"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4.4"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4.4"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4.4"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4.4"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4.4"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17.399999999999999">
      <c r="A4" s="1476" t="str">
        <f>"受贵公司委托，我公司对"&amp;项目基本情况!S1&amp;"进行了预评估。"</f>
        <v>受贵公司委托，我公司对北京市房地产抵押价值进行了预评估。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估价对象为北京市房地产，为所有。根据《国有土地使用证》[]，估价对象（分摊）出让国有建设用地使用权面积为18193.39平方米，建筑面积为37711.24平方米。</v>
      </c>
    </row>
    <row r="8" spans="1:1" ht="54.6">
      <c r="A8" s="1479" t="s">
        <v>901</v>
      </c>
    </row>
    <row r="9" spans="1:1" ht="17.399999999999999">
      <c r="A9" s="1478" t="s">
        <v>902</v>
      </c>
    </row>
    <row r="10" spans="1:1" ht="52.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估价对象为北京市房地产,属开发建设的办公项目，该项目尚在开发建设中。根据《国有土地使用证》[]，估价对象（分摊）出让国有建设用地使用权面积为18193.39平方米，规划建筑面积为37711.24平方米。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为估价委托人在向上海浦发办理贷款手续过程中，确定房地产抵押贷款额度提供参考依据而评估房地产抵押价值。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2023年7月17日（评估专业人员实地查勘之日）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本次评估采用的主估价方法为成本法和假设开发法。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1831</v>
      </c>
      <c r="B1" s="1219" t="s">
        <v>3339</v>
      </c>
      <c r="C1" s="1220" t="s">
        <v>1662</v>
      </c>
      <c r="D1" s="1221"/>
      <c r="E1" s="3428"/>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4.4">
      <c r="A4" s="354" t="s">
        <v>1769</v>
      </c>
      <c r="B4" s="355"/>
      <c r="C4" s="3663" t="s">
        <v>1770</v>
      </c>
      <c r="D4" s="3664"/>
      <c r="E4" s="3665" t="s">
        <v>1771</v>
      </c>
      <c r="F4" s="3666"/>
      <c r="G4" s="3663" t="s">
        <v>1772</v>
      </c>
      <c r="H4" s="3664"/>
      <c r="I4" s="3663" t="s">
        <v>1773</v>
      </c>
      <c r="J4" s="3664"/>
      <c r="K4" s="558" t="s">
        <v>1774</v>
      </c>
      <c r="L4" s="2710"/>
      <c r="M4" s="2711"/>
      <c r="N4" s="2711"/>
      <c r="O4" s="2711"/>
      <c r="P4" s="3723" t="s">
        <v>1775</v>
      </c>
      <c r="Q4" s="3724"/>
      <c r="R4" s="3720" t="s">
        <v>1771</v>
      </c>
      <c r="S4" s="3721"/>
      <c r="T4" s="3720" t="s">
        <v>1772</v>
      </c>
      <c r="U4" s="3721"/>
      <c r="V4" s="3676" t="s">
        <v>1773</v>
      </c>
      <c r="W4" s="3676"/>
      <c r="X4" s="1351"/>
      <c r="Y4" s="3720" t="s">
        <v>1775</v>
      </c>
      <c r="Z4" s="3721"/>
      <c r="AA4" s="3719" t="s">
        <v>1771</v>
      </c>
      <c r="AB4" s="3642" t="s">
        <v>1772</v>
      </c>
      <c r="AC4" s="3719" t="s">
        <v>1773</v>
      </c>
    </row>
    <row r="5" spans="1:29">
      <c r="A5" s="357"/>
      <c r="B5" s="358"/>
      <c r="C5" s="3652" t="s">
        <v>1673</v>
      </c>
      <c r="D5" s="3653"/>
      <c r="E5" s="3722" t="s">
        <v>1674</v>
      </c>
      <c r="F5" s="3651"/>
      <c r="G5" s="3652" t="s">
        <v>1675</v>
      </c>
      <c r="H5" s="3653"/>
      <c r="I5" s="3652" t="s">
        <v>1676</v>
      </c>
      <c r="J5" s="3653"/>
      <c r="K5" s="558"/>
      <c r="L5" s="2710"/>
      <c r="M5" s="2711"/>
      <c r="N5" s="2711"/>
      <c r="O5" s="2711"/>
      <c r="P5" s="3725"/>
      <c r="Q5" s="3670"/>
      <c r="R5" s="3648"/>
      <c r="S5" s="3649"/>
      <c r="T5" s="3648"/>
      <c r="U5" s="3649"/>
      <c r="V5" s="3676"/>
      <c r="W5" s="3676"/>
      <c r="X5" s="1351"/>
      <c r="Y5" s="3648"/>
      <c r="Z5" s="3649"/>
      <c r="AA5" s="3642"/>
      <c r="AB5" s="3642"/>
      <c r="AC5" s="3642"/>
    </row>
    <row r="6" spans="1:29" ht="15" thickBot="1">
      <c r="A6" s="359"/>
      <c r="B6" s="360"/>
      <c r="C6" s="3654" t="s">
        <v>1677</v>
      </c>
      <c r="D6" s="3655"/>
      <c r="E6" s="3657" t="s">
        <v>1677</v>
      </c>
      <c r="F6" s="3658"/>
      <c r="G6" s="3654" t="s">
        <v>1677</v>
      </c>
      <c r="H6" s="3655"/>
      <c r="I6" s="3654" t="s">
        <v>1677</v>
      </c>
      <c r="J6" s="3655"/>
      <c r="K6" s="558" t="s">
        <v>1678</v>
      </c>
      <c r="L6" s="2710"/>
      <c r="M6" s="2711"/>
      <c r="N6" s="2711"/>
      <c r="O6" s="2711"/>
      <c r="P6" s="3726"/>
      <c r="Q6" s="3672"/>
      <c r="R6" s="3648"/>
      <c r="S6" s="3649"/>
      <c r="T6" s="3673"/>
      <c r="U6" s="3674"/>
      <c r="V6" s="3676"/>
      <c r="W6" s="3676"/>
      <c r="X6" s="1351"/>
      <c r="Y6" s="3673"/>
      <c r="Z6" s="3674"/>
      <c r="AA6" s="3643"/>
      <c r="AB6" s="3643"/>
      <c r="AC6" s="3643"/>
    </row>
    <row r="7" spans="1:29" s="108" customFormat="1" ht="15" thickBot="1">
      <c r="A7" s="361" t="s">
        <v>1679</v>
      </c>
      <c r="B7" s="362"/>
      <c r="C7" s="363">
        <f>'数据-取费表'!B2</f>
        <v>45124</v>
      </c>
      <c r="D7" s="364">
        <v>100</v>
      </c>
      <c r="E7" s="365"/>
      <c r="F7" s="366">
        <f>SUMIF(46:46,YEAR(E7)&amp;"-"&amp;MONTH(E7),47:47)</f>
        <v>0</v>
      </c>
      <c r="G7" s="1970"/>
      <c r="H7" s="364">
        <f>SUMIF(46:46,YEAR(G7)&amp;"-"&amp;MONTH(G7),47:47)</f>
        <v>0</v>
      </c>
      <c r="I7" s="365"/>
      <c r="J7" s="364">
        <f>SUMIF(46:46,YEAR(I7)&amp;"-"&amp;MONTH(I7),47:47)</f>
        <v>0</v>
      </c>
      <c r="K7" s="559"/>
      <c r="L7" s="2712"/>
      <c r="M7" s="2713"/>
      <c r="N7" s="2713"/>
      <c r="O7" s="2713"/>
      <c r="P7" s="3644" t="s">
        <v>1680</v>
      </c>
      <c r="Q7" s="3678"/>
      <c r="R7" s="699" t="s">
        <v>14</v>
      </c>
      <c r="S7" s="700">
        <f t="shared" ref="S7:S14" si="0">F7</f>
        <v>0</v>
      </c>
      <c r="T7" s="699" t="s">
        <v>14</v>
      </c>
      <c r="U7" s="700">
        <f t="shared" ref="U7:U14" si="1">H7</f>
        <v>0</v>
      </c>
      <c r="V7" s="699" t="s">
        <v>14</v>
      </c>
      <c r="W7" s="700">
        <f t="shared" ref="W7:W14" si="2">J7</f>
        <v>0</v>
      </c>
      <c r="X7" s="701"/>
      <c r="Y7" s="3644" t="s">
        <v>1680</v>
      </c>
      <c r="Z7" s="3645"/>
      <c r="AA7" s="702" t="e">
        <f>D7/F7</f>
        <v>#DIV/0!</v>
      </c>
      <c r="AB7" s="702" t="e">
        <f>D7/H7</f>
        <v>#DIV/0!</v>
      </c>
      <c r="AC7" s="702" t="e">
        <f>D7/J7</f>
        <v>#DIV/0!</v>
      </c>
    </row>
    <row r="8" spans="1:29" s="108" customFormat="1" ht="1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644" t="s">
        <v>1683</v>
      </c>
      <c r="Q8" s="3645"/>
      <c r="R8" s="699" t="s">
        <v>14</v>
      </c>
      <c r="S8" s="700">
        <f t="shared" si="0"/>
        <v>100</v>
      </c>
      <c r="T8" s="699" t="s">
        <v>14</v>
      </c>
      <c r="U8" s="700">
        <f t="shared" si="1"/>
        <v>100</v>
      </c>
      <c r="V8" s="699" t="s">
        <v>14</v>
      </c>
      <c r="W8" s="700">
        <f t="shared" si="2"/>
        <v>100</v>
      </c>
      <c r="X8" s="701"/>
      <c r="Y8" s="3644" t="s">
        <v>1683</v>
      </c>
      <c r="Z8" s="3645"/>
      <c r="AA8" s="702">
        <f t="shared" ref="AA8:AA34" si="3">D8/F8</f>
        <v>1</v>
      </c>
      <c r="AB8" s="702">
        <f t="shared" ref="AB8:AB34" si="4">D8/H8</f>
        <v>1</v>
      </c>
      <c r="AC8" s="702">
        <f t="shared" ref="AC8:AC34" si="5">D8/J8</f>
        <v>1</v>
      </c>
    </row>
    <row r="9" spans="1:29" s="108" customFormat="1" ht="14.4">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688" t="s">
        <v>1686</v>
      </c>
      <c r="Q9" s="1339" t="str">
        <f t="shared" ref="Q9:Q14" si="6">B9</f>
        <v>用途</v>
      </c>
      <c r="R9" s="699" t="s">
        <v>14</v>
      </c>
      <c r="S9" s="700">
        <f t="shared" si="0"/>
        <v>100</v>
      </c>
      <c r="T9" s="699" t="s">
        <v>14</v>
      </c>
      <c r="U9" s="700">
        <f t="shared" si="1"/>
        <v>100</v>
      </c>
      <c r="V9" s="699" t="s">
        <v>14</v>
      </c>
      <c r="W9" s="700">
        <f t="shared" si="2"/>
        <v>100</v>
      </c>
      <c r="X9" s="701"/>
      <c r="Y9" s="3614" t="s">
        <v>1687</v>
      </c>
      <c r="Z9" s="52" t="str">
        <f t="shared" ref="Z9:Z14" si="7">Q9</f>
        <v>用途</v>
      </c>
      <c r="AA9" s="702">
        <f t="shared" si="3"/>
        <v>1</v>
      </c>
      <c r="AB9" s="702">
        <f t="shared" si="4"/>
        <v>1</v>
      </c>
      <c r="AC9" s="702">
        <f t="shared" si="5"/>
        <v>1</v>
      </c>
    </row>
    <row r="10" spans="1:29" s="377" customFormat="1" ht="28.8">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688"/>
      <c r="Q10" s="1339"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688"/>
      <c r="Q11" s="1339">
        <f t="shared" si="6"/>
        <v>111</v>
      </c>
      <c r="R11" s="699" t="s">
        <v>14</v>
      </c>
      <c r="S11" s="700">
        <f t="shared" si="0"/>
        <v>100</v>
      </c>
      <c r="T11" s="699" t="s">
        <v>14</v>
      </c>
      <c r="U11" s="700">
        <f t="shared" si="1"/>
        <v>100</v>
      </c>
      <c r="V11" s="699" t="s">
        <v>14</v>
      </c>
      <c r="W11" s="700">
        <f t="shared" si="2"/>
        <v>100</v>
      </c>
      <c r="X11" s="701"/>
      <c r="Y11" s="3614"/>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688"/>
      <c r="Q12" s="1339">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6"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7"/>
      <c r="M13" s="2711"/>
      <c r="N13" s="2711"/>
      <c r="O13" s="2769"/>
      <c r="P13" s="3688"/>
      <c r="Q13" s="1339">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96.6">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681" t="s">
        <v>1691</v>
      </c>
      <c r="Q14" s="1348" t="str">
        <f t="shared" si="6"/>
        <v>交通便捷度</v>
      </c>
      <c r="R14" s="703" t="s">
        <v>14</v>
      </c>
      <c r="S14" s="704">
        <f t="shared" si="0"/>
        <v>100</v>
      </c>
      <c r="T14" s="703" t="s">
        <v>14</v>
      </c>
      <c r="U14" s="704">
        <f t="shared" si="1"/>
        <v>100</v>
      </c>
      <c r="V14" s="703" t="s">
        <v>14</v>
      </c>
      <c r="W14" s="704">
        <f t="shared" si="2"/>
        <v>100</v>
      </c>
      <c r="X14" s="1351"/>
      <c r="Y14" s="3681"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7"/>
      <c r="M15" s="2711"/>
      <c r="N15" s="2711"/>
      <c r="O15" s="2769"/>
      <c r="P15" s="3682"/>
      <c r="Q15" s="1348"/>
      <c r="R15" s="703"/>
      <c r="S15" s="704"/>
      <c r="T15" s="703"/>
      <c r="U15" s="704"/>
      <c r="V15" s="703"/>
      <c r="W15" s="704"/>
      <c r="X15" s="1351"/>
      <c r="Y15" s="3682"/>
      <c r="Z15" s="1352"/>
      <c r="AA15" s="1349">
        <v>1</v>
      </c>
      <c r="AB15" s="1349">
        <v>1</v>
      </c>
      <c r="AC15" s="1349">
        <v>1</v>
      </c>
    </row>
    <row r="16" spans="1:29" ht="41.4">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682"/>
      <c r="Q16" s="1348" t="str">
        <f>B16</f>
        <v>公共配套设施</v>
      </c>
      <c r="R16" s="703" t="s">
        <v>14</v>
      </c>
      <c r="S16" s="704">
        <f>F16</f>
        <v>100</v>
      </c>
      <c r="T16" s="703" t="s">
        <v>14</v>
      </c>
      <c r="U16" s="704">
        <f>H16</f>
        <v>100</v>
      </c>
      <c r="V16" s="703" t="s">
        <v>14</v>
      </c>
      <c r="W16" s="704">
        <f>J16</f>
        <v>100</v>
      </c>
      <c r="X16" s="1351"/>
      <c r="Y16" s="3682"/>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7"/>
      <c r="M17" s="2711"/>
      <c r="N17" s="2711"/>
      <c r="O17" s="2769"/>
      <c r="P17" s="3682"/>
      <c r="Q17" s="1348"/>
      <c r="R17" s="703"/>
      <c r="S17" s="704"/>
      <c r="T17" s="703"/>
      <c r="U17" s="704"/>
      <c r="V17" s="703"/>
      <c r="W17" s="704"/>
      <c r="X17" s="1351"/>
      <c r="Y17" s="3682"/>
      <c r="Z17" s="1352"/>
      <c r="AA17" s="1349">
        <v>1</v>
      </c>
      <c r="AB17" s="1349">
        <v>1</v>
      </c>
      <c r="AC17" s="1349">
        <v>1</v>
      </c>
    </row>
    <row r="18" spans="1:29" ht="41.4">
      <c r="A18" s="378"/>
      <c r="B18" s="1127"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682"/>
      <c r="Q18" s="1348" t="str">
        <f>B18</f>
        <v>基础设施水平</v>
      </c>
      <c r="R18" s="703" t="s">
        <v>14</v>
      </c>
      <c r="S18" s="704">
        <f>F18</f>
        <v>100</v>
      </c>
      <c r="T18" s="703" t="s">
        <v>14</v>
      </c>
      <c r="U18" s="704">
        <f>H18</f>
        <v>100</v>
      </c>
      <c r="V18" s="703" t="s">
        <v>14</v>
      </c>
      <c r="W18" s="704">
        <f>J18</f>
        <v>100</v>
      </c>
      <c r="X18" s="1351"/>
      <c r="Y18" s="3682"/>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7"/>
      <c r="M19" s="2711"/>
      <c r="N19" s="2711"/>
      <c r="O19" s="2769"/>
      <c r="P19" s="3682"/>
      <c r="Q19" s="1348"/>
      <c r="R19" s="703"/>
      <c r="S19" s="704"/>
      <c r="T19" s="703"/>
      <c r="U19" s="704"/>
      <c r="V19" s="703"/>
      <c r="W19" s="704"/>
      <c r="X19" s="1351"/>
      <c r="Y19" s="3682"/>
      <c r="Z19" s="1352"/>
      <c r="AA19" s="1349">
        <v>1</v>
      </c>
      <c r="AB19" s="1349">
        <v>1</v>
      </c>
      <c r="AC19" s="1349">
        <v>1</v>
      </c>
    </row>
    <row r="20" spans="1:29" ht="55.2">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682"/>
      <c r="Q20" s="1348" t="str">
        <f>B20</f>
        <v>自然及人文环境</v>
      </c>
      <c r="R20" s="703" t="s">
        <v>14</v>
      </c>
      <c r="S20" s="704">
        <f>F20</f>
        <v>100</v>
      </c>
      <c r="T20" s="703" t="s">
        <v>14</v>
      </c>
      <c r="U20" s="704">
        <f>H20</f>
        <v>100</v>
      </c>
      <c r="V20" s="703" t="s">
        <v>14</v>
      </c>
      <c r="W20" s="704">
        <f>J20</f>
        <v>100</v>
      </c>
      <c r="X20" s="1351"/>
      <c r="Y20" s="3682"/>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7"/>
      <c r="M21" s="2711"/>
      <c r="N21" s="2711"/>
      <c r="O21" s="2769"/>
      <c r="P21" s="3682"/>
      <c r="Q21" s="1348"/>
      <c r="R21" s="703"/>
      <c r="S21" s="704"/>
      <c r="T21" s="703"/>
      <c r="U21" s="704"/>
      <c r="V21" s="703"/>
      <c r="W21" s="704"/>
      <c r="X21" s="1351"/>
      <c r="Y21" s="3682"/>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682"/>
      <c r="Q22" s="1348" t="str">
        <f>B22</f>
        <v>楼层</v>
      </c>
      <c r="R22" s="703" t="s">
        <v>14</v>
      </c>
      <c r="S22" s="704">
        <f>F22</f>
        <v>100</v>
      </c>
      <c r="T22" s="703" t="s">
        <v>14</v>
      </c>
      <c r="U22" s="704">
        <f>H22</f>
        <v>100</v>
      </c>
      <c r="V22" s="703" t="s">
        <v>14</v>
      </c>
      <c r="W22" s="704">
        <f>J22</f>
        <v>100</v>
      </c>
      <c r="X22" s="1351"/>
      <c r="Y22" s="3682"/>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682"/>
      <c r="Q23" s="1348">
        <f>B23</f>
        <v>111</v>
      </c>
      <c r="R23" s="703" t="s">
        <v>14</v>
      </c>
      <c r="S23" s="704">
        <f>F23</f>
        <v>100</v>
      </c>
      <c r="T23" s="703" t="s">
        <v>14</v>
      </c>
      <c r="U23" s="704">
        <f>H23</f>
        <v>100</v>
      </c>
      <c r="V23" s="703" t="s">
        <v>14</v>
      </c>
      <c r="W23" s="704">
        <f>J23</f>
        <v>100</v>
      </c>
      <c r="X23" s="1351"/>
      <c r="Y23" s="3682"/>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682"/>
      <c r="Q24" s="1348">
        <f t="shared" ref="Q24:Q34" si="11">B24</f>
        <v>111</v>
      </c>
      <c r="R24" s="703" t="s">
        <v>14</v>
      </c>
      <c r="S24" s="704">
        <f>F24</f>
        <v>100</v>
      </c>
      <c r="T24" s="703" t="s">
        <v>14</v>
      </c>
      <c r="U24" s="704">
        <f>H24</f>
        <v>100</v>
      </c>
      <c r="V24" s="703" t="s">
        <v>14</v>
      </c>
      <c r="W24" s="704">
        <f>J24</f>
        <v>100</v>
      </c>
      <c r="X24" s="1351"/>
      <c r="Y24" s="3682"/>
      <c r="Z24" s="1352">
        <f>Q24</f>
        <v>111</v>
      </c>
      <c r="AA24" s="1349">
        <f t="shared" si="3"/>
        <v>1</v>
      </c>
      <c r="AB24" s="1349">
        <f t="shared" si="4"/>
        <v>1</v>
      </c>
      <c r="AC24" s="1349">
        <f t="shared" si="5"/>
        <v>1</v>
      </c>
    </row>
    <row r="25" spans="1:29" s="108" customFormat="1" ht="15.6"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2"/>
      <c r="M25" s="2713"/>
      <c r="N25" s="2713"/>
      <c r="O25" s="2767"/>
      <c r="P25" s="3682"/>
      <c r="Q25" s="1339">
        <f t="shared" si="11"/>
        <v>111</v>
      </c>
      <c r="R25" s="699" t="s">
        <v>14</v>
      </c>
      <c r="S25" s="700">
        <f>F25</f>
        <v>100</v>
      </c>
      <c r="T25" s="699" t="s">
        <v>14</v>
      </c>
      <c r="U25" s="700">
        <f>H25</f>
        <v>100</v>
      </c>
      <c r="V25" s="699" t="s">
        <v>14</v>
      </c>
      <c r="W25" s="700">
        <f>J25</f>
        <v>100</v>
      </c>
      <c r="X25" s="701"/>
      <c r="Y25" s="3682"/>
      <c r="Z25" s="52">
        <f>Q25</f>
        <v>111</v>
      </c>
      <c r="AA25" s="1349">
        <f>D25/F25</f>
        <v>1</v>
      </c>
      <c r="AB25" s="1349">
        <f>D25/H25</f>
        <v>1</v>
      </c>
      <c r="AC25" s="1349">
        <f>D25/J25</f>
        <v>1</v>
      </c>
    </row>
    <row r="26" spans="1:29" ht="30">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7"/>
      <c r="M26" s="2711"/>
      <c r="N26" s="2711"/>
      <c r="O26" s="2769"/>
      <c r="P26" s="3730"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86"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686"/>
      <c r="Q27" s="705" t="str">
        <f t="shared" si="11"/>
        <v>成新率</v>
      </c>
      <c r="R27" s="706" t="s">
        <v>14</v>
      </c>
      <c r="S27" s="707" t="e">
        <f t="shared" si="12"/>
        <v>#N/A</v>
      </c>
      <c r="T27" s="706" t="s">
        <v>14</v>
      </c>
      <c r="U27" s="707" t="e">
        <f t="shared" si="13"/>
        <v>#N/A</v>
      </c>
      <c r="V27" s="706" t="s">
        <v>14</v>
      </c>
      <c r="W27" s="707" t="e">
        <f t="shared" si="14"/>
        <v>#N/A</v>
      </c>
      <c r="X27" s="708"/>
      <c r="Y27" s="3686"/>
      <c r="Z27" s="709"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686"/>
      <c r="Q28" s="1348" t="str">
        <f t="shared" si="11"/>
        <v>物业等级</v>
      </c>
      <c r="R28" s="703" t="s">
        <v>14</v>
      </c>
      <c r="S28" s="704">
        <f t="shared" si="12"/>
        <v>100</v>
      </c>
      <c r="T28" s="703" t="s">
        <v>14</v>
      </c>
      <c r="U28" s="704">
        <f t="shared" si="13"/>
        <v>100</v>
      </c>
      <c r="V28" s="703" t="s">
        <v>14</v>
      </c>
      <c r="W28" s="704">
        <f t="shared" si="14"/>
        <v>100</v>
      </c>
      <c r="X28" s="1351"/>
      <c r="Y28" s="3686"/>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686"/>
      <c r="Q29" s="1348" t="str">
        <f t="shared" si="11"/>
        <v>有无电梯</v>
      </c>
      <c r="R29" s="703" t="s">
        <v>14</v>
      </c>
      <c r="S29" s="704">
        <f t="shared" si="12"/>
        <v>100</v>
      </c>
      <c r="T29" s="703" t="s">
        <v>14</v>
      </c>
      <c r="U29" s="704">
        <f t="shared" si="13"/>
        <v>100</v>
      </c>
      <c r="V29" s="703" t="s">
        <v>14</v>
      </c>
      <c r="W29" s="704">
        <f t="shared" si="14"/>
        <v>100</v>
      </c>
      <c r="X29" s="1351"/>
      <c r="Y29" s="3686"/>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686"/>
      <c r="Q30" s="1348" t="str">
        <f t="shared" si="11"/>
        <v>建筑面积</v>
      </c>
      <c r="R30" s="703" t="s">
        <v>14</v>
      </c>
      <c r="S30" s="704" t="e">
        <f t="shared" si="12"/>
        <v>#N/A</v>
      </c>
      <c r="T30" s="703" t="s">
        <v>14</v>
      </c>
      <c r="U30" s="704" t="e">
        <f t="shared" si="13"/>
        <v>#N/A</v>
      </c>
      <c r="V30" s="703" t="s">
        <v>14</v>
      </c>
      <c r="W30" s="704" t="e">
        <f t="shared" si="14"/>
        <v>#N/A</v>
      </c>
      <c r="X30" s="1351"/>
      <c r="Y30" s="3686"/>
      <c r="Z30" s="1352" t="str">
        <f t="shared" si="15"/>
        <v>建筑面积</v>
      </c>
      <c r="AA30" s="1349" t="e">
        <f t="shared" si="3"/>
        <v>#N/A</v>
      </c>
      <c r="AB30" s="1349" t="e">
        <f t="shared" si="4"/>
        <v>#N/A</v>
      </c>
      <c r="AC30" s="1349"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686"/>
      <c r="Q31" s="1339" t="str">
        <f t="shared" si="11"/>
        <v>是否封闭</v>
      </c>
      <c r="R31" s="699" t="s">
        <v>14</v>
      </c>
      <c r="S31" s="700">
        <f t="shared" si="12"/>
        <v>100</v>
      </c>
      <c r="T31" s="699" t="s">
        <v>14</v>
      </c>
      <c r="U31" s="700">
        <f t="shared" si="13"/>
        <v>100</v>
      </c>
      <c r="V31" s="699" t="s">
        <v>14</v>
      </c>
      <c r="W31" s="700">
        <f t="shared" si="14"/>
        <v>100</v>
      </c>
      <c r="X31" s="701"/>
      <c r="Y31" s="3686"/>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686" t="s">
        <v>1696</v>
      </c>
      <c r="Q32" s="1348">
        <f t="shared" si="11"/>
        <v>111</v>
      </c>
      <c r="R32" s="703" t="s">
        <v>14</v>
      </c>
      <c r="S32" s="704">
        <f t="shared" si="12"/>
        <v>100</v>
      </c>
      <c r="T32" s="703" t="s">
        <v>14</v>
      </c>
      <c r="U32" s="704">
        <f t="shared" si="13"/>
        <v>100</v>
      </c>
      <c r="V32" s="703" t="s">
        <v>14</v>
      </c>
      <c r="W32" s="704">
        <f t="shared" si="14"/>
        <v>100</v>
      </c>
      <c r="X32" s="1351"/>
      <c r="Y32" s="3686"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686"/>
      <c r="Q33" s="1348">
        <f t="shared" si="11"/>
        <v>111</v>
      </c>
      <c r="R33" s="703" t="s">
        <v>14</v>
      </c>
      <c r="S33" s="704">
        <f t="shared" si="12"/>
        <v>100</v>
      </c>
      <c r="T33" s="703" t="s">
        <v>14</v>
      </c>
      <c r="U33" s="704">
        <f t="shared" si="13"/>
        <v>100</v>
      </c>
      <c r="V33" s="703" t="s">
        <v>14</v>
      </c>
      <c r="W33" s="704">
        <f t="shared" si="14"/>
        <v>100</v>
      </c>
      <c r="X33" s="1351"/>
      <c r="Y33" s="3686"/>
      <c r="Z33" s="1352">
        <f t="shared" si="15"/>
        <v>111</v>
      </c>
      <c r="AA33" s="1349">
        <f t="shared" si="3"/>
        <v>1</v>
      </c>
      <c r="AB33" s="1349">
        <f t="shared" si="4"/>
        <v>1</v>
      </c>
      <c r="AC33" s="1349">
        <f t="shared" si="5"/>
        <v>1</v>
      </c>
    </row>
    <row r="34" spans="1:30" ht="15.6"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7"/>
      <c r="M34" s="2711"/>
      <c r="N34" s="2711"/>
      <c r="O34" s="2769"/>
      <c r="P34" s="3686"/>
      <c r="Q34" s="1348">
        <f t="shared" si="11"/>
        <v>111</v>
      </c>
      <c r="R34" s="703" t="s">
        <v>14</v>
      </c>
      <c r="S34" s="704">
        <f t="shared" si="12"/>
        <v>100</v>
      </c>
      <c r="T34" s="703" t="s">
        <v>14</v>
      </c>
      <c r="U34" s="704">
        <f t="shared" si="13"/>
        <v>100</v>
      </c>
      <c r="V34" s="703" t="s">
        <v>14</v>
      </c>
      <c r="W34" s="704">
        <f t="shared" si="14"/>
        <v>100</v>
      </c>
      <c r="X34" s="1351"/>
      <c r="Y34" s="3686"/>
      <c r="Z34" s="1352">
        <f t="shared" si="15"/>
        <v>111</v>
      </c>
      <c r="AA34" s="1349">
        <f t="shared" si="3"/>
        <v>1</v>
      </c>
      <c r="AB34" s="1349">
        <f t="shared" si="4"/>
        <v>1</v>
      </c>
      <c r="AC34" s="1349">
        <f t="shared" si="5"/>
        <v>1</v>
      </c>
    </row>
    <row r="35" spans="1:30" ht="14.4">
      <c r="A35" s="429" t="s">
        <v>1708</v>
      </c>
      <c r="B35" s="430"/>
      <c r="C35" s="1150" t="s">
        <v>0</v>
      </c>
      <c r="D35" s="1151"/>
      <c r="E35" s="1152"/>
      <c r="F35" s="1153"/>
      <c r="G35" s="1154"/>
      <c r="H35" s="1155"/>
      <c r="I35" s="1152"/>
      <c r="J35" s="1155"/>
      <c r="K35" s="712"/>
      <c r="L35" s="2719"/>
      <c r="M35" s="2720"/>
      <c r="N35" s="2711"/>
      <c r="O35" s="2720"/>
      <c r="P35" s="3688" t="str">
        <f>A35</f>
        <v>成交单价（元/平方米）</v>
      </c>
      <c r="Q35" s="3688"/>
      <c r="R35" s="3689">
        <f>E35</f>
        <v>0</v>
      </c>
      <c r="S35" s="3689"/>
      <c r="T35" s="3689">
        <f>G35</f>
        <v>0</v>
      </c>
      <c r="U35" s="3689"/>
      <c r="V35" s="3689">
        <f>I35</f>
        <v>0</v>
      </c>
      <c r="W35" s="3689"/>
      <c r="X35" s="688"/>
      <c r="Y35" s="710"/>
      <c r="Z35" s="688"/>
      <c r="AA35" s="688"/>
      <c r="AB35" s="688"/>
      <c r="AC35" s="688"/>
    </row>
    <row r="36" spans="1:30" ht="15" thickBot="1">
      <c r="A36" s="436" t="s">
        <v>1793</v>
      </c>
      <c r="B36" s="437"/>
      <c r="C36" s="1156" t="e">
        <f>R37</f>
        <v>#DIV/0!</v>
      </c>
      <c r="D36" s="2313" t="s">
        <v>2138</v>
      </c>
      <c r="E36" s="1157" t="e">
        <f>R36</f>
        <v>#DIV/0!</v>
      </c>
      <c r="F36" s="2314"/>
      <c r="G36" s="1156" t="e">
        <f>T36</f>
        <v>#DIV/0!</v>
      </c>
      <c r="H36" s="2314"/>
      <c r="I36" s="1157" t="e">
        <f>V36</f>
        <v>#DIV/0!</v>
      </c>
      <c r="J36" s="2314"/>
      <c r="K36" s="2316">
        <f>F36+H36+J36</f>
        <v>0</v>
      </c>
      <c r="L36" s="2719"/>
      <c r="M36" s="2720"/>
      <c r="N36" s="2711"/>
      <c r="O36" s="2720"/>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8"/>
      <c r="Y36" s="688"/>
      <c r="Z36" s="688"/>
      <c r="AA36" s="688"/>
      <c r="AB36" s="688"/>
      <c r="AC36" s="688"/>
    </row>
    <row r="37" spans="1:30" ht="15" thickBot="1">
      <c r="A37" s="440" t="s">
        <v>1794</v>
      </c>
      <c r="B37" s="441"/>
      <c r="C37" s="1159" t="e">
        <f>R37</f>
        <v>#DIV/0!</v>
      </c>
      <c r="D37" s="1159"/>
      <c r="E37" s="1159"/>
      <c r="F37" s="1159"/>
      <c r="G37" s="1159"/>
      <c r="H37" s="1159"/>
      <c r="I37" s="1159"/>
      <c r="J37" s="1159"/>
      <c r="K37" s="713"/>
      <c r="L37" s="2719"/>
      <c r="M37" s="2720"/>
      <c r="N37" s="2720"/>
      <c r="O37" s="2720"/>
      <c r="P37" s="3727" t="str">
        <f>A37</f>
        <v>估价对象XX用房的比较价值（楼面单价，元/平方米）</v>
      </c>
      <c r="Q37" s="3728"/>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2.2"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6" customFormat="1" ht="14.4">
      <c r="A46" s="453" t="s">
        <v>1679</v>
      </c>
      <c r="B46" s="454"/>
      <c r="C46" s="1180" t="str">
        <f>YEAR(C7)&amp;"-"&amp;MONTH(C7)</f>
        <v>2023-7</v>
      </c>
      <c r="D46" s="1181">
        <f>EDATE(C46,-1)</f>
        <v>45078</v>
      </c>
      <c r="E46" s="1181">
        <f t="shared" ref="E46:O46" si="16">EDATE(D46,-1)</f>
        <v>45047</v>
      </c>
      <c r="F46" s="1181">
        <f t="shared" si="16"/>
        <v>45017</v>
      </c>
      <c r="G46" s="1181">
        <f t="shared" si="16"/>
        <v>44986</v>
      </c>
      <c r="H46" s="1181">
        <f t="shared" si="16"/>
        <v>44958</v>
      </c>
      <c r="I46" s="1181">
        <f t="shared" si="16"/>
        <v>44927</v>
      </c>
      <c r="J46" s="1181">
        <f t="shared" si="16"/>
        <v>44896</v>
      </c>
      <c r="K46" s="1181">
        <f t="shared" si="16"/>
        <v>44866</v>
      </c>
      <c r="L46" s="1181">
        <f t="shared" si="16"/>
        <v>44835</v>
      </c>
      <c r="M46" s="1181">
        <f t="shared" si="16"/>
        <v>44805</v>
      </c>
      <c r="N46" s="1181">
        <f t="shared" si="16"/>
        <v>44774</v>
      </c>
      <c r="O46" s="1181">
        <f t="shared" si="16"/>
        <v>44743</v>
      </c>
      <c r="P46" s="2771"/>
      <c r="Q46" s="2736"/>
      <c r="R46" s="2736"/>
      <c r="S46" s="2736"/>
      <c r="T46" s="2736"/>
      <c r="U46" s="2736"/>
      <c r="V46" s="2736"/>
      <c r="W46" s="2736"/>
      <c r="X46" s="2736"/>
      <c r="Y46" s="2736"/>
      <c r="Z46" s="2736"/>
      <c r="AA46" s="2736"/>
      <c r="AB46" s="2736"/>
      <c r="AC46" s="2736"/>
      <c r="AD46" s="2736"/>
    </row>
    <row r="47" spans="1:30" s="108" customFormat="1">
      <c r="A47" s="457"/>
      <c r="B47" s="458"/>
      <c r="C47" s="1179">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 thickBot="1">
      <c r="A48" s="463" t="s">
        <v>1716</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4.4">
      <c r="A49" s="469" t="s">
        <v>1681</v>
      </c>
      <c r="B49" s="458"/>
      <c r="C49" s="470" t="s">
        <v>1776</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4.4"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ht="14.4">
      <c r="A51" s="475" t="s">
        <v>1719</v>
      </c>
      <c r="B51" s="476" t="s">
        <v>1685</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4.4"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9.4" thickTop="1">
      <c r="A53" s="482"/>
      <c r="B53" s="486" t="s">
        <v>1688</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4.4"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4.4"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4.4"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4.4"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4.4"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4.4"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4.4"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9.4" thickTop="1">
      <c r="A63" s="482"/>
      <c r="B63" s="486" t="s">
        <v>1863</v>
      </c>
      <c r="C63" s="526" t="s">
        <v>1721</v>
      </c>
      <c r="D63" s="526" t="s">
        <v>1722</v>
      </c>
      <c r="E63" s="526" t="s">
        <v>1723</v>
      </c>
      <c r="F63" s="526" t="s">
        <v>1724</v>
      </c>
      <c r="G63" s="526" t="s">
        <v>1725</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 thickTop="1">
      <c r="A65" s="482"/>
      <c r="B65" s="494" t="s">
        <v>1813</v>
      </c>
      <c r="C65" s="607" t="s">
        <v>1799</v>
      </c>
      <c r="D65" s="607" t="s">
        <v>1800</v>
      </c>
      <c r="E65" s="607" t="s">
        <v>1801</v>
      </c>
      <c r="F65" s="607" t="s">
        <v>1802</v>
      </c>
      <c r="G65" s="607" t="s">
        <v>1803</v>
      </c>
      <c r="H65" s="487"/>
      <c r="I65" s="487"/>
      <c r="J65" s="487"/>
      <c r="K65" s="487"/>
      <c r="L65" s="487"/>
      <c r="M65" s="1125"/>
      <c r="N65" s="2749"/>
      <c r="O65" s="2749"/>
      <c r="P65" s="2773"/>
      <c r="Q65" s="2734"/>
      <c r="R65" s="2720"/>
      <c r="S65" s="2720"/>
      <c r="T65" s="2720"/>
      <c r="U65" s="2720"/>
      <c r="V65" s="2720"/>
      <c r="W65" s="2720"/>
      <c r="X65" s="2720"/>
      <c r="Y65" s="2720"/>
      <c r="Z65" s="2720"/>
      <c r="AA65" s="2720"/>
      <c r="AB65" s="2720"/>
      <c r="AC65" s="2720"/>
      <c r="AD65" s="2720"/>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 thickTop="1">
      <c r="A67" s="482"/>
      <c r="B67" s="486" t="s">
        <v>1733</v>
      </c>
      <c r="C67" s="526" t="s">
        <v>1721</v>
      </c>
      <c r="D67" s="526" t="s">
        <v>1722</v>
      </c>
      <c r="E67" s="526" t="s">
        <v>1723</v>
      </c>
      <c r="F67" s="526" t="s">
        <v>1724</v>
      </c>
      <c r="G67" s="526" t="s">
        <v>1725</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 thickTop="1">
      <c r="A69" s="482"/>
      <c r="B69" s="486" t="s">
        <v>1852</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4.4"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4.4"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4.4"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4.4"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4.4"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4.4"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4.4"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1694</v>
      </c>
      <c r="B77" s="476" t="s">
        <v>1740</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1856</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1864</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4.4"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1866</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4.4"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4.4"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4.4"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4.4"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4.4"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4.4"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4.4"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4.4" thickTop="1">
      <c r="N97" s="2720"/>
      <c r="O97" s="2720"/>
      <c r="P97" s="2720"/>
      <c r="Q97" s="2720"/>
      <c r="R97" s="2720"/>
      <c r="S97" s="2720"/>
      <c r="T97" s="2720"/>
      <c r="U97" s="2720"/>
      <c r="V97" s="2720"/>
      <c r="W97" s="2720"/>
      <c r="X97" s="2720"/>
      <c r="Y97" s="2720"/>
      <c r="Z97" s="2720"/>
      <c r="AA97" s="2720"/>
      <c r="AB97" s="2720"/>
      <c r="AC97" s="2720"/>
      <c r="AD97" s="2720"/>
    </row>
    <row r="98" spans="1:30">
      <c r="A98" s="934"/>
      <c r="B98" s="934"/>
      <c r="C98" s="934"/>
      <c r="D98" s="934"/>
      <c r="E98" s="934"/>
      <c r="F98" s="934"/>
      <c r="G98" s="934"/>
      <c r="H98" s="934"/>
      <c r="I98" s="934"/>
      <c r="J98" s="934"/>
      <c r="K98" s="935"/>
      <c r="L98" s="936"/>
      <c r="M98" s="934"/>
      <c r="N98" s="2720"/>
      <c r="O98" s="2720"/>
      <c r="P98" s="2720"/>
      <c r="Q98" s="2720"/>
      <c r="R98" s="2720"/>
      <c r="S98" s="2720"/>
      <c r="T98" s="2720"/>
      <c r="U98" s="2720"/>
      <c r="V98" s="2720"/>
      <c r="W98" s="2720"/>
      <c r="X98" s="2720"/>
      <c r="Y98" s="2720"/>
      <c r="Z98" s="2720"/>
      <c r="AA98" s="2720"/>
      <c r="AB98" s="2720"/>
      <c r="AC98" s="2720"/>
      <c r="AD98" s="2720"/>
    </row>
    <row r="99" spans="1:30">
      <c r="A99" s="934"/>
      <c r="B99" s="934"/>
      <c r="C99" s="934"/>
      <c r="D99" s="934"/>
      <c r="E99" s="934"/>
      <c r="F99" s="934"/>
      <c r="G99" s="934"/>
      <c r="H99" s="934"/>
      <c r="I99" s="934"/>
      <c r="J99" s="934"/>
      <c r="K99" s="935"/>
      <c r="L99" s="936"/>
      <c r="M99" s="934"/>
      <c r="N99" s="2720"/>
      <c r="O99" s="2720"/>
      <c r="P99" s="2720"/>
      <c r="Q99" s="2720"/>
      <c r="R99" s="2720"/>
      <c r="S99" s="2720"/>
      <c r="T99" s="2720"/>
      <c r="U99" s="2720"/>
      <c r="V99" s="2720"/>
      <c r="W99" s="2720"/>
      <c r="X99" s="2720"/>
      <c r="Y99" s="2720"/>
      <c r="Z99" s="2720"/>
      <c r="AA99" s="2720"/>
      <c r="AB99" s="2720"/>
      <c r="AC99" s="2720"/>
      <c r="AD99" s="2720"/>
    </row>
    <row r="100" spans="1:30">
      <c r="A100" s="934"/>
      <c r="B100" s="934"/>
      <c r="C100" s="934"/>
      <c r="D100" s="934"/>
      <c r="E100" s="934"/>
      <c r="F100" s="934"/>
      <c r="G100" s="934"/>
      <c r="H100" s="934"/>
      <c r="I100" s="934"/>
      <c r="J100" s="934"/>
      <c r="K100" s="935"/>
      <c r="L100" s="936"/>
      <c r="M100" s="934"/>
      <c r="N100" s="2720"/>
      <c r="O100" s="2720"/>
      <c r="P100" s="2720"/>
      <c r="Q100" s="2720"/>
      <c r="R100" s="2720"/>
      <c r="S100" s="2720"/>
      <c r="T100" s="2720"/>
      <c r="U100" s="2720"/>
      <c r="V100" s="2720"/>
      <c r="W100" s="2720"/>
      <c r="X100" s="2720"/>
      <c r="Y100" s="2720"/>
      <c r="Z100" s="2720"/>
      <c r="AA100" s="2720"/>
      <c r="AB100" s="2720"/>
      <c r="AC100" s="2720"/>
      <c r="AD100" s="2720"/>
    </row>
    <row r="101" spans="1:30">
      <c r="A101" s="934"/>
      <c r="B101" s="934"/>
      <c r="C101" s="934"/>
      <c r="D101" s="934"/>
      <c r="E101" s="934"/>
      <c r="F101" s="934"/>
      <c r="G101" s="934"/>
      <c r="H101" s="934"/>
      <c r="I101" s="934"/>
      <c r="J101" s="934"/>
      <c r="K101" s="935"/>
      <c r="L101" s="936"/>
      <c r="M101" s="934"/>
      <c r="N101" s="2720"/>
      <c r="O101" s="2720"/>
      <c r="P101" s="2720"/>
      <c r="Q101" s="2720"/>
      <c r="R101" s="2720"/>
      <c r="S101" s="2720"/>
      <c r="T101" s="2720"/>
      <c r="U101" s="2720"/>
      <c r="V101" s="2720"/>
      <c r="W101" s="2720"/>
      <c r="X101" s="2720"/>
      <c r="Y101" s="2720"/>
      <c r="Z101" s="2720"/>
      <c r="AA101" s="2720"/>
      <c r="AB101" s="2720"/>
      <c r="AC101" s="2720"/>
      <c r="AD101" s="2720"/>
    </row>
    <row r="102" spans="1:30">
      <c r="A102" s="934"/>
      <c r="B102" s="934"/>
      <c r="C102" s="934"/>
      <c r="D102" s="934"/>
      <c r="E102" s="934"/>
      <c r="F102" s="934"/>
      <c r="G102" s="934"/>
      <c r="H102" s="934"/>
      <c r="I102" s="934"/>
      <c r="J102" s="934"/>
      <c r="K102" s="935"/>
      <c r="L102" s="936"/>
      <c r="M102" s="934"/>
      <c r="N102" s="2720"/>
      <c r="O102" s="2720"/>
      <c r="P102" s="2720"/>
      <c r="Q102" s="2720"/>
      <c r="R102" s="2720"/>
      <c r="S102" s="2720"/>
      <c r="T102" s="2720"/>
      <c r="U102" s="2720"/>
      <c r="V102" s="2720"/>
      <c r="W102" s="2720"/>
      <c r="X102" s="2720"/>
      <c r="Y102" s="2720"/>
      <c r="Z102" s="2720"/>
      <c r="AA102" s="2720"/>
      <c r="AB102" s="2720"/>
      <c r="AC102" s="2720"/>
      <c r="AD102" s="2720"/>
    </row>
    <row r="103" spans="1:30">
      <c r="A103" s="934"/>
      <c r="B103" s="934"/>
      <c r="C103" s="934"/>
      <c r="D103" s="934"/>
      <c r="E103" s="934"/>
      <c r="F103" s="934"/>
      <c r="G103" s="934"/>
      <c r="H103" s="934"/>
      <c r="I103" s="934"/>
      <c r="J103" s="934"/>
      <c r="K103" s="935"/>
      <c r="L103" s="936"/>
      <c r="M103" s="934"/>
      <c r="N103" s="934"/>
      <c r="O103" s="934"/>
      <c r="P103" s="2720"/>
      <c r="Q103" s="2720"/>
      <c r="R103" s="2720"/>
      <c r="S103" s="2720"/>
      <c r="T103" s="2720"/>
      <c r="U103" s="2720"/>
      <c r="V103" s="2720"/>
      <c r="W103" s="2720"/>
      <c r="X103" s="2720"/>
      <c r="Y103" s="2720"/>
      <c r="Z103" s="2720"/>
      <c r="AA103" s="2720"/>
      <c r="AB103" s="2720"/>
      <c r="AC103" s="2720"/>
      <c r="AD103" s="2720"/>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89"/>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30" ht="14.4">
      <c r="A4" s="354" t="s">
        <v>1769</v>
      </c>
      <c r="B4" s="355"/>
      <c r="C4" s="3663" t="s">
        <v>1770</v>
      </c>
      <c r="D4" s="3664"/>
      <c r="E4" s="3665" t="s">
        <v>1771</v>
      </c>
      <c r="F4" s="3666"/>
      <c r="G4" s="3663" t="s">
        <v>1772</v>
      </c>
      <c r="H4" s="3664"/>
      <c r="I4" s="3663" t="s">
        <v>1773</v>
      </c>
      <c r="J4" s="3664"/>
      <c r="K4" s="558" t="s">
        <v>1774</v>
      </c>
      <c r="L4" s="2710"/>
      <c r="M4" s="2711"/>
      <c r="N4" s="2711"/>
      <c r="O4" s="2711"/>
      <c r="P4" s="3723" t="s">
        <v>1775</v>
      </c>
      <c r="Q4" s="3724"/>
      <c r="R4" s="3720" t="s">
        <v>1771</v>
      </c>
      <c r="S4" s="3721"/>
      <c r="T4" s="3720" t="s">
        <v>1772</v>
      </c>
      <c r="U4" s="3721"/>
      <c r="V4" s="3676" t="s">
        <v>1773</v>
      </c>
      <c r="W4" s="3676"/>
      <c r="X4" s="1351"/>
      <c r="Y4" s="3720" t="s">
        <v>1775</v>
      </c>
      <c r="Z4" s="3721"/>
      <c r="AA4" s="3719" t="s">
        <v>1771</v>
      </c>
      <c r="AB4" s="3642" t="s">
        <v>1772</v>
      </c>
      <c r="AC4" s="3719" t="s">
        <v>1773</v>
      </c>
    </row>
    <row r="5" spans="1:30">
      <c r="A5" s="357"/>
      <c r="B5" s="358"/>
      <c r="C5" s="3652" t="s">
        <v>1673</v>
      </c>
      <c r="D5" s="3653"/>
      <c r="E5" s="3722" t="s">
        <v>1674</v>
      </c>
      <c r="F5" s="3651"/>
      <c r="G5" s="3652" t="s">
        <v>1675</v>
      </c>
      <c r="H5" s="3653"/>
      <c r="I5" s="3652" t="s">
        <v>1676</v>
      </c>
      <c r="J5" s="3653"/>
      <c r="K5" s="558"/>
      <c r="L5" s="2710"/>
      <c r="M5" s="2711"/>
      <c r="N5" s="2711"/>
      <c r="O5" s="2711"/>
      <c r="P5" s="3725"/>
      <c r="Q5" s="3670"/>
      <c r="R5" s="3648"/>
      <c r="S5" s="3649"/>
      <c r="T5" s="3648"/>
      <c r="U5" s="3649"/>
      <c r="V5" s="3676"/>
      <c r="W5" s="3676"/>
      <c r="X5" s="1351"/>
      <c r="Y5" s="3648"/>
      <c r="Z5" s="3649"/>
      <c r="AA5" s="3642"/>
      <c r="AB5" s="3642"/>
      <c r="AC5" s="3642"/>
    </row>
    <row r="6" spans="1:30" ht="15" thickBot="1">
      <c r="A6" s="359"/>
      <c r="B6" s="360"/>
      <c r="C6" s="3654" t="s">
        <v>1677</v>
      </c>
      <c r="D6" s="3655"/>
      <c r="E6" s="3657" t="s">
        <v>1677</v>
      </c>
      <c r="F6" s="3658"/>
      <c r="G6" s="3654" t="s">
        <v>1677</v>
      </c>
      <c r="H6" s="3655"/>
      <c r="I6" s="3654" t="s">
        <v>1677</v>
      </c>
      <c r="J6" s="3655"/>
      <c r="K6" s="558" t="s">
        <v>1678</v>
      </c>
      <c r="L6" s="2710"/>
      <c r="M6" s="2711"/>
      <c r="N6" s="2711"/>
      <c r="O6" s="2711"/>
      <c r="P6" s="3726"/>
      <c r="Q6" s="3672"/>
      <c r="R6" s="3648"/>
      <c r="S6" s="3649"/>
      <c r="T6" s="3673"/>
      <c r="U6" s="3674"/>
      <c r="V6" s="3676"/>
      <c r="W6" s="3676"/>
      <c r="X6" s="1351"/>
      <c r="Y6" s="3673"/>
      <c r="Z6" s="3674"/>
      <c r="AA6" s="3643"/>
      <c r="AB6" s="3643"/>
      <c r="AC6" s="3643"/>
    </row>
    <row r="7" spans="1:30" s="108" customFormat="1" ht="15" thickBot="1">
      <c r="A7" s="361" t="s">
        <v>1679</v>
      </c>
      <c r="B7" s="362"/>
      <c r="C7" s="363">
        <f>'数据-取费表'!B2</f>
        <v>45124</v>
      </c>
      <c r="D7" s="364">
        <v>100</v>
      </c>
      <c r="E7" s="365"/>
      <c r="F7" s="366">
        <f>SUMIF(69:69,YEAR(E7)&amp;"-"&amp;INT((MONTH(E7)+2)/3),70:70)</f>
        <v>0</v>
      </c>
      <c r="G7" s="1970"/>
      <c r="H7" s="364">
        <f>SUMIF(69:69,YEAR(G7)&amp;"-"&amp;INT((MONTH(G7)+2)/3),70:70)</f>
        <v>0</v>
      </c>
      <c r="I7" s="1970"/>
      <c r="J7" s="364">
        <f>SUMIF(69:69,YEAR(I7)&amp;"-"&amp;INT((MONTH(I7)+2)/3),70:70)</f>
        <v>0</v>
      </c>
      <c r="K7" s="559"/>
      <c r="L7" s="2712"/>
      <c r="M7" s="2713"/>
      <c r="N7" s="2713"/>
      <c r="O7" s="2713"/>
      <c r="P7" s="3644" t="s">
        <v>1680</v>
      </c>
      <c r="Q7" s="3678"/>
      <c r="R7" s="699" t="s">
        <v>14</v>
      </c>
      <c r="S7" s="700">
        <f t="shared" ref="S7:S15" si="0">F7</f>
        <v>0</v>
      </c>
      <c r="T7" s="699" t="s">
        <v>14</v>
      </c>
      <c r="U7" s="700">
        <f t="shared" ref="U7:U15" si="1">H7</f>
        <v>0</v>
      </c>
      <c r="V7" s="699" t="s">
        <v>14</v>
      </c>
      <c r="W7" s="700">
        <f t="shared" ref="W7:W15" si="2">J7</f>
        <v>0</v>
      </c>
      <c r="X7" s="701"/>
      <c r="Y7" s="3644" t="s">
        <v>1680</v>
      </c>
      <c r="Z7" s="3645"/>
      <c r="AA7" s="702" t="e">
        <f>D7/F7</f>
        <v>#DIV/0!</v>
      </c>
      <c r="AB7" s="702" t="e">
        <f>D7/H7</f>
        <v>#DIV/0!</v>
      </c>
      <c r="AC7" s="702"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2"/>
      <c r="M8" s="2713"/>
      <c r="N8" s="2713"/>
      <c r="O8" s="2713"/>
      <c r="P8" s="3644" t="s">
        <v>1683</v>
      </c>
      <c r="Q8" s="3645"/>
      <c r="R8" s="699" t="s">
        <v>14</v>
      </c>
      <c r="S8" s="700">
        <f t="shared" si="0"/>
        <v>0</v>
      </c>
      <c r="T8" s="699" t="s">
        <v>14</v>
      </c>
      <c r="U8" s="700">
        <f t="shared" si="1"/>
        <v>0</v>
      </c>
      <c r="V8" s="699" t="s">
        <v>14</v>
      </c>
      <c r="W8" s="700">
        <f t="shared" si="2"/>
        <v>0</v>
      </c>
      <c r="X8" s="701"/>
      <c r="Y8" s="3644" t="s">
        <v>1683</v>
      </c>
      <c r="Z8" s="3645"/>
      <c r="AA8" s="702" t="e">
        <f t="shared" ref="AA8:AA45" si="3">D8/F8</f>
        <v>#DIV/0!</v>
      </c>
      <c r="AB8" s="702" t="e">
        <f t="shared" ref="AB8:AB45" si="4">D8/H8</f>
        <v>#DIV/0!</v>
      </c>
      <c r="AC8" s="702" t="e">
        <f t="shared" ref="AC8:AC45" si="5">D8/J8</f>
        <v>#DIV/0!</v>
      </c>
    </row>
    <row r="9" spans="1:30" s="108" customFormat="1" ht="14.4">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2"/>
      <c r="M9" s="2713"/>
      <c r="N9" s="2713"/>
      <c r="O9" s="2767"/>
      <c r="P9" s="3688" t="s">
        <v>1686</v>
      </c>
      <c r="Q9" s="1339"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30" s="377" customFormat="1" ht="28.8">
      <c r="A10" s="373"/>
      <c r="B10" s="374" t="s">
        <v>1688</v>
      </c>
      <c r="C10" s="382"/>
      <c r="D10" s="126">
        <v>100</v>
      </c>
      <c r="E10" s="415"/>
      <c r="F10" s="126">
        <f>ROUND(100/'数据-取费表'!G16,0)</f>
        <v>113</v>
      </c>
      <c r="G10" s="413"/>
      <c r="H10" s="126">
        <f>ROUND(100/'数据-取费表'!G16,0)</f>
        <v>113</v>
      </c>
      <c r="I10" s="413"/>
      <c r="J10" s="126">
        <f>ROUND(100/'数据-取费表'!G16,0)</f>
        <v>113</v>
      </c>
      <c r="K10" s="619"/>
      <c r="L10" s="2714"/>
      <c r="M10" s="2715"/>
      <c r="N10" s="2715"/>
      <c r="O10" s="2768"/>
      <c r="P10" s="3688"/>
      <c r="Q10" s="1339" t="str">
        <f t="shared" si="6"/>
        <v>土地使用年限（年）</v>
      </c>
      <c r="R10" s="699" t="s">
        <v>14</v>
      </c>
      <c r="S10" s="700">
        <f t="shared" si="0"/>
        <v>113</v>
      </c>
      <c r="T10" s="699" t="s">
        <v>14</v>
      </c>
      <c r="U10" s="700">
        <f t="shared" si="1"/>
        <v>113</v>
      </c>
      <c r="V10" s="699" t="s">
        <v>14</v>
      </c>
      <c r="W10" s="700">
        <f t="shared" si="2"/>
        <v>113</v>
      </c>
      <c r="X10" s="701"/>
      <c r="Y10" s="3614"/>
      <c r="Z10" s="52" t="str">
        <f t="shared" si="7"/>
        <v>土地使用年限（年）</v>
      </c>
      <c r="AA10" s="702">
        <f t="shared" si="3"/>
        <v>0.88495575221238942</v>
      </c>
      <c r="AB10" s="702">
        <f t="shared" si="4"/>
        <v>0.88495575221238942</v>
      </c>
      <c r="AC10" s="702">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6"/>
      <c r="M11" s="2711"/>
      <c r="N11" s="2711"/>
      <c r="O11" s="2769"/>
      <c r="P11" s="3688"/>
      <c r="Q11" s="1339" t="str">
        <f t="shared" si="6"/>
        <v>容积率</v>
      </c>
      <c r="R11" s="699" t="s">
        <v>14</v>
      </c>
      <c r="S11" s="700" t="e">
        <f t="shared" si="0"/>
        <v>#N/A</v>
      </c>
      <c r="T11" s="699" t="s">
        <v>14</v>
      </c>
      <c r="U11" s="700" t="e">
        <f t="shared" si="1"/>
        <v>#N/A</v>
      </c>
      <c r="V11" s="699" t="s">
        <v>14</v>
      </c>
      <c r="W11" s="700" t="e">
        <f t="shared" si="2"/>
        <v>#N/A</v>
      </c>
      <c r="X11" s="701"/>
      <c r="Y11" s="3614"/>
      <c r="Z11" s="52" t="str">
        <f t="shared" si="7"/>
        <v>容积率</v>
      </c>
      <c r="AA11" s="702" t="e">
        <f t="shared" si="3"/>
        <v>#N/A</v>
      </c>
      <c r="AB11" s="702" t="e">
        <f t="shared" si="4"/>
        <v>#N/A</v>
      </c>
      <c r="AC11" s="702" t="e">
        <f t="shared" si="5"/>
        <v>#N/A</v>
      </c>
    </row>
    <row r="12" spans="1:30" s="108"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688"/>
      <c r="Q12" s="1339" t="str">
        <f t="shared" si="6"/>
        <v>配建</v>
      </c>
      <c r="R12" s="699" t="s">
        <v>14</v>
      </c>
      <c r="S12" s="700">
        <f t="shared" si="0"/>
        <v>100</v>
      </c>
      <c r="T12" s="699" t="s">
        <v>14</v>
      </c>
      <c r="U12" s="700">
        <f t="shared" si="1"/>
        <v>100</v>
      </c>
      <c r="V12" s="699" t="s">
        <v>14</v>
      </c>
      <c r="W12" s="700">
        <f t="shared" si="2"/>
        <v>100</v>
      </c>
      <c r="X12" s="701"/>
      <c r="Y12" s="3614"/>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688"/>
      <c r="Q13" s="1339">
        <f t="shared" si="6"/>
        <v>111</v>
      </c>
      <c r="R13" s="699" t="s">
        <v>14</v>
      </c>
      <c r="S13" s="700">
        <f t="shared" si="0"/>
        <v>100</v>
      </c>
      <c r="T13" s="699" t="s">
        <v>14</v>
      </c>
      <c r="U13" s="700">
        <f t="shared" si="1"/>
        <v>100</v>
      </c>
      <c r="V13" s="699" t="s">
        <v>14</v>
      </c>
      <c r="W13" s="700">
        <f t="shared" si="2"/>
        <v>100</v>
      </c>
      <c r="X13" s="701"/>
      <c r="Y13" s="3614"/>
      <c r="Z13" s="52">
        <f t="shared" si="7"/>
        <v>111</v>
      </c>
      <c r="AA13" s="702">
        <f>D13/F13</f>
        <v>1</v>
      </c>
      <c r="AB13" s="702">
        <f>D13/H13</f>
        <v>1</v>
      </c>
      <c r="AC13" s="702">
        <f>D13/J13</f>
        <v>1</v>
      </c>
    </row>
    <row r="14" spans="1:30" ht="15.6"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688"/>
      <c r="Q14" s="1339">
        <f t="shared" si="6"/>
        <v>111</v>
      </c>
      <c r="R14" s="699" t="s">
        <v>14</v>
      </c>
      <c r="S14" s="700">
        <f t="shared" si="0"/>
        <v>100</v>
      </c>
      <c r="T14" s="699" t="s">
        <v>14</v>
      </c>
      <c r="U14" s="700">
        <f t="shared" si="1"/>
        <v>100</v>
      </c>
      <c r="V14" s="699" t="s">
        <v>14</v>
      </c>
      <c r="W14" s="700">
        <f t="shared" si="2"/>
        <v>100</v>
      </c>
      <c r="X14" s="701"/>
      <c r="Y14" s="3614"/>
      <c r="Z14" s="52">
        <f t="shared" si="7"/>
        <v>111</v>
      </c>
      <c r="AA14" s="702">
        <f>D14/F14</f>
        <v>1</v>
      </c>
      <c r="AB14" s="702">
        <f>D14/H14</f>
        <v>1</v>
      </c>
      <c r="AC14" s="702">
        <f>D14/J14</f>
        <v>1</v>
      </c>
    </row>
    <row r="15" spans="1:30" ht="96.6">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681" t="s">
        <v>1691</v>
      </c>
      <c r="Q15" s="1348" t="str">
        <f t="shared" si="6"/>
        <v>居住社区成熟度</v>
      </c>
      <c r="R15" s="703" t="s">
        <v>14</v>
      </c>
      <c r="S15" s="704">
        <f t="shared" si="0"/>
        <v>100</v>
      </c>
      <c r="T15" s="703" t="s">
        <v>14</v>
      </c>
      <c r="U15" s="704">
        <f t="shared" si="1"/>
        <v>100</v>
      </c>
      <c r="V15" s="703" t="s">
        <v>14</v>
      </c>
      <c r="W15" s="704">
        <f t="shared" si="2"/>
        <v>100</v>
      </c>
      <c r="X15" s="1351"/>
      <c r="Y15" s="3681"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7"/>
      <c r="M16" s="2711"/>
      <c r="N16" s="2711"/>
      <c r="O16" s="2769"/>
      <c r="P16" s="3682"/>
      <c r="Q16" s="1348"/>
      <c r="R16" s="703"/>
      <c r="S16" s="704"/>
      <c r="T16" s="703"/>
      <c r="U16" s="704"/>
      <c r="V16" s="703"/>
      <c r="W16" s="704"/>
      <c r="X16" s="1351"/>
      <c r="Y16" s="3682"/>
      <c r="Z16" s="1352"/>
      <c r="AA16" s="1349">
        <v>1</v>
      </c>
      <c r="AB16" s="1349">
        <v>1</v>
      </c>
      <c r="AC16" s="1349">
        <v>1</v>
      </c>
    </row>
    <row r="17" spans="1:29" ht="82.8">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682"/>
      <c r="Q17" s="1348" t="str">
        <f>B17</f>
        <v>商业繁华度</v>
      </c>
      <c r="R17" s="703" t="s">
        <v>14</v>
      </c>
      <c r="S17" s="704">
        <f>F17</f>
        <v>100</v>
      </c>
      <c r="T17" s="703" t="s">
        <v>14</v>
      </c>
      <c r="U17" s="704">
        <f>H17</f>
        <v>100</v>
      </c>
      <c r="V17" s="703" t="s">
        <v>14</v>
      </c>
      <c r="W17" s="704">
        <f>J17</f>
        <v>100</v>
      </c>
      <c r="X17" s="1351"/>
      <c r="Y17" s="3682"/>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7"/>
      <c r="M18" s="2711"/>
      <c r="N18" s="2711"/>
      <c r="O18" s="2769"/>
      <c r="P18" s="3682"/>
      <c r="Q18" s="1348"/>
      <c r="R18" s="703"/>
      <c r="S18" s="704"/>
      <c r="T18" s="703"/>
      <c r="U18" s="704"/>
      <c r="V18" s="703"/>
      <c r="W18" s="704"/>
      <c r="X18" s="1351"/>
      <c r="Y18" s="3682"/>
      <c r="Z18" s="1352"/>
      <c r="AA18" s="1349">
        <v>1</v>
      </c>
      <c r="AB18" s="1349">
        <v>1</v>
      </c>
      <c r="AC18" s="1349">
        <v>1</v>
      </c>
    </row>
    <row r="19" spans="1:29" ht="82.8">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7"/>
      <c r="M19" s="2711"/>
      <c r="N19" s="2711"/>
      <c r="O19" s="2769"/>
      <c r="P19" s="3682"/>
      <c r="Q19" s="1348" t="str">
        <f>B19</f>
        <v>办公集聚程度</v>
      </c>
      <c r="R19" s="703" t="s">
        <v>14</v>
      </c>
      <c r="S19" s="704">
        <f>F19</f>
        <v>100</v>
      </c>
      <c r="T19" s="703" t="s">
        <v>14</v>
      </c>
      <c r="U19" s="704">
        <f>H19</f>
        <v>100</v>
      </c>
      <c r="V19" s="703" t="s">
        <v>14</v>
      </c>
      <c r="W19" s="704">
        <f>J19</f>
        <v>100</v>
      </c>
      <c r="X19" s="1351"/>
      <c r="Y19" s="3682"/>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7"/>
      <c r="M20" s="2711"/>
      <c r="N20" s="2711"/>
      <c r="O20" s="2769"/>
      <c r="P20" s="3682"/>
      <c r="Q20" s="1348"/>
      <c r="R20" s="703"/>
      <c r="S20" s="704"/>
      <c r="T20" s="703"/>
      <c r="U20" s="704"/>
      <c r="V20" s="703"/>
      <c r="W20" s="704"/>
      <c r="X20" s="1351"/>
      <c r="Y20" s="3682"/>
      <c r="Z20" s="1352"/>
      <c r="AA20" s="1349">
        <v>1</v>
      </c>
      <c r="AB20" s="1349">
        <v>1</v>
      </c>
      <c r="AC20" s="1349">
        <v>1</v>
      </c>
    </row>
    <row r="21" spans="1:29" ht="96.6">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7"/>
      <c r="M21" s="2711"/>
      <c r="N21" s="2711"/>
      <c r="O21" s="2769"/>
      <c r="P21" s="3682"/>
      <c r="Q21" s="1348" t="str">
        <f>B21</f>
        <v>交通便捷度</v>
      </c>
      <c r="R21" s="703" t="s">
        <v>14</v>
      </c>
      <c r="S21" s="704">
        <f>F21</f>
        <v>100</v>
      </c>
      <c r="T21" s="703" t="s">
        <v>14</v>
      </c>
      <c r="U21" s="704">
        <f>H21</f>
        <v>100</v>
      </c>
      <c r="V21" s="703" t="s">
        <v>14</v>
      </c>
      <c r="W21" s="704">
        <f>J21</f>
        <v>100</v>
      </c>
      <c r="X21" s="1351"/>
      <c r="Y21" s="3682"/>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7"/>
      <c r="M22" s="2711"/>
      <c r="N22" s="2711"/>
      <c r="O22" s="2769"/>
      <c r="P22" s="3682"/>
      <c r="Q22" s="1348"/>
      <c r="R22" s="703"/>
      <c r="S22" s="704"/>
      <c r="T22" s="703"/>
      <c r="U22" s="704"/>
      <c r="V22" s="703"/>
      <c r="W22" s="704"/>
      <c r="X22" s="1351"/>
      <c r="Y22" s="3682"/>
      <c r="Z22" s="1352"/>
      <c r="AA22" s="1349">
        <v>1</v>
      </c>
      <c r="AB22" s="1349">
        <v>1</v>
      </c>
      <c r="AC22" s="1349">
        <v>1</v>
      </c>
    </row>
    <row r="23" spans="1:29" ht="28.8">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7"/>
      <c r="M23" s="2711"/>
      <c r="N23" s="2711"/>
      <c r="O23" s="2769"/>
      <c r="P23" s="3682"/>
      <c r="Q23" s="1348" t="str">
        <f t="shared" ref="Q23:Q37" si="8">B23</f>
        <v>区域土地利用方向</v>
      </c>
      <c r="R23" s="703" t="s">
        <v>14</v>
      </c>
      <c r="S23" s="704">
        <f>F23</f>
        <v>100</v>
      </c>
      <c r="T23" s="703" t="s">
        <v>14</v>
      </c>
      <c r="U23" s="704">
        <f>H23</f>
        <v>100</v>
      </c>
      <c r="V23" s="703" t="s">
        <v>14</v>
      </c>
      <c r="W23" s="704">
        <f>J23</f>
        <v>100</v>
      </c>
      <c r="X23" s="1351"/>
      <c r="Y23" s="3682"/>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8"/>
      <c r="L24" s="2717"/>
      <c r="M24" s="2711"/>
      <c r="N24" s="2711"/>
      <c r="O24" s="2769"/>
      <c r="P24" s="3682"/>
      <c r="Q24" s="1348"/>
      <c r="R24" s="703"/>
      <c r="S24" s="704"/>
      <c r="T24" s="703"/>
      <c r="U24" s="704"/>
      <c r="V24" s="703"/>
      <c r="W24" s="704"/>
      <c r="X24" s="1351"/>
      <c r="Y24" s="3682"/>
      <c r="Z24" s="1352"/>
      <c r="AA24" s="1349"/>
      <c r="AB24" s="1349"/>
      <c r="AC24" s="1349"/>
    </row>
    <row r="25" spans="1:29" ht="55.2">
      <c r="A25" s="357"/>
      <c r="B25" s="1127"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7"/>
      <c r="M25" s="2711"/>
      <c r="N25" s="2711"/>
      <c r="O25" s="2769"/>
      <c r="P25" s="3682"/>
      <c r="Q25" s="1348" t="str">
        <f t="shared" si="8"/>
        <v>自然及人文环境状况</v>
      </c>
      <c r="R25" s="703" t="s">
        <v>14</v>
      </c>
      <c r="S25" s="704">
        <f>F25</f>
        <v>100</v>
      </c>
      <c r="T25" s="703" t="s">
        <v>14</v>
      </c>
      <c r="U25" s="704">
        <f>H25</f>
        <v>100</v>
      </c>
      <c r="V25" s="703" t="s">
        <v>14</v>
      </c>
      <c r="W25" s="704">
        <f>J25</f>
        <v>100</v>
      </c>
      <c r="X25" s="1351"/>
      <c r="Y25" s="3682"/>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7"/>
      <c r="M26" s="2711"/>
      <c r="N26" s="2711"/>
      <c r="O26" s="2769"/>
      <c r="P26" s="3682"/>
      <c r="Q26" s="1348"/>
      <c r="R26" s="703"/>
      <c r="S26" s="704"/>
      <c r="T26" s="703"/>
      <c r="U26" s="704"/>
      <c r="V26" s="703"/>
      <c r="W26" s="704"/>
      <c r="X26" s="1351"/>
      <c r="Y26" s="3682"/>
      <c r="Z26" s="1352"/>
      <c r="AA26" s="1349">
        <v>1</v>
      </c>
      <c r="AB26" s="1349">
        <v>1</v>
      </c>
      <c r="AC26" s="1349">
        <v>1</v>
      </c>
    </row>
    <row r="27" spans="1:29" s="108" customFormat="1" ht="41.4">
      <c r="A27" s="596"/>
      <c r="B27" s="1127"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2"/>
      <c r="M27" s="2713"/>
      <c r="N27" s="2713"/>
      <c r="O27" s="2767"/>
      <c r="P27" s="3682"/>
      <c r="Q27" s="1339" t="str">
        <f t="shared" si="8"/>
        <v>公共配套设施</v>
      </c>
      <c r="R27" s="699" t="s">
        <v>14</v>
      </c>
      <c r="S27" s="700">
        <f>F27</f>
        <v>100</v>
      </c>
      <c r="T27" s="699" t="s">
        <v>14</v>
      </c>
      <c r="U27" s="700">
        <f>H27</f>
        <v>100</v>
      </c>
      <c r="V27" s="699" t="s">
        <v>14</v>
      </c>
      <c r="W27" s="700">
        <f>J27</f>
        <v>100</v>
      </c>
      <c r="X27" s="701"/>
      <c r="Y27" s="3682"/>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2"/>
      <c r="M28" s="2713"/>
      <c r="N28" s="2713"/>
      <c r="O28" s="2767"/>
      <c r="P28" s="3682"/>
      <c r="Q28" s="1339"/>
      <c r="R28" s="699"/>
      <c r="S28" s="700"/>
      <c r="T28" s="699"/>
      <c r="U28" s="700"/>
      <c r="V28" s="699"/>
      <c r="W28" s="700"/>
      <c r="X28" s="701"/>
      <c r="Y28" s="3682"/>
      <c r="Z28" s="52"/>
      <c r="AA28" s="1349">
        <v>1</v>
      </c>
      <c r="AB28" s="1349">
        <v>1</v>
      </c>
      <c r="AC28" s="1349">
        <v>1</v>
      </c>
    </row>
    <row r="29" spans="1:29" s="108" customFormat="1" ht="41.4">
      <c r="A29" s="596"/>
      <c r="B29" s="1127"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2"/>
      <c r="M29" s="2713"/>
      <c r="N29" s="2713"/>
      <c r="O29" s="2767"/>
      <c r="P29" s="3682"/>
      <c r="Q29" s="1339" t="str">
        <f t="shared" ref="Q29" si="9">B29</f>
        <v>基础设施水平</v>
      </c>
      <c r="R29" s="699" t="s">
        <v>14</v>
      </c>
      <c r="S29" s="700">
        <f>F29</f>
        <v>100</v>
      </c>
      <c r="T29" s="699" t="s">
        <v>14</v>
      </c>
      <c r="U29" s="700">
        <f>H29</f>
        <v>100</v>
      </c>
      <c r="V29" s="699" t="s">
        <v>14</v>
      </c>
      <c r="W29" s="700">
        <f>J29</f>
        <v>100</v>
      </c>
      <c r="X29" s="701"/>
      <c r="Y29" s="3682"/>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2"/>
      <c r="M30" s="2713"/>
      <c r="N30" s="2713"/>
      <c r="O30" s="2767"/>
      <c r="P30" s="3682"/>
      <c r="Q30" s="1339"/>
      <c r="R30" s="699"/>
      <c r="S30" s="700"/>
      <c r="T30" s="699"/>
      <c r="U30" s="700"/>
      <c r="V30" s="699"/>
      <c r="W30" s="700"/>
      <c r="X30" s="701"/>
      <c r="Y30" s="3682"/>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682"/>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82"/>
      <c r="Z31" s="1352" t="str">
        <f t="shared" ref="Z31:Z45" si="13">Q31</f>
        <v>临街状况</v>
      </c>
      <c r="AA31" s="1349">
        <f t="shared" si="3"/>
        <v>1</v>
      </c>
      <c r="AB31" s="1349">
        <f t="shared" si="4"/>
        <v>1</v>
      </c>
      <c r="AC31" s="1349">
        <f t="shared" si="5"/>
        <v>1</v>
      </c>
    </row>
    <row r="32" spans="1:29" ht="28.8">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682"/>
      <c r="Q32" s="1348" t="str">
        <f t="shared" si="8"/>
        <v>毗邻道路的类型与等级</v>
      </c>
      <c r="R32" s="703" t="s">
        <v>14</v>
      </c>
      <c r="S32" s="704">
        <f t="shared" si="10"/>
        <v>100</v>
      </c>
      <c r="T32" s="703" t="s">
        <v>14</v>
      </c>
      <c r="U32" s="704">
        <f t="shared" si="11"/>
        <v>100</v>
      </c>
      <c r="V32" s="703" t="s">
        <v>14</v>
      </c>
      <c r="W32" s="704">
        <f t="shared" si="12"/>
        <v>100</v>
      </c>
      <c r="X32" s="1351"/>
      <c r="Y32" s="3682"/>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7"/>
      <c r="M33" s="2711"/>
      <c r="N33" s="2711"/>
      <c r="O33" s="2769"/>
      <c r="P33" s="3682"/>
      <c r="Q33" s="1348"/>
      <c r="R33" s="703"/>
      <c r="S33" s="704"/>
      <c r="T33" s="703"/>
      <c r="U33" s="704"/>
      <c r="V33" s="703"/>
      <c r="W33" s="704"/>
      <c r="X33" s="1351"/>
      <c r="Y33" s="3682"/>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682"/>
      <c r="Q34" s="1348" t="str">
        <f t="shared" si="8"/>
        <v>土地级别</v>
      </c>
      <c r="R34" s="703" t="s">
        <v>14</v>
      </c>
      <c r="S34" s="704">
        <f t="shared" si="10"/>
        <v>100</v>
      </c>
      <c r="T34" s="703" t="s">
        <v>14</v>
      </c>
      <c r="U34" s="704">
        <f t="shared" si="11"/>
        <v>100</v>
      </c>
      <c r="V34" s="703" t="s">
        <v>14</v>
      </c>
      <c r="W34" s="704">
        <f t="shared" si="12"/>
        <v>100</v>
      </c>
      <c r="X34" s="1351"/>
      <c r="Y34" s="3682"/>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682"/>
      <c r="Q35" s="1348">
        <f t="shared" si="8"/>
        <v>111</v>
      </c>
      <c r="R35" s="703" t="s">
        <v>14</v>
      </c>
      <c r="S35" s="704">
        <f t="shared" si="10"/>
        <v>100</v>
      </c>
      <c r="T35" s="703" t="s">
        <v>14</v>
      </c>
      <c r="U35" s="704">
        <f t="shared" si="11"/>
        <v>100</v>
      </c>
      <c r="V35" s="703" t="s">
        <v>14</v>
      </c>
      <c r="W35" s="704">
        <f t="shared" si="12"/>
        <v>100</v>
      </c>
      <c r="X35" s="1351"/>
      <c r="Y35" s="3682"/>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730" t="s">
        <v>1696</v>
      </c>
      <c r="Q36" s="1348">
        <f t="shared" si="8"/>
        <v>111</v>
      </c>
      <c r="R36" s="703" t="s">
        <v>14</v>
      </c>
      <c r="S36" s="704">
        <f t="shared" si="10"/>
        <v>100</v>
      </c>
      <c r="T36" s="703" t="s">
        <v>14</v>
      </c>
      <c r="U36" s="704">
        <f t="shared" si="11"/>
        <v>100</v>
      </c>
      <c r="V36" s="703" t="s">
        <v>14</v>
      </c>
      <c r="W36" s="704">
        <f t="shared" si="12"/>
        <v>100</v>
      </c>
      <c r="X36" s="1351"/>
      <c r="Y36" s="3686" t="s">
        <v>1696</v>
      </c>
      <c r="Z36" s="1352">
        <f t="shared" si="13"/>
        <v>111</v>
      </c>
      <c r="AA36" s="1349">
        <f t="shared" si="3"/>
        <v>1</v>
      </c>
      <c r="AB36" s="1349">
        <f t="shared" si="4"/>
        <v>1</v>
      </c>
      <c r="AC36" s="1349">
        <f t="shared" si="5"/>
        <v>1</v>
      </c>
    </row>
    <row r="37" spans="1:29" s="421" customFormat="1" ht="15.6"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686"/>
      <c r="Q37" s="1348">
        <f t="shared" si="8"/>
        <v>111</v>
      </c>
      <c r="R37" s="706" t="s">
        <v>14</v>
      </c>
      <c r="S37" s="707">
        <f t="shared" si="10"/>
        <v>100</v>
      </c>
      <c r="T37" s="706" t="s">
        <v>14</v>
      </c>
      <c r="U37" s="707">
        <f t="shared" si="11"/>
        <v>100</v>
      </c>
      <c r="V37" s="706" t="s">
        <v>14</v>
      </c>
      <c r="W37" s="707">
        <f t="shared" si="12"/>
        <v>100</v>
      </c>
      <c r="X37" s="708"/>
      <c r="Y37" s="3686"/>
      <c r="Z37" s="709">
        <f t="shared" si="13"/>
        <v>111</v>
      </c>
      <c r="AA37" s="1349">
        <f t="shared" si="3"/>
        <v>1</v>
      </c>
      <c r="AB37" s="1349">
        <f t="shared" si="4"/>
        <v>1</v>
      </c>
      <c r="AC37" s="1349">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7"/>
      <c r="M38" s="2711"/>
      <c r="N38" s="2711"/>
      <c r="O38" s="2769"/>
      <c r="P38" s="3686"/>
      <c r="Q38" s="1348" t="str">
        <f>B38</f>
        <v>宗地面积</v>
      </c>
      <c r="R38" s="703" t="s">
        <v>14</v>
      </c>
      <c r="S38" s="704" t="e">
        <f t="shared" si="10"/>
        <v>#N/A</v>
      </c>
      <c r="T38" s="703" t="s">
        <v>14</v>
      </c>
      <c r="U38" s="704" t="e">
        <f t="shared" si="11"/>
        <v>#N/A</v>
      </c>
      <c r="V38" s="703" t="s">
        <v>14</v>
      </c>
      <c r="W38" s="704" t="e">
        <f t="shared" si="12"/>
        <v>#N/A</v>
      </c>
      <c r="X38" s="1351"/>
      <c r="Y38" s="3686"/>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7"/>
      <c r="M39" s="2711"/>
      <c r="N39" s="2711"/>
      <c r="O39" s="2769"/>
      <c r="P39" s="3686"/>
      <c r="Q39" s="1348" t="str">
        <f t="shared" ref="Q39:Q45" si="14">B39</f>
        <v>宗地形状</v>
      </c>
      <c r="R39" s="703" t="s">
        <v>14</v>
      </c>
      <c r="S39" s="704">
        <f t="shared" si="10"/>
        <v>100</v>
      </c>
      <c r="T39" s="703" t="s">
        <v>14</v>
      </c>
      <c r="U39" s="704">
        <f t="shared" si="11"/>
        <v>100</v>
      </c>
      <c r="V39" s="703" t="s">
        <v>14</v>
      </c>
      <c r="W39" s="704">
        <f t="shared" si="12"/>
        <v>100</v>
      </c>
      <c r="X39" s="1351"/>
      <c r="Y39" s="3686"/>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7"/>
      <c r="M40" s="2711"/>
      <c r="N40" s="2711"/>
      <c r="O40" s="2769"/>
      <c r="P40" s="3686"/>
      <c r="Q40" s="1348" t="str">
        <f t="shared" si="14"/>
        <v>临街宽度及深度</v>
      </c>
      <c r="R40" s="703" t="s">
        <v>14</v>
      </c>
      <c r="S40" s="704">
        <f t="shared" si="10"/>
        <v>100</v>
      </c>
      <c r="T40" s="703" t="s">
        <v>14</v>
      </c>
      <c r="U40" s="704">
        <f t="shared" si="11"/>
        <v>100</v>
      </c>
      <c r="V40" s="703" t="s">
        <v>14</v>
      </c>
      <c r="W40" s="704">
        <f t="shared" si="12"/>
        <v>100</v>
      </c>
      <c r="X40" s="1351"/>
      <c r="Y40" s="3686"/>
      <c r="Z40" s="1352" t="str">
        <f t="shared" si="13"/>
        <v>临街宽度及深度</v>
      </c>
      <c r="AA40" s="1349">
        <f t="shared" si="3"/>
        <v>1</v>
      </c>
      <c r="AB40" s="1349">
        <f t="shared" si="4"/>
        <v>1</v>
      </c>
      <c r="AC40" s="1349">
        <f t="shared" si="5"/>
        <v>1</v>
      </c>
    </row>
    <row r="41" spans="1:29" s="108"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2"/>
      <c r="M41" s="2713"/>
      <c r="N41" s="2713"/>
      <c r="O41" s="2767"/>
      <c r="P41" s="3686"/>
      <c r="Q41" s="1348" t="str">
        <f t="shared" si="14"/>
        <v>宗地开发程度</v>
      </c>
      <c r="R41" s="699" t="s">
        <v>14</v>
      </c>
      <c r="S41" s="700">
        <f t="shared" si="10"/>
        <v>100</v>
      </c>
      <c r="T41" s="699" t="s">
        <v>14</v>
      </c>
      <c r="U41" s="700">
        <f t="shared" si="11"/>
        <v>100</v>
      </c>
      <c r="V41" s="699" t="s">
        <v>14</v>
      </c>
      <c r="W41" s="700">
        <f t="shared" si="12"/>
        <v>100</v>
      </c>
      <c r="X41" s="701"/>
      <c r="Y41" s="3686"/>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7"/>
      <c r="M42" s="2711"/>
      <c r="N42" s="2711"/>
      <c r="O42" s="2769"/>
      <c r="P42" s="3686" t="s">
        <v>1696</v>
      </c>
      <c r="Q42" s="1348" t="str">
        <f t="shared" si="14"/>
        <v>工程地质条件</v>
      </c>
      <c r="R42" s="703" t="s">
        <v>14</v>
      </c>
      <c r="S42" s="704">
        <f t="shared" si="10"/>
        <v>100</v>
      </c>
      <c r="T42" s="703" t="s">
        <v>14</v>
      </c>
      <c r="U42" s="704">
        <f t="shared" si="11"/>
        <v>100</v>
      </c>
      <c r="V42" s="703" t="s">
        <v>14</v>
      </c>
      <c r="W42" s="704">
        <f t="shared" si="12"/>
        <v>100</v>
      </c>
      <c r="X42" s="1351"/>
      <c r="Y42" s="3686" t="s">
        <v>1696</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686"/>
      <c r="Q43" s="1348">
        <f t="shared" si="14"/>
        <v>111</v>
      </c>
      <c r="R43" s="703" t="s">
        <v>14</v>
      </c>
      <c r="S43" s="704">
        <f t="shared" si="10"/>
        <v>100</v>
      </c>
      <c r="T43" s="703" t="s">
        <v>14</v>
      </c>
      <c r="U43" s="704">
        <f t="shared" si="11"/>
        <v>100</v>
      </c>
      <c r="V43" s="703" t="s">
        <v>14</v>
      </c>
      <c r="W43" s="704">
        <f t="shared" si="12"/>
        <v>100</v>
      </c>
      <c r="X43" s="1351"/>
      <c r="Y43" s="3686"/>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686"/>
      <c r="Q44" s="1348">
        <f t="shared" si="14"/>
        <v>111</v>
      </c>
      <c r="R44" s="703" t="s">
        <v>14</v>
      </c>
      <c r="S44" s="704">
        <f t="shared" si="10"/>
        <v>100</v>
      </c>
      <c r="T44" s="703" t="s">
        <v>14</v>
      </c>
      <c r="U44" s="704">
        <f t="shared" si="11"/>
        <v>100</v>
      </c>
      <c r="V44" s="703" t="s">
        <v>14</v>
      </c>
      <c r="W44" s="704">
        <f t="shared" si="12"/>
        <v>100</v>
      </c>
      <c r="X44" s="1351"/>
      <c r="Y44" s="3686"/>
      <c r="Z44" s="1352">
        <f t="shared" si="13"/>
        <v>111</v>
      </c>
      <c r="AA44" s="1349">
        <f t="shared" si="3"/>
        <v>1</v>
      </c>
      <c r="AB44" s="1349">
        <f t="shared" si="4"/>
        <v>1</v>
      </c>
      <c r="AC44" s="1349">
        <f t="shared" si="5"/>
        <v>1</v>
      </c>
    </row>
    <row r="45" spans="1:29" s="421" customFormat="1" ht="15.6"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686"/>
      <c r="Q45" s="1348">
        <f t="shared" si="14"/>
        <v>111</v>
      </c>
      <c r="R45" s="706" t="s">
        <v>14</v>
      </c>
      <c r="S45" s="707">
        <f t="shared" si="10"/>
        <v>100</v>
      </c>
      <c r="T45" s="706" t="s">
        <v>14</v>
      </c>
      <c r="U45" s="707">
        <f t="shared" si="11"/>
        <v>100</v>
      </c>
      <c r="V45" s="706" t="s">
        <v>14</v>
      </c>
      <c r="W45" s="707">
        <f t="shared" si="12"/>
        <v>100</v>
      </c>
      <c r="X45" s="708"/>
      <c r="Y45" s="3686"/>
      <c r="Z45" s="709">
        <f t="shared" si="13"/>
        <v>111</v>
      </c>
      <c r="AA45" s="1349">
        <f t="shared" si="3"/>
        <v>1</v>
      </c>
      <c r="AB45" s="1349">
        <f t="shared" si="4"/>
        <v>1</v>
      </c>
      <c r="AC45" s="1349">
        <f t="shared" si="5"/>
        <v>1</v>
      </c>
    </row>
    <row r="46" spans="1:29" ht="14.4">
      <c r="A46" s="429" t="s">
        <v>1844</v>
      </c>
      <c r="B46" s="1978" t="s">
        <v>1879</v>
      </c>
      <c r="C46" s="629" t="s">
        <v>0</v>
      </c>
      <c r="D46" s="431"/>
      <c r="E46" s="432"/>
      <c r="F46" s="433"/>
      <c r="G46" s="434"/>
      <c r="H46" s="435"/>
      <c r="I46" s="432"/>
      <c r="J46" s="435"/>
      <c r="K46" s="712"/>
      <c r="L46" s="2719"/>
      <c r="M46" s="2720"/>
      <c r="N46" s="2711"/>
      <c r="O46" s="2720"/>
      <c r="P46" s="3688" t="str">
        <f>A46</f>
        <v>成交单价</v>
      </c>
      <c r="Q46" s="3688"/>
      <c r="R46" s="3676">
        <f>E46</f>
        <v>0</v>
      </c>
      <c r="S46" s="3676"/>
      <c r="T46" s="3676">
        <f>G46</f>
        <v>0</v>
      </c>
      <c r="U46" s="3676"/>
      <c r="V46" s="3676">
        <f>I46</f>
        <v>0</v>
      </c>
      <c r="W46" s="3676"/>
      <c r="X46" s="688"/>
      <c r="Y46" s="710"/>
      <c r="Z46" s="688"/>
      <c r="AA46" s="688"/>
      <c r="AB46" s="688"/>
      <c r="AC46" s="688"/>
    </row>
    <row r="47" spans="1:29" ht="15" thickBot="1">
      <c r="A47" s="436" t="s">
        <v>1793</v>
      </c>
      <c r="B47" s="630"/>
      <c r="C47" s="439" t="e">
        <f>R48</f>
        <v>#DIV/0!</v>
      </c>
      <c r="D47" s="2313" t="s">
        <v>2138</v>
      </c>
      <c r="E47" s="439" t="e">
        <f>R47</f>
        <v>#DIV/0!</v>
      </c>
      <c r="F47" s="2314"/>
      <c r="G47" s="438" t="e">
        <f>T47</f>
        <v>#DIV/0!</v>
      </c>
      <c r="H47" s="2314"/>
      <c r="I47" s="439" t="e">
        <f>V47</f>
        <v>#DIV/0!</v>
      </c>
      <c r="J47" s="2314"/>
      <c r="K47" s="2316">
        <f>F47+H47+J47</f>
        <v>0</v>
      </c>
      <c r="L47" s="2719"/>
      <c r="M47" s="2720"/>
      <c r="N47" s="2720"/>
      <c r="O47" s="2720"/>
      <c r="P47" s="3688" t="str">
        <f>A47</f>
        <v>比较价值（元/平方米）</v>
      </c>
      <c r="Q47" s="3688"/>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 thickBot="1">
      <c r="A48" s="440" t="s">
        <v>1880</v>
      </c>
      <c r="B48" s="441"/>
      <c r="C48" s="442" t="e">
        <f>R48</f>
        <v>#DIV/0!</v>
      </c>
      <c r="D48" s="442"/>
      <c r="E48" s="442"/>
      <c r="F48" s="442"/>
      <c r="G48" s="442"/>
      <c r="H48" s="442"/>
      <c r="I48" s="442"/>
      <c r="J48" s="442"/>
      <c r="K48" s="713"/>
      <c r="L48" s="2719"/>
      <c r="M48" s="2720"/>
      <c r="N48" s="2720"/>
      <c r="O48" s="2720"/>
      <c r="P48" s="3727" t="str">
        <f>A48</f>
        <v>估价对象XX用房的比较价值（楼面单价，元/平方米）</v>
      </c>
      <c r="Q48" s="3728"/>
      <c r="R48" s="3733" t="e">
        <f>ROUND(IF(D47="简单平均",AVERAGE(R47:W47),R47*F47+T47*H47+V47*J47),0)</f>
        <v>#DIV/0!</v>
      </c>
      <c r="S48" s="3733"/>
      <c r="T48" s="3733"/>
      <c r="U48" s="3733"/>
      <c r="V48" s="3733"/>
      <c r="W48" s="3733"/>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4.4"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79" t="s">
        <v>1883</v>
      </c>
      <c r="D55" s="1980" t="s">
        <v>1884</v>
      </c>
      <c r="E55" s="633" t="s">
        <v>1885</v>
      </c>
      <c r="F55" s="888" t="s">
        <v>1886</v>
      </c>
      <c r="G55" s="3663" t="s">
        <v>1887</v>
      </c>
      <c r="H55" s="3734"/>
      <c r="I55" s="134"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2">
        <v>1</v>
      </c>
      <c r="E56" s="637">
        <f>'数据-汇总表'!E8+'数据-汇总表'!E9</f>
        <v>36123.300000000003</v>
      </c>
      <c r="F56" s="884" t="e">
        <f t="shared" ref="F56:F64" si="15">ROUND(B56*E56/10000,0)</f>
        <v>#DIV/0!</v>
      </c>
      <c r="G56" s="3659"/>
      <c r="H56" s="3688"/>
      <c r="I56" s="889">
        <v>1</v>
      </c>
      <c r="J56" s="892">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7" t="e">
        <f>ROUND($C$48*C57*D57,0)</f>
        <v>#DIV/0!</v>
      </c>
      <c r="C57" s="170">
        <f t="shared" ref="C57:C64" si="16">IF($C$55="北京市系数",I57,J57)</f>
        <v>0</v>
      </c>
      <c r="D57" s="943">
        <v>0.25</v>
      </c>
      <c r="E57" s="641"/>
      <c r="F57" s="884" t="e">
        <f t="shared" si="15"/>
        <v>#DIV/0!</v>
      </c>
      <c r="G57" s="3001" t="s">
        <v>1892</v>
      </c>
      <c r="H57" s="885">
        <f>项目基本情况!B37</f>
        <v>0</v>
      </c>
      <c r="I57" s="889">
        <f>SUMIF(修正!A57:A68,H57,修正!B57:B68)</f>
        <v>0</v>
      </c>
      <c r="J57" s="893"/>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7" t="e">
        <f t="shared" ref="B58:B64" si="17">ROUND($C$48*C58*D58,0)</f>
        <v>#DIV/0!</v>
      </c>
      <c r="C58" s="170">
        <f t="shared" si="16"/>
        <v>0</v>
      </c>
      <c r="D58" s="943">
        <v>0.25</v>
      </c>
      <c r="E58" s="641"/>
      <c r="F58" s="884" t="e">
        <f t="shared" si="15"/>
        <v>#DIV/0!</v>
      </c>
      <c r="G58" s="3002"/>
      <c r="H58" s="885">
        <f>项目基本情况!B37</f>
        <v>0</v>
      </c>
      <c r="I58" s="889">
        <f>SUMIF(修正!A57:A68,H58,修正!C57:C68)</f>
        <v>0</v>
      </c>
      <c r="J58" s="893"/>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7" t="e">
        <f t="shared" si="17"/>
        <v>#DIV/0!</v>
      </c>
      <c r="C59" s="170">
        <f t="shared" si="16"/>
        <v>0</v>
      </c>
      <c r="D59" s="943">
        <v>0.25</v>
      </c>
      <c r="E59" s="641"/>
      <c r="F59" s="884" t="e">
        <f t="shared" si="15"/>
        <v>#DIV/0!</v>
      </c>
      <c r="G59" s="3002"/>
      <c r="H59" s="885">
        <f>项目基本情况!B37</f>
        <v>0</v>
      </c>
      <c r="I59" s="889">
        <f>SUMIF(修正!A57:A68,H59,修正!D57:D68)</f>
        <v>0</v>
      </c>
      <c r="J59" s="893"/>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7" t="e">
        <f t="shared" si="17"/>
        <v>#DIV/0!</v>
      </c>
      <c r="C60" s="170">
        <f t="shared" si="16"/>
        <v>0</v>
      </c>
      <c r="D60" s="943">
        <v>0.25</v>
      </c>
      <c r="E60" s="216">
        <f>'数据-汇总表'!E11</f>
        <v>0</v>
      </c>
      <c r="F60" s="884" t="e">
        <f t="shared" si="15"/>
        <v>#DIV/0!</v>
      </c>
      <c r="G60" s="1983" t="s">
        <v>1896</v>
      </c>
      <c r="H60" s="885">
        <f>项目基本情况!C37</f>
        <v>0</v>
      </c>
      <c r="I60" s="889">
        <f>SUMIF(修正!A57:A68,H60,修正!E57:E68)</f>
        <v>0</v>
      </c>
      <c r="J60" s="893"/>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4.4" thickBot="1">
      <c r="A64" s="640" t="s">
        <v>1902</v>
      </c>
      <c r="B64" s="217" t="e">
        <f t="shared" si="17"/>
        <v>#DIV/0!</v>
      </c>
      <c r="C64" s="170">
        <f t="shared" si="16"/>
        <v>0</v>
      </c>
      <c r="D64" s="943">
        <v>0.25</v>
      </c>
      <c r="E64" s="216">
        <f>'数据-汇总表'!E15</f>
        <v>0</v>
      </c>
      <c r="F64" s="884" t="e">
        <f t="shared" si="15"/>
        <v>#DIV/0!</v>
      </c>
      <c r="G64" s="1984" t="s">
        <v>1896</v>
      </c>
      <c r="H64" s="895">
        <f>项目基本情况!C37</f>
        <v>0</v>
      </c>
      <c r="I64" s="891">
        <f>SUMIF(修正!A57:A68,H64,修正!G57:G68)</f>
        <v>0</v>
      </c>
      <c r="J64" s="894"/>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thickBot="1">
      <c r="A65" s="642" t="s">
        <v>1903</v>
      </c>
      <c r="B65" s="643" t="s">
        <v>22</v>
      </c>
      <c r="C65" s="643" t="s">
        <v>23</v>
      </c>
      <c r="D65" s="643" t="s">
        <v>392</v>
      </c>
      <c r="E65" s="643">
        <f>IF(B46="楼面地价",SUM(E56:E64),'数据-汇总表'!D3)</f>
        <v>36123.300000000003</v>
      </c>
      <c r="F65" s="644"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5"/>
      <c r="K66" s="886"/>
      <c r="L66" s="887"/>
      <c r="M66" s="925"/>
      <c r="N66" s="925"/>
      <c r="O66" s="925"/>
      <c r="P66" s="2720"/>
      <c r="Q66" s="2720"/>
      <c r="R66" s="2720"/>
      <c r="S66" s="2720"/>
      <c r="T66" s="2720"/>
      <c r="U66" s="2720"/>
      <c r="V66" s="2720"/>
      <c r="W66" s="2720"/>
      <c r="X66" s="2720"/>
      <c r="Y66" s="2720"/>
      <c r="Z66" s="2720"/>
      <c r="AA66" s="2720"/>
      <c r="AB66" s="2720"/>
      <c r="AC66" s="2720"/>
    </row>
    <row r="67" spans="1:29">
      <c r="A67" s="688"/>
      <c r="B67" s="690"/>
      <c r="C67" s="690" t="str">
        <f>YEAR(C7)&amp;"-"&amp;MONTH(C7)&amp;"-1"</f>
        <v>2023-7-1</v>
      </c>
      <c r="D67" s="690">
        <f>EDATE(C67,-3)</f>
        <v>45017</v>
      </c>
      <c r="E67" s="690">
        <f>EDATE(D67,-3)</f>
        <v>44927</v>
      </c>
      <c r="F67" s="690">
        <f t="shared" ref="F67:O67" si="18">EDATE(E67,-3)</f>
        <v>44835</v>
      </c>
      <c r="G67" s="690">
        <f t="shared" si="18"/>
        <v>44743</v>
      </c>
      <c r="H67" s="690">
        <f t="shared" si="18"/>
        <v>44652</v>
      </c>
      <c r="I67" s="690">
        <f t="shared" si="18"/>
        <v>44562</v>
      </c>
      <c r="J67" s="690">
        <f t="shared" si="18"/>
        <v>44470</v>
      </c>
      <c r="K67" s="690">
        <f t="shared" si="18"/>
        <v>44378</v>
      </c>
      <c r="L67" s="690">
        <f t="shared" si="18"/>
        <v>44287</v>
      </c>
      <c r="M67" s="690">
        <f t="shared" si="18"/>
        <v>44197</v>
      </c>
      <c r="N67" s="690">
        <f t="shared" si="18"/>
        <v>44105</v>
      </c>
      <c r="O67" s="690">
        <f t="shared" si="18"/>
        <v>44013</v>
      </c>
      <c r="P67" s="2720"/>
      <c r="Q67" s="2720"/>
      <c r="R67" s="2720"/>
      <c r="S67" s="2720"/>
      <c r="T67" s="2720"/>
      <c r="U67" s="2720"/>
      <c r="V67" s="2720"/>
      <c r="W67" s="2720"/>
      <c r="X67" s="2720"/>
      <c r="Y67" s="2720"/>
      <c r="Z67" s="2720"/>
      <c r="AA67" s="2720"/>
      <c r="AB67" s="2720"/>
      <c r="AC67" s="2720"/>
    </row>
    <row r="68" spans="1:29" ht="22.2" thickBot="1">
      <c r="A68" s="692" t="s">
        <v>1798</v>
      </c>
      <c r="B68" s="688"/>
      <c r="C68" s="693"/>
      <c r="D68" s="693"/>
      <c r="E68" s="693"/>
      <c r="F68" s="694"/>
      <c r="G68" s="694"/>
      <c r="H68" s="693"/>
      <c r="I68" s="693"/>
      <c r="J68" s="938"/>
      <c r="K68" s="939"/>
      <c r="L68" s="940"/>
      <c r="M68" s="938"/>
      <c r="N68" s="2764"/>
      <c r="O68" s="2764"/>
      <c r="P68" s="2764"/>
      <c r="Q68" s="2734"/>
      <c r="R68" s="2720"/>
      <c r="S68" s="2720"/>
      <c r="T68" s="2720"/>
      <c r="U68" s="2720"/>
      <c r="V68" s="2720"/>
      <c r="W68" s="2720"/>
      <c r="X68" s="2720"/>
      <c r="Y68" s="2720"/>
      <c r="Z68" s="2720"/>
      <c r="AA68" s="2720"/>
      <c r="AB68" s="2720"/>
      <c r="AC68" s="2720"/>
    </row>
    <row r="69" spans="1:29" s="456" customFormat="1" ht="14.4">
      <c r="A69" s="1985" t="s">
        <v>1904</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4"/>
      <c r="Q70" s="2656"/>
      <c r="R70" s="2656"/>
      <c r="S70" s="2656"/>
      <c r="T70" s="2656"/>
      <c r="U70" s="2656"/>
      <c r="V70" s="2656"/>
      <c r="W70" s="2656"/>
      <c r="X70" s="2656"/>
      <c r="Y70" s="2656"/>
      <c r="Z70" s="2656"/>
      <c r="AA70" s="2656"/>
      <c r="AB70" s="2656"/>
      <c r="AC70" s="2656"/>
    </row>
    <row r="71" spans="1:29" s="108" customFormat="1" ht="15" thickBot="1">
      <c r="A71" s="463" t="s">
        <v>1716</v>
      </c>
      <c r="B71" s="464"/>
      <c r="C71" s="465"/>
      <c r="D71" s="466"/>
      <c r="E71" s="466"/>
      <c r="F71" s="466"/>
      <c r="G71" s="466"/>
      <c r="H71" s="466"/>
      <c r="I71" s="466"/>
      <c r="J71" s="466"/>
      <c r="K71" s="466"/>
      <c r="L71" s="466"/>
      <c r="M71" s="467"/>
      <c r="N71" s="466"/>
      <c r="O71" s="941"/>
      <c r="P71" s="2734"/>
      <c r="Q71" s="2734"/>
      <c r="R71" s="2656"/>
      <c r="S71" s="2656"/>
      <c r="T71" s="2656"/>
      <c r="U71" s="2656"/>
      <c r="V71" s="2656"/>
      <c r="W71" s="2656"/>
      <c r="X71" s="2656"/>
      <c r="Y71" s="2656"/>
      <c r="Z71" s="2656"/>
      <c r="AA71" s="2656"/>
      <c r="AB71" s="2656"/>
      <c r="AC71" s="2656"/>
    </row>
    <row r="72" spans="1:29" s="108" customFormat="1" ht="14.4">
      <c r="A72" s="469" t="s">
        <v>1681</v>
      </c>
      <c r="B72" s="458"/>
      <c r="C72" s="470" t="s">
        <v>1776</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4.4"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ht="14.4">
      <c r="A74" s="475" t="s">
        <v>1719</v>
      </c>
      <c r="B74" s="476" t="s">
        <v>1685</v>
      </c>
      <c r="C74" s="478"/>
      <c r="D74" s="478"/>
      <c r="E74" s="478"/>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4.4" thickBot="1">
      <c r="A75" s="482"/>
      <c r="B75" s="483"/>
      <c r="C75" s="484"/>
      <c r="D75" s="484"/>
      <c r="E75" s="484"/>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9.4" thickTop="1">
      <c r="A76" s="482"/>
      <c r="B76" s="486" t="s">
        <v>1688</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4.4"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c r="A79" s="482"/>
      <c r="B79" s="496"/>
      <c r="C79" s="497"/>
      <c r="D79" s="497"/>
      <c r="E79" s="497"/>
      <c r="F79" s="497"/>
      <c r="G79" s="497"/>
      <c r="H79" s="497"/>
      <c r="I79" s="497"/>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9"/>
      <c r="O80" s="2749"/>
      <c r="P80" s="2773"/>
      <c r="Q80" s="2734"/>
      <c r="R80" s="2720"/>
      <c r="S80" s="2720"/>
      <c r="T80" s="2720"/>
      <c r="U80" s="2720"/>
      <c r="V80" s="2720"/>
      <c r="W80" s="2720"/>
      <c r="X80" s="2720"/>
      <c r="Y80" s="2720"/>
      <c r="Z80" s="2720"/>
      <c r="AA80" s="2720"/>
      <c r="AB80" s="2720"/>
      <c r="AC80" s="2720"/>
    </row>
    <row r="81" spans="1:29" s="421" customFormat="1" ht="14.4"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4.4"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4.4"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4.4"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4.4"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4.4"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ht="14.4">
      <c r="A87" s="475" t="s">
        <v>1690</v>
      </c>
      <c r="B87" s="476" t="s">
        <v>1720</v>
      </c>
      <c r="C87" s="521" t="s">
        <v>1721</v>
      </c>
      <c r="D87" s="521" t="s">
        <v>1722</v>
      </c>
      <c r="E87" s="521" t="s">
        <v>1723</v>
      </c>
      <c r="F87" s="521" t="s">
        <v>1724</v>
      </c>
      <c r="G87" s="521" t="s">
        <v>1725</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 thickTop="1">
      <c r="A89" s="482"/>
      <c r="B89" s="486" t="s">
        <v>1906</v>
      </c>
      <c r="C89" s="526" t="s">
        <v>1721</v>
      </c>
      <c r="D89" s="526" t="s">
        <v>1722</v>
      </c>
      <c r="E89" s="526" t="s">
        <v>1723</v>
      </c>
      <c r="F89" s="526" t="s">
        <v>1724</v>
      </c>
      <c r="G89" s="526" t="s">
        <v>1725</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 thickTop="1">
      <c r="A91" s="482"/>
      <c r="B91" s="486" t="s">
        <v>1821</v>
      </c>
      <c r="C91" s="526" t="s">
        <v>1721</v>
      </c>
      <c r="D91" s="526" t="s">
        <v>1722</v>
      </c>
      <c r="E91" s="526" t="s">
        <v>1723</v>
      </c>
      <c r="F91" s="526" t="s">
        <v>1724</v>
      </c>
      <c r="G91" s="526" t="s">
        <v>1725</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 thickTop="1">
      <c r="A93" s="482"/>
      <c r="B93" s="486" t="s">
        <v>1726</v>
      </c>
      <c r="C93" s="526" t="s">
        <v>1721</v>
      </c>
      <c r="D93" s="526" t="s">
        <v>1722</v>
      </c>
      <c r="E93" s="526" t="s">
        <v>1723</v>
      </c>
      <c r="F93" s="526" t="s">
        <v>1724</v>
      </c>
      <c r="G93" s="526" t="s">
        <v>1725</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29.4" thickTop="1">
      <c r="A95" s="527"/>
      <c r="B95" s="486" t="s">
        <v>1907</v>
      </c>
      <c r="C95" s="526" t="s">
        <v>1721</v>
      </c>
      <c r="D95" s="526" t="s">
        <v>1722</v>
      </c>
      <c r="E95" s="526" t="s">
        <v>1723</v>
      </c>
      <c r="F95" s="526" t="s">
        <v>1724</v>
      </c>
      <c r="G95" s="526" t="s">
        <v>1725</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9.4" thickTop="1">
      <c r="A97" s="527"/>
      <c r="B97" s="486" t="s">
        <v>1908</v>
      </c>
      <c r="C97" s="521" t="s">
        <v>1721</v>
      </c>
      <c r="D97" s="521" t="s">
        <v>1722</v>
      </c>
      <c r="E97" s="521" t="s">
        <v>1723</v>
      </c>
      <c r="F97" s="521" t="s">
        <v>1724</v>
      </c>
      <c r="G97" s="521" t="s">
        <v>1725</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28"/>
      <c r="N101" s="2750"/>
      <c r="O101" s="2750"/>
      <c r="P101" s="2774"/>
      <c r="Q101" s="2741"/>
      <c r="R101" s="2742"/>
      <c r="S101" s="2742"/>
      <c r="T101" s="2742"/>
      <c r="U101" s="2742"/>
      <c r="V101" s="2742"/>
      <c r="W101" s="2742"/>
      <c r="X101" s="2742"/>
      <c r="Y101" s="2742"/>
      <c r="Z101" s="2742"/>
      <c r="AA101" s="2742"/>
      <c r="AB101" s="2742"/>
      <c r="AC101" s="2742"/>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28"/>
      <c r="N102" s="2750"/>
      <c r="O102" s="2750"/>
      <c r="P102" s="2774"/>
      <c r="Q102" s="2741"/>
      <c r="R102" s="2742"/>
      <c r="S102" s="2742"/>
      <c r="T102" s="2742"/>
      <c r="U102" s="2742"/>
      <c r="V102" s="2742"/>
      <c r="W102" s="2742"/>
      <c r="X102" s="2742"/>
      <c r="Y102" s="2742"/>
      <c r="Z102" s="2742"/>
      <c r="AA102" s="2742"/>
      <c r="AB102" s="2742"/>
      <c r="AC102" s="2742"/>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9.4" thickTop="1">
      <c r="A105" s="482"/>
      <c r="B105" s="486" t="s">
        <v>1815</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 thickTop="1">
      <c r="A107" s="482"/>
      <c r="B107" s="486" t="s">
        <v>1873</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4.4"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4.4"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4.4"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4.4"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4.4"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4.4"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c r="A116" s="482"/>
      <c r="B116" s="494"/>
      <c r="C116" s="543"/>
      <c r="D116" s="543"/>
      <c r="E116" s="543"/>
      <c r="F116" s="543"/>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4.4" thickBot="1">
      <c r="A117" s="482"/>
      <c r="B117" s="491"/>
      <c r="C117" s="518"/>
      <c r="D117" s="539"/>
      <c r="E117" s="539"/>
      <c r="F117" s="539"/>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1914</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1915</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1916</v>
      </c>
      <c r="C122" s="502"/>
      <c r="D122" s="502"/>
      <c r="E122" s="502"/>
      <c r="F122" s="502"/>
      <c r="G122" s="502"/>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1917</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4.4"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4.4"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4.4"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4.4"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4.4"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4.4"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89"/>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4.4">
      <c r="A4" s="354" t="s">
        <v>1769</v>
      </c>
      <c r="B4" s="355"/>
      <c r="C4" s="3663" t="s">
        <v>1770</v>
      </c>
      <c r="D4" s="3664"/>
      <c r="E4" s="3665" t="s">
        <v>1771</v>
      </c>
      <c r="F4" s="3666"/>
      <c r="G4" s="3663" t="s">
        <v>1772</v>
      </c>
      <c r="H4" s="3664"/>
      <c r="I4" s="3663" t="s">
        <v>1773</v>
      </c>
      <c r="J4" s="3664"/>
      <c r="K4" s="558" t="s">
        <v>1774</v>
      </c>
      <c r="L4" s="2710"/>
      <c r="M4" s="2711"/>
      <c r="N4" s="2711"/>
      <c r="O4" s="2711"/>
      <c r="P4" s="3723" t="s">
        <v>1775</v>
      </c>
      <c r="Q4" s="3724"/>
      <c r="R4" s="3720" t="s">
        <v>1771</v>
      </c>
      <c r="S4" s="3721"/>
      <c r="T4" s="3720" t="s">
        <v>1772</v>
      </c>
      <c r="U4" s="3721"/>
      <c r="V4" s="3676" t="s">
        <v>1773</v>
      </c>
      <c r="W4" s="3676"/>
      <c r="X4" s="1351"/>
      <c r="Y4" s="3720" t="s">
        <v>1775</v>
      </c>
      <c r="Z4" s="3721"/>
      <c r="AA4" s="3719" t="s">
        <v>1771</v>
      </c>
      <c r="AB4" s="3642" t="s">
        <v>1772</v>
      </c>
      <c r="AC4" s="3719" t="s">
        <v>1773</v>
      </c>
    </row>
    <row r="5" spans="1:29">
      <c r="A5" s="357"/>
      <c r="B5" s="358"/>
      <c r="C5" s="3652" t="s">
        <v>1673</v>
      </c>
      <c r="D5" s="3653"/>
      <c r="E5" s="3722" t="s">
        <v>1674</v>
      </c>
      <c r="F5" s="3651"/>
      <c r="G5" s="3652" t="s">
        <v>1675</v>
      </c>
      <c r="H5" s="3653"/>
      <c r="I5" s="3652" t="s">
        <v>1676</v>
      </c>
      <c r="J5" s="3653"/>
      <c r="K5" s="558"/>
      <c r="L5" s="2710"/>
      <c r="M5" s="2711"/>
      <c r="N5" s="2711"/>
      <c r="O5" s="2711"/>
      <c r="P5" s="3725"/>
      <c r="Q5" s="3670"/>
      <c r="R5" s="3648"/>
      <c r="S5" s="3649"/>
      <c r="T5" s="3648"/>
      <c r="U5" s="3649"/>
      <c r="V5" s="3676"/>
      <c r="W5" s="3676"/>
      <c r="X5" s="1351"/>
      <c r="Y5" s="3648"/>
      <c r="Z5" s="3649"/>
      <c r="AA5" s="3642"/>
      <c r="AB5" s="3642"/>
      <c r="AC5" s="3642"/>
    </row>
    <row r="6" spans="1:29" ht="15" thickBot="1">
      <c r="A6" s="359"/>
      <c r="B6" s="360"/>
      <c r="C6" s="3735" t="s">
        <v>1919</v>
      </c>
      <c r="D6" s="3736"/>
      <c r="E6" s="3737" t="s">
        <v>1919</v>
      </c>
      <c r="F6" s="3738"/>
      <c r="G6" s="3735" t="s">
        <v>1919</v>
      </c>
      <c r="H6" s="3736"/>
      <c r="I6" s="3735" t="s">
        <v>1919</v>
      </c>
      <c r="J6" s="3736"/>
      <c r="K6" s="558" t="s">
        <v>1678</v>
      </c>
      <c r="L6" s="2710"/>
      <c r="M6" s="2711"/>
      <c r="N6" s="2711"/>
      <c r="O6" s="2711"/>
      <c r="P6" s="3726"/>
      <c r="Q6" s="3672"/>
      <c r="R6" s="3648"/>
      <c r="S6" s="3649"/>
      <c r="T6" s="3673"/>
      <c r="U6" s="3674"/>
      <c r="V6" s="3676"/>
      <c r="W6" s="3676"/>
      <c r="X6" s="1351"/>
      <c r="Y6" s="3673"/>
      <c r="Z6" s="3674"/>
      <c r="AA6" s="3643"/>
      <c r="AB6" s="3643"/>
      <c r="AC6" s="3643"/>
    </row>
    <row r="7" spans="1:29" s="108" customFormat="1" ht="15" thickBot="1">
      <c r="A7" s="361" t="s">
        <v>1679</v>
      </c>
      <c r="B7" s="362"/>
      <c r="C7" s="363">
        <f>'数据-取费表'!B2</f>
        <v>45124</v>
      </c>
      <c r="D7" s="364">
        <v>100</v>
      </c>
      <c r="E7" s="365"/>
      <c r="F7" s="366">
        <f>SUMIF(65:65,YEAR(E7)&amp;"-"&amp;INT((MONTH(E7)+2)/3),66:66)</f>
        <v>0</v>
      </c>
      <c r="G7" s="1970"/>
      <c r="H7" s="364">
        <f>SUMIF(65:65,YEAR(G7)&amp;"-"&amp;INT((MONTH(G7)+2)/3),66:66)</f>
        <v>0</v>
      </c>
      <c r="I7" s="1970"/>
      <c r="J7" s="364">
        <f>SUMIF(65:65,YEAR(I7)&amp;"-"&amp;INT((MONTH(I7)+2)/3),66:66)</f>
        <v>0</v>
      </c>
      <c r="K7" s="559"/>
      <c r="L7" s="2712"/>
      <c r="M7" s="2713"/>
      <c r="N7" s="2713"/>
      <c r="O7" s="2713"/>
      <c r="P7" s="3644" t="s">
        <v>1680</v>
      </c>
      <c r="Q7" s="3678"/>
      <c r="R7" s="699" t="s">
        <v>14</v>
      </c>
      <c r="S7" s="700">
        <f t="shared" ref="S7:S15" si="0">F7</f>
        <v>0</v>
      </c>
      <c r="T7" s="699" t="s">
        <v>14</v>
      </c>
      <c r="U7" s="700">
        <f t="shared" ref="U7:U15" si="1">H7</f>
        <v>0</v>
      </c>
      <c r="V7" s="699" t="s">
        <v>14</v>
      </c>
      <c r="W7" s="700">
        <f t="shared" ref="W7:W15" si="2">J7</f>
        <v>0</v>
      </c>
      <c r="X7" s="701"/>
      <c r="Y7" s="3644" t="s">
        <v>1680</v>
      </c>
      <c r="Z7" s="3645"/>
      <c r="AA7" s="702" t="e">
        <f>D7/F7</f>
        <v>#DIV/0!</v>
      </c>
      <c r="AB7" s="702" t="e">
        <f>D7/H7</f>
        <v>#DIV/0!</v>
      </c>
      <c r="AC7" s="702" t="e">
        <f>D7/J7</f>
        <v>#DIV/0!</v>
      </c>
    </row>
    <row r="8" spans="1:29" s="108"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644" t="s">
        <v>1683</v>
      </c>
      <c r="Q8" s="3645"/>
      <c r="R8" s="699" t="s">
        <v>14</v>
      </c>
      <c r="S8" s="700">
        <f t="shared" si="0"/>
        <v>0</v>
      </c>
      <c r="T8" s="699" t="s">
        <v>14</v>
      </c>
      <c r="U8" s="700">
        <f t="shared" si="1"/>
        <v>0</v>
      </c>
      <c r="V8" s="699" t="s">
        <v>14</v>
      </c>
      <c r="W8" s="700">
        <f t="shared" si="2"/>
        <v>0</v>
      </c>
      <c r="X8" s="701"/>
      <c r="Y8" s="3644" t="s">
        <v>1683</v>
      </c>
      <c r="Z8" s="3645"/>
      <c r="AA8" s="702" t="e">
        <f t="shared" ref="AA8:AA40" si="3">D8/F8</f>
        <v>#DIV/0!</v>
      </c>
      <c r="AB8" s="702" t="e">
        <f t="shared" ref="AB8:AB40" si="4">D8/H8</f>
        <v>#DIV/0!</v>
      </c>
      <c r="AC8" s="702" t="e">
        <f t="shared" ref="AC8:AC40" si="5">D8/J8</f>
        <v>#DIV/0!</v>
      </c>
    </row>
    <row r="9" spans="1:29" s="108" customFormat="1" ht="14.4">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2"/>
      <c r="M9" s="2713"/>
      <c r="N9" s="2713"/>
      <c r="O9" s="2767"/>
      <c r="P9" s="3688" t="s">
        <v>1686</v>
      </c>
      <c r="Q9" s="1339"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7" customFormat="1" ht="28.8">
      <c r="A10" s="373"/>
      <c r="B10" s="374" t="s">
        <v>1688</v>
      </c>
      <c r="C10" s="382"/>
      <c r="D10" s="126">
        <v>100</v>
      </c>
      <c r="E10" s="382"/>
      <c r="F10" s="126">
        <f>ROUND(100/'数据-取费表'!G16,0)</f>
        <v>113</v>
      </c>
      <c r="G10" s="382"/>
      <c r="H10" s="126">
        <f>ROUND(100/'数据-取费表'!G16,0)</f>
        <v>113</v>
      </c>
      <c r="I10" s="382"/>
      <c r="J10" s="126">
        <f>ROUND(100/'数据-取费表'!G16,0)</f>
        <v>113</v>
      </c>
      <c r="K10" s="619"/>
      <c r="L10" s="2714"/>
      <c r="M10" s="2715"/>
      <c r="N10" s="2715"/>
      <c r="O10" s="2768"/>
      <c r="P10" s="3688"/>
      <c r="Q10" s="1339" t="str">
        <f t="shared" si="6"/>
        <v>土地使用年限（年）</v>
      </c>
      <c r="R10" s="699" t="s">
        <v>14</v>
      </c>
      <c r="S10" s="700">
        <f t="shared" si="0"/>
        <v>113</v>
      </c>
      <c r="T10" s="699" t="s">
        <v>14</v>
      </c>
      <c r="U10" s="700">
        <f t="shared" si="1"/>
        <v>113</v>
      </c>
      <c r="V10" s="699" t="s">
        <v>14</v>
      </c>
      <c r="W10" s="700">
        <f t="shared" si="2"/>
        <v>113</v>
      </c>
      <c r="X10" s="701"/>
      <c r="Y10" s="3614"/>
      <c r="Z10" s="52" t="str">
        <f t="shared" si="7"/>
        <v>土地使用年限（年）</v>
      </c>
      <c r="AA10" s="702">
        <f t="shared" si="3"/>
        <v>0.88495575221238942</v>
      </c>
      <c r="AB10" s="702">
        <f t="shared" si="4"/>
        <v>0.88495575221238942</v>
      </c>
      <c r="AC10" s="702">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688"/>
      <c r="Q11" s="1339" t="str">
        <f t="shared" si="6"/>
        <v>容积率</v>
      </c>
      <c r="R11" s="699" t="s">
        <v>14</v>
      </c>
      <c r="S11" s="700" t="e">
        <f t="shared" si="0"/>
        <v>#N/A</v>
      </c>
      <c r="T11" s="699" t="s">
        <v>14</v>
      </c>
      <c r="U11" s="700" t="e">
        <f t="shared" si="1"/>
        <v>#N/A</v>
      </c>
      <c r="V11" s="699" t="s">
        <v>14</v>
      </c>
      <c r="W11" s="700" t="e">
        <f t="shared" si="2"/>
        <v>#N/A</v>
      </c>
      <c r="X11" s="701"/>
      <c r="Y11" s="3614"/>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688"/>
      <c r="Q12" s="1339">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688"/>
      <c r="Q13" s="1339">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6"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688"/>
      <c r="Q14" s="1339">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702">
        <f t="shared" si="5"/>
        <v>1</v>
      </c>
    </row>
    <row r="15" spans="1:29" ht="69">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681" t="s">
        <v>1691</v>
      </c>
      <c r="Q15" s="1348" t="str">
        <f t="shared" si="6"/>
        <v>产业集聚程度</v>
      </c>
      <c r="R15" s="703" t="s">
        <v>14</v>
      </c>
      <c r="S15" s="704">
        <f t="shared" si="0"/>
        <v>100</v>
      </c>
      <c r="T15" s="703" t="s">
        <v>14</v>
      </c>
      <c r="U15" s="704">
        <f t="shared" si="1"/>
        <v>100</v>
      </c>
      <c r="V15" s="703" t="s">
        <v>14</v>
      </c>
      <c r="W15" s="704">
        <f t="shared" si="2"/>
        <v>100</v>
      </c>
      <c r="X15" s="1351"/>
      <c r="Y15" s="3681"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7"/>
      <c r="M16" s="2711"/>
      <c r="N16" s="2711"/>
      <c r="O16" s="2769"/>
      <c r="P16" s="3682"/>
      <c r="Q16" s="1348"/>
      <c r="R16" s="703"/>
      <c r="S16" s="704"/>
      <c r="T16" s="703"/>
      <c r="U16" s="704"/>
      <c r="V16" s="703"/>
      <c r="W16" s="704"/>
      <c r="X16" s="1351"/>
      <c r="Y16" s="3682"/>
      <c r="Z16" s="1352"/>
      <c r="AA16" s="1349">
        <v>1</v>
      </c>
      <c r="AB16" s="1349">
        <v>1</v>
      </c>
      <c r="AC16" s="1349">
        <v>1</v>
      </c>
    </row>
    <row r="17" spans="1:29" ht="96.6">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682"/>
      <c r="Q17" s="1348" t="str">
        <f>B17</f>
        <v>交通便捷度</v>
      </c>
      <c r="R17" s="703" t="s">
        <v>14</v>
      </c>
      <c r="S17" s="704">
        <f>F17</f>
        <v>100</v>
      </c>
      <c r="T17" s="703" t="s">
        <v>14</v>
      </c>
      <c r="U17" s="704">
        <f>H17</f>
        <v>100</v>
      </c>
      <c r="V17" s="703" t="s">
        <v>14</v>
      </c>
      <c r="W17" s="704">
        <f>J17</f>
        <v>100</v>
      </c>
      <c r="X17" s="1351"/>
      <c r="Y17" s="3682"/>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7"/>
      <c r="M18" s="2711"/>
      <c r="N18" s="2711"/>
      <c r="O18" s="2769"/>
      <c r="P18" s="3682"/>
      <c r="Q18" s="1348"/>
      <c r="R18" s="703"/>
      <c r="S18" s="704"/>
      <c r="T18" s="703"/>
      <c r="U18" s="704"/>
      <c r="V18" s="703"/>
      <c r="W18" s="704"/>
      <c r="X18" s="1351"/>
      <c r="Y18" s="3682"/>
      <c r="Z18" s="1352"/>
      <c r="AA18" s="1349">
        <v>1</v>
      </c>
      <c r="AB18" s="1349">
        <v>1</v>
      </c>
      <c r="AC18" s="1349">
        <v>1</v>
      </c>
    </row>
    <row r="19" spans="1:29" ht="28.8">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682"/>
      <c r="Q19" s="1348" t="str">
        <f t="shared" ref="Q19:Q33" si="8">B19</f>
        <v>区域土地利用方向</v>
      </c>
      <c r="R19" s="703" t="s">
        <v>14</v>
      </c>
      <c r="S19" s="704">
        <f>F19</f>
        <v>100</v>
      </c>
      <c r="T19" s="703" t="s">
        <v>14</v>
      </c>
      <c r="U19" s="704">
        <f>H19</f>
        <v>100</v>
      </c>
      <c r="V19" s="703" t="s">
        <v>14</v>
      </c>
      <c r="W19" s="704">
        <f>J19</f>
        <v>100</v>
      </c>
      <c r="X19" s="1351"/>
      <c r="Y19" s="3682"/>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8"/>
      <c r="L20" s="2717"/>
      <c r="M20" s="2711"/>
      <c r="N20" s="2711"/>
      <c r="O20" s="2769"/>
      <c r="P20" s="3682"/>
      <c r="Q20" s="1348"/>
      <c r="R20" s="703"/>
      <c r="S20" s="704"/>
      <c r="T20" s="703"/>
      <c r="U20" s="704"/>
      <c r="V20" s="703"/>
      <c r="W20" s="704"/>
      <c r="X20" s="1351"/>
      <c r="Y20" s="3682"/>
      <c r="Z20" s="1352"/>
      <c r="AA20" s="1349"/>
      <c r="AB20" s="1349"/>
      <c r="AC20" s="1349"/>
    </row>
    <row r="21" spans="1:29" ht="82.8">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682"/>
      <c r="Q21" s="1348" t="str">
        <f t="shared" si="8"/>
        <v>环境状况</v>
      </c>
      <c r="R21" s="703" t="s">
        <v>14</v>
      </c>
      <c r="S21" s="704">
        <f>F21</f>
        <v>100</v>
      </c>
      <c r="T21" s="703" t="s">
        <v>14</v>
      </c>
      <c r="U21" s="704">
        <f>H21</f>
        <v>100</v>
      </c>
      <c r="V21" s="703" t="s">
        <v>14</v>
      </c>
      <c r="W21" s="704">
        <f>J21</f>
        <v>100</v>
      </c>
      <c r="X21" s="1351"/>
      <c r="Y21" s="3682"/>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7"/>
      <c r="M22" s="2711"/>
      <c r="N22" s="2711"/>
      <c r="O22" s="2769"/>
      <c r="P22" s="3682"/>
      <c r="Q22" s="1348"/>
      <c r="R22" s="703"/>
      <c r="S22" s="704"/>
      <c r="T22" s="703"/>
      <c r="U22" s="704"/>
      <c r="V22" s="703"/>
      <c r="W22" s="704"/>
      <c r="X22" s="1351"/>
      <c r="Y22" s="3682"/>
      <c r="Z22" s="1352"/>
      <c r="AA22" s="1349">
        <v>1</v>
      </c>
      <c r="AB22" s="1349">
        <v>1</v>
      </c>
      <c r="AC22" s="1349">
        <v>1</v>
      </c>
    </row>
    <row r="23" spans="1:29" s="108" customFormat="1" ht="41.4">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682"/>
      <c r="Q23" s="1339" t="str">
        <f t="shared" si="8"/>
        <v>公共配套设施</v>
      </c>
      <c r="R23" s="699" t="s">
        <v>14</v>
      </c>
      <c r="S23" s="700">
        <f>F23</f>
        <v>100</v>
      </c>
      <c r="T23" s="699" t="s">
        <v>14</v>
      </c>
      <c r="U23" s="700">
        <f>H23</f>
        <v>100</v>
      </c>
      <c r="V23" s="699" t="s">
        <v>14</v>
      </c>
      <c r="W23" s="700">
        <f>J23</f>
        <v>100</v>
      </c>
      <c r="X23" s="701"/>
      <c r="Y23" s="3682"/>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2"/>
      <c r="M24" s="2713"/>
      <c r="N24" s="2713"/>
      <c r="O24" s="2767"/>
      <c r="P24" s="3682"/>
      <c r="Q24" s="1339"/>
      <c r="R24" s="699"/>
      <c r="S24" s="700"/>
      <c r="T24" s="699"/>
      <c r="U24" s="700"/>
      <c r="V24" s="699"/>
      <c r="W24" s="700"/>
      <c r="X24" s="701"/>
      <c r="Y24" s="3682"/>
      <c r="Z24" s="52"/>
      <c r="AA24" s="702">
        <v>1</v>
      </c>
      <c r="AB24" s="702">
        <v>1</v>
      </c>
      <c r="AC24" s="702">
        <v>1</v>
      </c>
    </row>
    <row r="25" spans="1:29" s="108" customFormat="1" ht="41.4">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682"/>
      <c r="Q25" s="1339" t="str">
        <f t="shared" ref="Q25" si="9">B25</f>
        <v>基础设施水平</v>
      </c>
      <c r="R25" s="699" t="s">
        <v>14</v>
      </c>
      <c r="S25" s="700">
        <f>F25</f>
        <v>100</v>
      </c>
      <c r="T25" s="699" t="s">
        <v>14</v>
      </c>
      <c r="U25" s="700">
        <f>H25</f>
        <v>100</v>
      </c>
      <c r="V25" s="699" t="s">
        <v>14</v>
      </c>
      <c r="W25" s="700">
        <f>J25</f>
        <v>100</v>
      </c>
      <c r="X25" s="701"/>
      <c r="Y25" s="3682"/>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2"/>
      <c r="M26" s="2713"/>
      <c r="N26" s="2713"/>
      <c r="O26" s="2767"/>
      <c r="P26" s="3682"/>
      <c r="Q26" s="1339"/>
      <c r="R26" s="699"/>
      <c r="S26" s="700"/>
      <c r="T26" s="699"/>
      <c r="U26" s="700"/>
      <c r="V26" s="699"/>
      <c r="W26" s="700"/>
      <c r="X26" s="701"/>
      <c r="Y26" s="3682"/>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682"/>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82"/>
      <c r="Z27" s="1352" t="str">
        <f t="shared" ref="Z27:Z40" si="13">Q27</f>
        <v>临街状况</v>
      </c>
      <c r="AA27" s="1349">
        <f t="shared" si="3"/>
        <v>1</v>
      </c>
      <c r="AB27" s="1349">
        <f t="shared" si="4"/>
        <v>1</v>
      </c>
      <c r="AC27" s="1349">
        <f t="shared" si="5"/>
        <v>1</v>
      </c>
    </row>
    <row r="28" spans="1:29" ht="28.8">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682"/>
      <c r="Q28" s="1348" t="str">
        <f t="shared" si="8"/>
        <v>毗邻道路的类型与等级</v>
      </c>
      <c r="R28" s="703" t="s">
        <v>14</v>
      </c>
      <c r="S28" s="704">
        <f t="shared" si="10"/>
        <v>100</v>
      </c>
      <c r="T28" s="703" t="s">
        <v>14</v>
      </c>
      <c r="U28" s="704">
        <f t="shared" si="11"/>
        <v>100</v>
      </c>
      <c r="V28" s="703" t="s">
        <v>14</v>
      </c>
      <c r="W28" s="704">
        <f t="shared" si="12"/>
        <v>100</v>
      </c>
      <c r="X28" s="1351"/>
      <c r="Y28" s="3682"/>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7"/>
      <c r="M29" s="2711"/>
      <c r="N29" s="2711"/>
      <c r="O29" s="2769"/>
      <c r="P29" s="3682"/>
      <c r="Q29" s="1348"/>
      <c r="R29" s="703"/>
      <c r="S29" s="704"/>
      <c r="T29" s="703"/>
      <c r="U29" s="704"/>
      <c r="V29" s="703"/>
      <c r="W29" s="704"/>
      <c r="X29" s="1351"/>
      <c r="Y29" s="3682"/>
      <c r="Z29" s="1352"/>
      <c r="AA29" s="1349">
        <v>1</v>
      </c>
      <c r="AB29" s="1349">
        <v>1</v>
      </c>
      <c r="AC29" s="1349">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682"/>
      <c r="Q30" s="1348" t="str">
        <f t="shared" si="8"/>
        <v>土地级别</v>
      </c>
      <c r="R30" s="703" t="s">
        <v>14</v>
      </c>
      <c r="S30" s="704">
        <f t="shared" si="10"/>
        <v>100</v>
      </c>
      <c r="T30" s="703" t="s">
        <v>14</v>
      </c>
      <c r="U30" s="704">
        <f t="shared" si="11"/>
        <v>100</v>
      </c>
      <c r="V30" s="703" t="s">
        <v>14</v>
      </c>
      <c r="W30" s="704">
        <f t="shared" si="12"/>
        <v>100</v>
      </c>
      <c r="X30" s="1351"/>
      <c r="Y30" s="3682"/>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682"/>
      <c r="Q31" s="1348">
        <f t="shared" si="8"/>
        <v>111</v>
      </c>
      <c r="R31" s="703" t="s">
        <v>14</v>
      </c>
      <c r="S31" s="704">
        <f t="shared" si="10"/>
        <v>100</v>
      </c>
      <c r="T31" s="703" t="s">
        <v>14</v>
      </c>
      <c r="U31" s="704">
        <f t="shared" si="11"/>
        <v>100</v>
      </c>
      <c r="V31" s="703" t="s">
        <v>14</v>
      </c>
      <c r="W31" s="704">
        <f t="shared" si="12"/>
        <v>100</v>
      </c>
      <c r="X31" s="1351"/>
      <c r="Y31" s="3682"/>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730" t="s">
        <v>1696</v>
      </c>
      <c r="Q32" s="1348">
        <f t="shared" si="8"/>
        <v>111</v>
      </c>
      <c r="R32" s="703" t="s">
        <v>14</v>
      </c>
      <c r="S32" s="704">
        <f t="shared" si="10"/>
        <v>100</v>
      </c>
      <c r="T32" s="703" t="s">
        <v>14</v>
      </c>
      <c r="U32" s="704">
        <f t="shared" si="11"/>
        <v>100</v>
      </c>
      <c r="V32" s="703" t="s">
        <v>14</v>
      </c>
      <c r="W32" s="704">
        <f t="shared" si="12"/>
        <v>100</v>
      </c>
      <c r="X32" s="1351"/>
      <c r="Y32" s="3686" t="s">
        <v>1696</v>
      </c>
      <c r="Z32" s="1352">
        <f t="shared" si="13"/>
        <v>111</v>
      </c>
      <c r="AA32" s="1349">
        <f t="shared" si="3"/>
        <v>1</v>
      </c>
      <c r="AB32" s="1349">
        <f t="shared" si="4"/>
        <v>1</v>
      </c>
      <c r="AC32" s="1349">
        <f t="shared" si="5"/>
        <v>1</v>
      </c>
    </row>
    <row r="33" spans="1:31" s="421" customFormat="1" ht="15.6"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686"/>
      <c r="Q33" s="1348">
        <f t="shared" si="8"/>
        <v>111</v>
      </c>
      <c r="R33" s="706" t="s">
        <v>14</v>
      </c>
      <c r="S33" s="707">
        <f t="shared" si="10"/>
        <v>100</v>
      </c>
      <c r="T33" s="706" t="s">
        <v>14</v>
      </c>
      <c r="U33" s="707">
        <f t="shared" si="11"/>
        <v>100</v>
      </c>
      <c r="V33" s="706" t="s">
        <v>14</v>
      </c>
      <c r="W33" s="707">
        <f t="shared" si="12"/>
        <v>100</v>
      </c>
      <c r="X33" s="708"/>
      <c r="Y33" s="3686"/>
      <c r="Z33" s="709">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686"/>
      <c r="Q34" s="1348" t="str">
        <f>B34</f>
        <v>宗地面积</v>
      </c>
      <c r="R34" s="703" t="s">
        <v>14</v>
      </c>
      <c r="S34" s="704" t="e">
        <f t="shared" si="10"/>
        <v>#N/A</v>
      </c>
      <c r="T34" s="703" t="s">
        <v>14</v>
      </c>
      <c r="U34" s="704" t="e">
        <f t="shared" si="11"/>
        <v>#N/A</v>
      </c>
      <c r="V34" s="703" t="s">
        <v>14</v>
      </c>
      <c r="W34" s="704" t="e">
        <f t="shared" si="12"/>
        <v>#N/A</v>
      </c>
      <c r="X34" s="1351"/>
      <c r="Y34" s="3686"/>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7"/>
      <c r="M35" s="2711"/>
      <c r="N35" s="2711"/>
      <c r="O35" s="2769"/>
      <c r="P35" s="3686"/>
      <c r="Q35" s="1348" t="str">
        <f t="shared" ref="Q35:Q40" si="14">B35</f>
        <v>宗地形状</v>
      </c>
      <c r="R35" s="703" t="s">
        <v>14</v>
      </c>
      <c r="S35" s="704">
        <f t="shared" si="10"/>
        <v>100</v>
      </c>
      <c r="T35" s="703" t="s">
        <v>14</v>
      </c>
      <c r="U35" s="704">
        <f t="shared" si="11"/>
        <v>100</v>
      </c>
      <c r="V35" s="703" t="s">
        <v>14</v>
      </c>
      <c r="W35" s="704">
        <f t="shared" si="12"/>
        <v>100</v>
      </c>
      <c r="X35" s="1351"/>
      <c r="Y35" s="3686"/>
      <c r="Z35" s="1352" t="str">
        <f t="shared" si="13"/>
        <v>宗地形状</v>
      </c>
      <c r="AA35" s="1349">
        <f t="shared" si="3"/>
        <v>1</v>
      </c>
      <c r="AB35" s="1349">
        <f t="shared" si="4"/>
        <v>1</v>
      </c>
      <c r="AC35" s="1349">
        <f t="shared" si="5"/>
        <v>1</v>
      </c>
    </row>
    <row r="36" spans="1:31" s="108"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2"/>
      <c r="M36" s="2713"/>
      <c r="N36" s="2713"/>
      <c r="O36" s="2767"/>
      <c r="P36" s="3686"/>
      <c r="Q36" s="1348" t="str">
        <f t="shared" si="14"/>
        <v>宗地开发程度</v>
      </c>
      <c r="R36" s="699" t="s">
        <v>14</v>
      </c>
      <c r="S36" s="700">
        <f t="shared" si="10"/>
        <v>100</v>
      </c>
      <c r="T36" s="699" t="s">
        <v>14</v>
      </c>
      <c r="U36" s="700">
        <f t="shared" si="11"/>
        <v>100</v>
      </c>
      <c r="V36" s="699" t="s">
        <v>14</v>
      </c>
      <c r="W36" s="700">
        <f t="shared" si="12"/>
        <v>100</v>
      </c>
      <c r="X36" s="701"/>
      <c r="Y36" s="3686"/>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7"/>
      <c r="M37" s="2711"/>
      <c r="N37" s="2711"/>
      <c r="O37" s="2769"/>
      <c r="P37" s="3686" t="s">
        <v>1696</v>
      </c>
      <c r="Q37" s="1348" t="str">
        <f t="shared" si="14"/>
        <v>工程地质条件</v>
      </c>
      <c r="R37" s="703" t="s">
        <v>14</v>
      </c>
      <c r="S37" s="704">
        <f t="shared" si="10"/>
        <v>100</v>
      </c>
      <c r="T37" s="703" t="s">
        <v>14</v>
      </c>
      <c r="U37" s="704">
        <f t="shared" si="11"/>
        <v>100</v>
      </c>
      <c r="V37" s="703" t="s">
        <v>14</v>
      </c>
      <c r="W37" s="704">
        <f t="shared" si="12"/>
        <v>100</v>
      </c>
      <c r="X37" s="1351"/>
      <c r="Y37" s="3686" t="s">
        <v>1696</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686"/>
      <c r="Q38" s="1348">
        <f t="shared" si="14"/>
        <v>111</v>
      </c>
      <c r="R38" s="703" t="s">
        <v>14</v>
      </c>
      <c r="S38" s="704">
        <f t="shared" si="10"/>
        <v>100</v>
      </c>
      <c r="T38" s="703" t="s">
        <v>14</v>
      </c>
      <c r="U38" s="704">
        <f t="shared" si="11"/>
        <v>100</v>
      </c>
      <c r="V38" s="703" t="s">
        <v>14</v>
      </c>
      <c r="W38" s="704">
        <f t="shared" si="12"/>
        <v>100</v>
      </c>
      <c r="X38" s="1351"/>
      <c r="Y38" s="3686"/>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686"/>
      <c r="Q39" s="1348">
        <f t="shared" si="14"/>
        <v>111</v>
      </c>
      <c r="R39" s="703" t="s">
        <v>14</v>
      </c>
      <c r="S39" s="704">
        <f t="shared" si="10"/>
        <v>100</v>
      </c>
      <c r="T39" s="703" t="s">
        <v>14</v>
      </c>
      <c r="U39" s="704">
        <f t="shared" si="11"/>
        <v>100</v>
      </c>
      <c r="V39" s="703" t="s">
        <v>14</v>
      </c>
      <c r="W39" s="704">
        <f t="shared" si="12"/>
        <v>100</v>
      </c>
      <c r="X39" s="1351"/>
      <c r="Y39" s="3686"/>
      <c r="Z39" s="1352">
        <f t="shared" si="13"/>
        <v>111</v>
      </c>
      <c r="AA39" s="1349">
        <f t="shared" si="3"/>
        <v>1</v>
      </c>
      <c r="AB39" s="1349">
        <f t="shared" si="4"/>
        <v>1</v>
      </c>
      <c r="AC39" s="1349">
        <f t="shared" si="5"/>
        <v>1</v>
      </c>
    </row>
    <row r="40" spans="1:31" s="421" customFormat="1" ht="15.6"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686"/>
      <c r="Q40" s="1348">
        <f t="shared" si="14"/>
        <v>111</v>
      </c>
      <c r="R40" s="706" t="s">
        <v>14</v>
      </c>
      <c r="S40" s="707">
        <f t="shared" si="10"/>
        <v>100</v>
      </c>
      <c r="T40" s="706" t="s">
        <v>14</v>
      </c>
      <c r="U40" s="707">
        <f t="shared" si="11"/>
        <v>100</v>
      </c>
      <c r="V40" s="706" t="s">
        <v>14</v>
      </c>
      <c r="W40" s="707">
        <f t="shared" si="12"/>
        <v>100</v>
      </c>
      <c r="X40" s="708"/>
      <c r="Y40" s="3686"/>
      <c r="Z40" s="709">
        <f t="shared" si="13"/>
        <v>111</v>
      </c>
      <c r="AA40" s="1349">
        <f t="shared" si="3"/>
        <v>1</v>
      </c>
      <c r="AB40" s="1349">
        <f t="shared" si="4"/>
        <v>1</v>
      </c>
      <c r="AC40" s="1349">
        <f t="shared" si="5"/>
        <v>1</v>
      </c>
    </row>
    <row r="41" spans="1:31" ht="14.4">
      <c r="A41" s="429" t="s">
        <v>1844</v>
      </c>
      <c r="B41" s="1978" t="s">
        <v>1922</v>
      </c>
      <c r="C41" s="629" t="s">
        <v>0</v>
      </c>
      <c r="D41" s="431"/>
      <c r="E41" s="432"/>
      <c r="F41" s="433"/>
      <c r="G41" s="434"/>
      <c r="H41" s="435"/>
      <c r="I41" s="432"/>
      <c r="J41" s="435"/>
      <c r="K41" s="712"/>
      <c r="L41" s="2719"/>
      <c r="M41" s="2711"/>
      <c r="N41" s="2711"/>
      <c r="O41" s="2720"/>
      <c r="P41" s="3688" t="str">
        <f>A41</f>
        <v>成交单价</v>
      </c>
      <c r="Q41" s="3688"/>
      <c r="R41" s="3676">
        <f>E41</f>
        <v>0</v>
      </c>
      <c r="S41" s="3676"/>
      <c r="T41" s="3676">
        <f>G41</f>
        <v>0</v>
      </c>
      <c r="U41" s="3676"/>
      <c r="V41" s="3676">
        <f>I41</f>
        <v>0</v>
      </c>
      <c r="W41" s="3676"/>
      <c r="X41" s="688"/>
      <c r="Y41" s="710"/>
      <c r="Z41" s="688"/>
      <c r="AA41" s="688"/>
      <c r="AB41" s="688"/>
      <c r="AC41" s="688"/>
    </row>
    <row r="42" spans="1:31" ht="15" thickBot="1">
      <c r="A42" s="436" t="s">
        <v>1793</v>
      </c>
      <c r="B42" s="630"/>
      <c r="C42" s="439" t="e">
        <f>R43</f>
        <v>#DIV/0!</v>
      </c>
      <c r="D42" s="2313" t="s">
        <v>2138</v>
      </c>
      <c r="E42" s="439" t="e">
        <f>R42</f>
        <v>#DIV/0!</v>
      </c>
      <c r="F42" s="2314"/>
      <c r="G42" s="438" t="e">
        <f>T42</f>
        <v>#DIV/0!</v>
      </c>
      <c r="H42" s="2314"/>
      <c r="I42" s="439" t="e">
        <f>V42</f>
        <v>#DIV/0!</v>
      </c>
      <c r="J42" s="2314"/>
      <c r="K42" s="2316">
        <f>F42+H42+J42</f>
        <v>0</v>
      </c>
      <c r="L42" s="2719"/>
      <c r="M42" s="2711"/>
      <c r="N42" s="2711"/>
      <c r="O42" s="2720"/>
      <c r="P42" s="3688" t="str">
        <f>A42</f>
        <v>比较价值（元/平方米）</v>
      </c>
      <c r="Q42" s="3688"/>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 thickBot="1">
      <c r="A43" s="440" t="s">
        <v>1794</v>
      </c>
      <c r="B43" s="441"/>
      <c r="C43" s="442" t="e">
        <f>R43</f>
        <v>#DIV/0!</v>
      </c>
      <c r="D43" s="442"/>
      <c r="E43" s="442"/>
      <c r="F43" s="442"/>
      <c r="G43" s="442"/>
      <c r="H43" s="442"/>
      <c r="I43" s="442"/>
      <c r="J43" s="442"/>
      <c r="K43" s="713"/>
      <c r="L43" s="2719"/>
      <c r="M43" s="2711"/>
      <c r="N43" s="2711"/>
      <c r="O43" s="2720"/>
      <c r="P43" s="3727" t="str">
        <f>A43</f>
        <v>估价对象XX用房的比较价值（楼面单价，元/平方米）</v>
      </c>
      <c r="Q43" s="3728"/>
      <c r="R43" s="3733" t="e">
        <f>ROUND(IF(D42="简单平均",AVERAGE(R42:W42),R42*F42+T42*H42+V42*J42),0)</f>
        <v>#DIV/0!</v>
      </c>
      <c r="S43" s="3733"/>
      <c r="T43" s="3733"/>
      <c r="U43" s="3733"/>
      <c r="V43" s="3733"/>
      <c r="W43" s="3733"/>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4.4"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8.8">
      <c r="A50" s="631" t="s">
        <v>1881</v>
      </c>
      <c r="B50" s="632" t="s">
        <v>1882</v>
      </c>
      <c r="C50" s="1979" t="s">
        <v>1883</v>
      </c>
      <c r="D50" s="1980" t="s">
        <v>1884</v>
      </c>
      <c r="E50" s="633" t="s">
        <v>1885</v>
      </c>
      <c r="F50" s="634" t="s">
        <v>1886</v>
      </c>
      <c r="G50" s="3663" t="s">
        <v>1887</v>
      </c>
      <c r="H50" s="3734"/>
      <c r="I50" s="1352" t="s">
        <v>1923</v>
      </c>
      <c r="J50" s="1352">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2">
        <v>1</v>
      </c>
      <c r="E51" s="637">
        <f>'数据-汇总表'!E8+'数据-汇总表'!E9</f>
        <v>36123.300000000003</v>
      </c>
      <c r="F51" s="638" t="e">
        <f t="shared" ref="F51:F60" si="15">ROUND(B51*E51/10000,0)</f>
        <v>#DIV/0!</v>
      </c>
      <c r="G51" s="3659"/>
      <c r="H51" s="3688"/>
      <c r="I51" s="771">
        <v>1</v>
      </c>
      <c r="J51" s="771">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7" t="e">
        <f>ROUND($C$43*C52*D52,0)</f>
        <v>#DIV/0!</v>
      </c>
      <c r="C52" s="170">
        <f t="shared" ref="C52:C60" si="16">IF($C$50="北京市系数",I52,J52)</f>
        <v>0</v>
      </c>
      <c r="D52" s="943">
        <v>0.25</v>
      </c>
      <c r="E52" s="641"/>
      <c r="F52" s="638" t="e">
        <f t="shared" si="15"/>
        <v>#DIV/0!</v>
      </c>
      <c r="G52" s="3001" t="s">
        <v>1892</v>
      </c>
      <c r="H52" s="885">
        <f>项目基本情况!B37</f>
        <v>0</v>
      </c>
      <c r="I52" s="771">
        <f>SUMIF(修正!A57:A68,H52,修正!B57:B68)</f>
        <v>0</v>
      </c>
      <c r="J52" s="772"/>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7" t="e">
        <f t="shared" ref="B53:B60" si="17">ROUND($C$43*C53*D53,0)</f>
        <v>#DIV/0!</v>
      </c>
      <c r="C53" s="170">
        <f t="shared" si="16"/>
        <v>0</v>
      </c>
      <c r="D53" s="943">
        <v>0.25</v>
      </c>
      <c r="E53" s="641"/>
      <c r="F53" s="638" t="e">
        <f t="shared" si="15"/>
        <v>#DIV/0!</v>
      </c>
      <c r="G53" s="3002"/>
      <c r="H53" s="885">
        <f>项目基本情况!B37</f>
        <v>0</v>
      </c>
      <c r="I53" s="771">
        <f>SUMIF(修正!A57:A68,H53,修正!C57:C68)</f>
        <v>0</v>
      </c>
      <c r="J53" s="772"/>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7" t="e">
        <f t="shared" si="17"/>
        <v>#DIV/0!</v>
      </c>
      <c r="C54" s="170">
        <f t="shared" si="16"/>
        <v>0</v>
      </c>
      <c r="D54" s="943">
        <v>0.25</v>
      </c>
      <c r="E54" s="641"/>
      <c r="F54" s="638" t="e">
        <f t="shared" si="15"/>
        <v>#DIV/0!</v>
      </c>
      <c r="G54" s="3002"/>
      <c r="H54" s="885">
        <f>项目基本情况!B37</f>
        <v>0</v>
      </c>
      <c r="I54" s="771">
        <f>SUMIF(修正!A57:A68,H54,修正!D57:D68)</f>
        <v>0</v>
      </c>
      <c r="J54" s="772"/>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3"/>
      <c r="E55" s="641"/>
      <c r="F55" s="638"/>
      <c r="G55" s="3003"/>
      <c r="H55" s="885"/>
      <c r="I55" s="771"/>
      <c r="J55" s="772"/>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7" t="e">
        <f t="shared" si="17"/>
        <v>#DIV/0!</v>
      </c>
      <c r="C56" s="170">
        <f t="shared" si="16"/>
        <v>0</v>
      </c>
      <c r="D56" s="943">
        <v>0.25</v>
      </c>
      <c r="E56" s="216">
        <f>'数据-汇总表'!E11</f>
        <v>0</v>
      </c>
      <c r="F56" s="638" t="e">
        <f t="shared" si="15"/>
        <v>#DIV/0!</v>
      </c>
      <c r="G56" s="1983" t="s">
        <v>1896</v>
      </c>
      <c r="H56" s="885">
        <f>项目基本情况!C37</f>
        <v>0</v>
      </c>
      <c r="I56" s="771">
        <f>SUMIF(修正!A57:A68,H56,修正!E57:E68)</f>
        <v>0</v>
      </c>
      <c r="J56" s="772"/>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7" t="e">
        <f t="shared" si="17"/>
        <v>#DIV/0!</v>
      </c>
      <c r="C59" s="170">
        <f t="shared" si="16"/>
        <v>0</v>
      </c>
      <c r="D59" s="943">
        <v>0.25</v>
      </c>
      <c r="E59" s="216">
        <f>'数据-汇总表'!E14</f>
        <v>0</v>
      </c>
      <c r="F59" s="638" t="e">
        <f t="shared" si="15"/>
        <v>#DIV/0!</v>
      </c>
      <c r="G59" s="1983" t="s">
        <v>1892</v>
      </c>
      <c r="H59" s="885">
        <f>项目基本情况!B37</f>
        <v>0</v>
      </c>
      <c r="I59" s="771">
        <f>SUMIF(修正!A57:A68,H59,修正!G57:G68)</f>
        <v>0</v>
      </c>
      <c r="J59" s="772"/>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4.4" thickBot="1">
      <c r="A60" s="640" t="s">
        <v>1902</v>
      </c>
      <c r="B60" s="217" t="e">
        <f t="shared" si="17"/>
        <v>#DIV/0!</v>
      </c>
      <c r="C60" s="170">
        <f t="shared" si="16"/>
        <v>0</v>
      </c>
      <c r="D60" s="943">
        <v>0.25</v>
      </c>
      <c r="E60" s="216">
        <f>'数据-汇总表'!E15</f>
        <v>0</v>
      </c>
      <c r="F60" s="638" t="e">
        <f t="shared" si="15"/>
        <v>#DIV/0!</v>
      </c>
      <c r="G60" s="1984" t="s">
        <v>1896</v>
      </c>
      <c r="H60" s="895">
        <f>项目基本情况!C37</f>
        <v>0</v>
      </c>
      <c r="I60" s="771">
        <f>SUMIF(修正!A57:A68,H60,修正!G57:G68)</f>
        <v>0</v>
      </c>
      <c r="J60" s="772"/>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4.4" thickBot="1">
      <c r="A61" s="642" t="s">
        <v>1903</v>
      </c>
      <c r="B61" s="643" t="s">
        <v>22</v>
      </c>
      <c r="C61" s="643" t="s">
        <v>23</v>
      </c>
      <c r="D61" s="643" t="s">
        <v>392</v>
      </c>
      <c r="E61" s="643">
        <f>IF(B41="楼面地价",SUM(E51:E60),'数据-汇总表'!D3)</f>
        <v>18193.39</v>
      </c>
      <c r="F61" s="644" t="e">
        <f>IF(B41="楼面地价",SUM(F51:F60),ROUND(C43*E61/10000,0))</f>
        <v>#DIV/0!</v>
      </c>
      <c r="G61" s="937"/>
      <c r="H61" s="937"/>
      <c r="I61" s="937"/>
      <c r="J61" s="937"/>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5"/>
      <c r="B62" s="927"/>
      <c r="C62" s="929"/>
      <c r="D62" s="925"/>
      <c r="E62" s="925"/>
      <c r="F62" s="925"/>
      <c r="G62" s="925"/>
      <c r="H62" s="925"/>
      <c r="I62" s="925"/>
      <c r="J62" s="925"/>
      <c r="K62" s="886"/>
      <c r="L62" s="887"/>
      <c r="M62" s="925"/>
      <c r="N62" s="925"/>
      <c r="O62" s="925"/>
      <c r="P62" s="2720"/>
      <c r="Q62" s="2720"/>
      <c r="R62" s="2720"/>
      <c r="S62" s="2720"/>
      <c r="T62" s="2720"/>
      <c r="U62" s="2720"/>
      <c r="V62" s="2720"/>
      <c r="W62" s="2720"/>
      <c r="X62" s="2720"/>
      <c r="Y62" s="2720"/>
      <c r="Z62" s="2720"/>
      <c r="AA62" s="2720"/>
      <c r="AB62" s="2720"/>
      <c r="AC62" s="2720"/>
      <c r="AD62" s="2720"/>
      <c r="AE62" s="2720"/>
    </row>
    <row r="63" spans="1:31">
      <c r="A63" s="925"/>
      <c r="B63" s="927"/>
      <c r="C63" s="690" t="str">
        <f>YEAR(C7)&amp;"-"&amp;MONTH(C7)&amp;"-1"</f>
        <v>2023-7-1</v>
      </c>
      <c r="D63" s="690">
        <f>EDATE(C63,-3)</f>
        <v>45017</v>
      </c>
      <c r="E63" s="690">
        <f>EDATE(D63,-3)</f>
        <v>44927</v>
      </c>
      <c r="F63" s="690">
        <f t="shared" ref="F63:O63" si="18">EDATE(E63,-3)</f>
        <v>44835</v>
      </c>
      <c r="G63" s="690">
        <f t="shared" si="18"/>
        <v>44743</v>
      </c>
      <c r="H63" s="690">
        <f t="shared" si="18"/>
        <v>44652</v>
      </c>
      <c r="I63" s="690">
        <f t="shared" si="18"/>
        <v>44562</v>
      </c>
      <c r="J63" s="690">
        <f t="shared" si="18"/>
        <v>44470</v>
      </c>
      <c r="K63" s="690">
        <f t="shared" si="18"/>
        <v>44378</v>
      </c>
      <c r="L63" s="690">
        <f t="shared" si="18"/>
        <v>44287</v>
      </c>
      <c r="M63" s="690">
        <f t="shared" si="18"/>
        <v>44197</v>
      </c>
      <c r="N63" s="690">
        <f t="shared" si="18"/>
        <v>44105</v>
      </c>
      <c r="O63" s="690">
        <f t="shared" si="18"/>
        <v>44013</v>
      </c>
      <c r="P63" s="2720"/>
      <c r="Q63" s="2720"/>
      <c r="R63" s="2720"/>
      <c r="S63" s="2720"/>
      <c r="T63" s="2720"/>
      <c r="U63" s="2720"/>
      <c r="V63" s="2720"/>
      <c r="W63" s="2720"/>
      <c r="X63" s="2720"/>
      <c r="Y63" s="2720"/>
      <c r="Z63" s="2720"/>
      <c r="AA63" s="2720"/>
      <c r="AB63" s="2720"/>
      <c r="AC63" s="2720"/>
      <c r="AD63" s="2720"/>
      <c r="AE63" s="2720"/>
    </row>
    <row r="64" spans="1:31" ht="22.2" thickBot="1">
      <c r="A64" s="692" t="s">
        <v>1798</v>
      </c>
      <c r="B64" s="688"/>
      <c r="C64" s="693"/>
      <c r="D64" s="693"/>
      <c r="E64" s="693"/>
      <c r="F64" s="694"/>
      <c r="G64" s="694"/>
      <c r="H64" s="693"/>
      <c r="I64" s="693"/>
      <c r="J64" s="693"/>
      <c r="K64" s="695"/>
      <c r="L64" s="696"/>
      <c r="M64" s="693"/>
      <c r="N64" s="693"/>
      <c r="O64" s="938"/>
      <c r="P64" s="2764"/>
      <c r="Q64" s="2734"/>
      <c r="R64" s="2720"/>
      <c r="S64" s="2720"/>
      <c r="T64" s="2720"/>
      <c r="U64" s="2720"/>
      <c r="V64" s="2720"/>
      <c r="W64" s="2720"/>
      <c r="X64" s="2720"/>
      <c r="Y64" s="2720"/>
      <c r="Z64" s="2720"/>
      <c r="AA64" s="2720"/>
      <c r="AB64" s="2720"/>
      <c r="AC64" s="2720"/>
      <c r="AD64" s="2720"/>
      <c r="AE64" s="2720"/>
    </row>
    <row r="65" spans="1:31" s="456" customFormat="1" ht="14.4">
      <c r="A65" s="1985" t="s">
        <v>1904</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4"/>
      <c r="Q66" s="2656"/>
      <c r="R66" s="2656"/>
      <c r="S66" s="2656"/>
      <c r="T66" s="2656"/>
      <c r="U66" s="2656"/>
      <c r="V66" s="2656"/>
      <c r="W66" s="2656"/>
      <c r="X66" s="2656"/>
      <c r="Y66" s="2656"/>
      <c r="Z66" s="2656"/>
      <c r="AA66" s="2656"/>
      <c r="AB66" s="2656"/>
      <c r="AC66" s="2656"/>
      <c r="AD66" s="2656"/>
      <c r="AE66" s="2656"/>
    </row>
    <row r="67" spans="1:31" s="108" customFormat="1" ht="15" thickBot="1">
      <c r="A67" s="463" t="s">
        <v>1716</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4.4">
      <c r="A68" s="469" t="s">
        <v>1681</v>
      </c>
      <c r="B68" s="458"/>
      <c r="C68" s="470" t="s">
        <v>1776</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4.4"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ht="14.4">
      <c r="A70" s="475" t="s">
        <v>1719</v>
      </c>
      <c r="B70" s="476" t="s">
        <v>1685</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4.4"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9.4" thickTop="1">
      <c r="A72" s="482"/>
      <c r="B72" s="486" t="s">
        <v>1688</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4.4"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4.4"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4.4"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4.4"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4.4"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4.4"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4.4"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ht="14.4">
      <c r="A83" s="475" t="s">
        <v>1690</v>
      </c>
      <c r="B83" s="476" t="s">
        <v>1829</v>
      </c>
      <c r="C83" s="521" t="s">
        <v>1721</v>
      </c>
      <c r="D83" s="521" t="s">
        <v>1722</v>
      </c>
      <c r="E83" s="521" t="s">
        <v>1723</v>
      </c>
      <c r="F83" s="521" t="s">
        <v>1724</v>
      </c>
      <c r="G83" s="521" t="s">
        <v>1725</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 thickTop="1">
      <c r="A85" s="482"/>
      <c r="B85" s="486" t="s">
        <v>1726</v>
      </c>
      <c r="C85" s="526" t="s">
        <v>1721</v>
      </c>
      <c r="D85" s="526" t="s">
        <v>1722</v>
      </c>
      <c r="E85" s="526" t="s">
        <v>1723</v>
      </c>
      <c r="F85" s="526" t="s">
        <v>1724</v>
      </c>
      <c r="G85" s="526" t="s">
        <v>1725</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29.4" thickTop="1">
      <c r="A87" s="527"/>
      <c r="B87" s="486" t="s">
        <v>1907</v>
      </c>
      <c r="C87" s="521" t="s">
        <v>1721</v>
      </c>
      <c r="D87" s="521" t="s">
        <v>1722</v>
      </c>
      <c r="E87" s="521" t="s">
        <v>1723</v>
      </c>
      <c r="F87" s="521" t="s">
        <v>1724</v>
      </c>
      <c r="G87" s="521" t="s">
        <v>1725</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9.4" thickTop="1">
      <c r="A89" s="527"/>
      <c r="B89" s="486" t="s">
        <v>1908</v>
      </c>
      <c r="C89" s="521" t="s">
        <v>1721</v>
      </c>
      <c r="D89" s="521" t="s">
        <v>1722</v>
      </c>
      <c r="E89" s="521" t="s">
        <v>1723</v>
      </c>
      <c r="F89" s="521" t="s">
        <v>1724</v>
      </c>
      <c r="G89" s="521" t="s">
        <v>1725</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28"/>
      <c r="N94" s="2750"/>
      <c r="O94" s="2750"/>
      <c r="P94" s="2774"/>
      <c r="Q94" s="2741"/>
      <c r="R94" s="2742"/>
      <c r="S94" s="2742"/>
      <c r="T94" s="2742"/>
      <c r="U94" s="2742"/>
      <c r="V94" s="2742"/>
      <c r="W94" s="2742"/>
      <c r="X94" s="2742"/>
      <c r="Y94" s="2742"/>
      <c r="Z94" s="2742"/>
      <c r="AA94" s="2742"/>
      <c r="AB94" s="2742"/>
      <c r="AC94" s="2742"/>
      <c r="AD94" s="2742"/>
      <c r="AE94" s="2742"/>
    </row>
    <row r="95" spans="1:31" ht="15" thickTop="1">
      <c r="A95" s="482"/>
      <c r="B95" s="486" t="str">
        <f>B27</f>
        <v>临街状况</v>
      </c>
      <c r="C95" s="487" t="s">
        <v>1909</v>
      </c>
      <c r="D95" s="487" t="s">
        <v>1910</v>
      </c>
      <c r="E95" s="487" t="s">
        <v>1911</v>
      </c>
      <c r="F95" s="487" t="s">
        <v>1912</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9.4" thickTop="1">
      <c r="A97" s="482"/>
      <c r="B97" s="486" t="s">
        <v>1815</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 thickTop="1">
      <c r="A99" s="482"/>
      <c r="B99" s="486" t="s">
        <v>1873</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4.4"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4.4"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4.4"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4.4"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4.4"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4.4"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4.4"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1914</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1916</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1917</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4.4"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4.4"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4.4"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4.4"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4.4"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4.4"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4" customFormat="1">
      <c r="A2" s="982"/>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8" thickBot="1">
      <c r="A4" s="985"/>
      <c r="B4" s="986"/>
      <c r="C4" s="987"/>
      <c r="D4" s="988"/>
      <c r="E4" s="988"/>
      <c r="F4" s="1305"/>
      <c r="G4" s="1305"/>
      <c r="H4" s="1305"/>
      <c r="I4" s="1305"/>
      <c r="J4" s="1305"/>
      <c r="K4" s="1305"/>
      <c r="L4" s="1305"/>
      <c r="M4" s="1306"/>
      <c r="N4" s="1306"/>
      <c r="O4" s="1305"/>
      <c r="P4" s="1305"/>
      <c r="Q4" s="1305"/>
      <c r="R4" s="1305"/>
      <c r="S4" s="1307"/>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2" t="s">
        <v>2087</v>
      </c>
      <c r="C5" s="993"/>
      <c r="D5" s="994"/>
      <c r="E5" s="994"/>
      <c r="F5" s="1308"/>
      <c r="G5" s="1308"/>
      <c r="H5" s="1308"/>
      <c r="I5" s="1308"/>
      <c r="J5" s="1308"/>
      <c r="K5" s="1308"/>
      <c r="L5" s="1309"/>
      <c r="M5" s="1310"/>
      <c r="N5" s="1310"/>
      <c r="O5" s="1308"/>
      <c r="P5" s="1308"/>
      <c r="Q5" s="1308"/>
      <c r="R5" s="1308"/>
      <c r="S5" s="1311"/>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3" t="s">
        <v>2088</v>
      </c>
      <c r="C7" s="902"/>
      <c r="D7" s="896"/>
      <c r="E7" s="896"/>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3" t="s">
        <v>2089</v>
      </c>
      <c r="C9" s="902"/>
      <c r="D9" s="896"/>
      <c r="E9" s="896"/>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2"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2"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2"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2093</v>
      </c>
      <c r="B17" s="2145"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6" t="s">
        <v>2095</v>
      </c>
      <c r="E19" s="1336"/>
      <c r="F19" s="1336"/>
      <c r="G19" s="1336"/>
      <c r="H19" s="1057"/>
      <c r="I19" s="158"/>
      <c r="J19" s="158"/>
      <c r="K19" s="158"/>
      <c r="L19" s="158"/>
      <c r="M19" s="158"/>
      <c r="N19" s="158"/>
      <c r="O19" s="158"/>
      <c r="P19" s="158"/>
      <c r="Q19" s="158"/>
      <c r="R19" s="716"/>
      <c r="S19" s="128"/>
    </row>
    <row r="20" spans="1:45" ht="16.2" thickBot="1">
      <c r="A20" s="661" t="s">
        <v>2096</v>
      </c>
      <c r="B20" s="293" t="e">
        <f ca="1">IF(D20="——",S22,S22-F20)</f>
        <v>#REF!</v>
      </c>
      <c r="C20" s="158"/>
      <c r="D20" s="2147"/>
      <c r="E20" s="1337"/>
      <c r="F20" s="981" t="e">
        <f ca="1">SUMIF(INDIRECT("'"&amp;H20&amp;"'"&amp;"!A:A"),"承租人权益价值",INDIRECT("'"&amp;H20&amp;"'"&amp;"!c:c"))</f>
        <v>#REF!</v>
      </c>
      <c r="G20" s="981" t="s">
        <v>2097</v>
      </c>
      <c r="H20" s="2148"/>
      <c r="I20" s="158"/>
      <c r="J20" s="158"/>
      <c r="K20" s="158"/>
      <c r="L20" s="158"/>
      <c r="M20" s="158"/>
      <c r="N20" s="158"/>
      <c r="O20" s="158"/>
      <c r="P20" s="158"/>
      <c r="Q20" s="158"/>
      <c r="R20" s="716"/>
      <c r="S20" s="128"/>
    </row>
    <row r="21" spans="1:45" ht="15.6">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739" t="s">
        <v>27</v>
      </c>
      <c r="D22" s="3740"/>
      <c r="E22" s="3740"/>
      <c r="F22" s="3740"/>
      <c r="G22" s="3740"/>
      <c r="H22" s="3740"/>
      <c r="I22" s="3740"/>
      <c r="J22" s="3740"/>
      <c r="K22" s="3740"/>
      <c r="L22" s="3740"/>
      <c r="M22" s="3740"/>
      <c r="N22" s="3740"/>
      <c r="O22" s="3740"/>
      <c r="P22" s="3740"/>
      <c r="Q22" s="374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5">
        <v>1</v>
      </c>
      <c r="D24" s="2806"/>
      <c r="E24" s="2805">
        <v>1</v>
      </c>
      <c r="F24" s="2806"/>
      <c r="G24" s="2805">
        <v>1</v>
      </c>
      <c r="H24" s="2806"/>
      <c r="I24" s="2805">
        <v>1</v>
      </c>
      <c r="J24" s="2806"/>
      <c r="K24" s="2805">
        <v>1</v>
      </c>
      <c r="L24" s="2806"/>
      <c r="M24" s="2805">
        <v>1</v>
      </c>
      <c r="N24" s="2806"/>
      <c r="O24" s="2805">
        <v>1</v>
      </c>
      <c r="P24" s="2806"/>
      <c r="Q24" s="2805">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8"/>
      <c r="G1" s="2788"/>
      <c r="H1" s="2788"/>
      <c r="I1" s="2788"/>
      <c r="J1" s="2788"/>
      <c r="K1" s="2788"/>
      <c r="L1" s="2788"/>
      <c r="M1" s="2788"/>
      <c r="N1" s="2788"/>
      <c r="O1" s="2788"/>
      <c r="P1" s="2788"/>
    </row>
    <row r="2" spans="1:16" ht="15.6">
      <c r="A2" s="2141" t="s">
        <v>2073</v>
      </c>
      <c r="B2" s="2597">
        <f ca="1">SUMIF(B6:B13,"&lt;&gt;#ref!",B6:B13)</f>
        <v>2413</v>
      </c>
      <c r="C2" s="2141" t="s">
        <v>2074</v>
      </c>
      <c r="D2" s="2141" t="s">
        <v>2075</v>
      </c>
      <c r="E2" s="2607">
        <f ca="1">SUMIF(E6:E13,"&lt;&gt;#ref!",E6:E13)</f>
        <v>36123.300000000003</v>
      </c>
      <c r="F2" s="2788"/>
      <c r="G2" s="2788"/>
      <c r="H2" s="2788"/>
      <c r="I2" s="2788"/>
      <c r="J2" s="2788"/>
      <c r="K2" s="2788"/>
      <c r="L2" s="2788"/>
      <c r="M2" s="2788"/>
      <c r="N2" s="2788"/>
      <c r="O2" s="2788"/>
      <c r="P2" s="2788"/>
    </row>
    <row r="3" spans="1:16" ht="15.6">
      <c r="A3" s="2141" t="s">
        <v>2076</v>
      </c>
      <c r="B3" s="2597">
        <f ca="1">ROUND(B2*10000/E2,0)</f>
        <v>668</v>
      </c>
      <c r="C3" s="2141" t="s">
        <v>2082</v>
      </c>
      <c r="D3" s="2788"/>
      <c r="E3" s="2788"/>
      <c r="F3" s="2788"/>
      <c r="G3" s="2788"/>
      <c r="H3" s="2788"/>
      <c r="I3" s="2788"/>
      <c r="J3" s="2788"/>
      <c r="K3" s="2788"/>
      <c r="L3" s="2788"/>
      <c r="M3" s="2788"/>
      <c r="N3" s="2788"/>
      <c r="O3" s="2788"/>
      <c r="P3" s="2788"/>
    </row>
    <row r="4" spans="1:16" ht="15.6">
      <c r="A4" s="2789"/>
      <c r="B4" s="2788"/>
      <c r="C4" s="2788"/>
      <c r="D4" s="2788"/>
      <c r="E4" s="2788"/>
      <c r="F4" s="2788"/>
      <c r="G4" s="2788"/>
      <c r="H4" s="2788"/>
      <c r="I4" s="2788"/>
      <c r="J4" s="2788"/>
      <c r="K4" s="2788"/>
      <c r="L4" s="2788"/>
      <c r="M4" s="2788"/>
      <c r="N4" s="2788"/>
      <c r="O4" s="2788"/>
      <c r="P4" s="2788"/>
    </row>
    <row r="5" spans="1:16" ht="31.2">
      <c r="A5" s="2603" t="s">
        <v>2077</v>
      </c>
      <c r="B5" s="2605" t="s">
        <v>2078</v>
      </c>
      <c r="C5" s="2142"/>
      <c r="D5" s="2788"/>
      <c r="E5" s="2606" t="s">
        <v>2079</v>
      </c>
      <c r="F5" s="2788"/>
      <c r="G5" s="2788"/>
      <c r="H5" s="2788"/>
      <c r="I5" s="2788"/>
      <c r="J5" s="2788"/>
      <c r="K5" s="2788"/>
      <c r="L5" s="2788"/>
      <c r="M5" s="2788"/>
      <c r="N5" s="2788"/>
      <c r="O5" s="2788"/>
      <c r="P5" s="2788"/>
    </row>
    <row r="6" spans="1:16" ht="15.6">
      <c r="A6" s="2604" t="s">
        <v>2080</v>
      </c>
      <c r="B6" s="2597">
        <f ca="1">SUMIF(INDIRECT("'"&amp;A6&amp;"'"&amp;"!A:A"),"总价",INDIRECT("'"&amp;A6&amp;"'"&amp;"!B:B"))</f>
        <v>2413</v>
      </c>
      <c r="C6" s="2141" t="s">
        <v>2074</v>
      </c>
      <c r="D6" s="2788"/>
      <c r="E6" s="2607">
        <f ca="1">SUMIF(INDIRECT("'"&amp;A6&amp;"'"&amp;"!C:C"),"建筑面积",INDIRECT("'"&amp;A6&amp;"'"&amp;"!D:D"))</f>
        <v>36123.300000000003</v>
      </c>
      <c r="F6" s="2788"/>
      <c r="G6" s="2788"/>
      <c r="H6" s="2788"/>
      <c r="I6" s="2788"/>
      <c r="J6" s="2788"/>
      <c r="K6" s="2788"/>
      <c r="L6" s="2788"/>
      <c r="M6" s="2788"/>
      <c r="N6" s="2788"/>
      <c r="O6" s="2788"/>
      <c r="P6" s="2788"/>
    </row>
    <row r="7" spans="1:16" ht="15.6">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6">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6">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6">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6">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6">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6">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Normal="70" zoomScaleSheetLayoutView="100" workbookViewId="0">
      <selection activeCell="I41" sqref="I4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6"/>
      <c r="C1" s="1855" t="s">
        <v>1563</v>
      </c>
      <c r="D1" s="197"/>
      <c r="E1" s="197"/>
      <c r="F1" s="197"/>
      <c r="G1" s="1122">
        <f>MATCH(B1,'数据-取费表'!A6:A16,0)+5</f>
        <v>7</v>
      </c>
      <c r="H1" s="1059" t="str">
        <f>IF(ISERROR(FIND("住宅",B1)),"非住宅","住宅")</f>
        <v>非住宅</v>
      </c>
    </row>
    <row r="2" spans="1:8" s="199" customFormat="1" ht="18" customHeight="1">
      <c r="A2" s="200" t="s">
        <v>1462</v>
      </c>
      <c r="B2" s="3419">
        <f ca="1">ROUND(IF(D2="——",C52/10000,C52/10000-E2),4)</f>
        <v>16078.473099999999</v>
      </c>
      <c r="C2" s="198" t="s">
        <v>1463</v>
      </c>
      <c r="D2" s="1849" t="s">
        <v>43</v>
      </c>
      <c r="E2" s="1165"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4264</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7707034</v>
      </c>
      <c r="D5" s="210" t="s">
        <v>1469</v>
      </c>
      <c r="E5" s="211" t="s">
        <v>1470</v>
      </c>
      <c r="F5" s="211" t="s">
        <v>1471</v>
      </c>
      <c r="G5" s="212"/>
    </row>
    <row r="6" spans="1:8" s="213" customFormat="1" ht="13.5" customHeight="1">
      <c r="A6" s="776" t="s">
        <v>1472</v>
      </c>
      <c r="B6" s="214" t="s">
        <v>1473</v>
      </c>
      <c r="C6" s="215">
        <f>ROUND(基准地价修正!T5*基准地价修正!U5,0)</f>
        <v>525859</v>
      </c>
      <c r="D6" s="216"/>
      <c r="E6" s="217"/>
      <c r="F6" s="217"/>
      <c r="G6" s="218"/>
    </row>
    <row r="7" spans="1:8" s="213" customFormat="1" ht="13.5" customHeight="1">
      <c r="A7" s="776" t="s">
        <v>1474</v>
      </c>
      <c r="B7" s="214" t="s">
        <v>1475</v>
      </c>
      <c r="C7" s="219">
        <f>ROUND(C6*F7,0)</f>
        <v>16039</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7165136</v>
      </c>
      <c r="D8" s="221"/>
      <c r="E8" s="219"/>
      <c r="F8" s="220"/>
      <c r="G8" s="1852" t="s">
        <v>3429</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7165136</v>
      </c>
      <c r="D10" s="843">
        <f ca="1">IF(B1="",'数据-汇总表'!E6,IF(INDIRECT("'数据-取费表'!c"&amp;$G$1)="住宅",INDIRECT("'数据-取费表'!s"&amp;$G$1),INDIRECT("'数据-取费表'!k"&amp;$G$1)+INDIRECT("'数据-取费表'!s"&amp;$G$1)))</f>
        <v>37711.240000000005</v>
      </c>
      <c r="E10" s="224">
        <f>'数据-取费表'!B28</f>
        <v>190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37711.240000000005</v>
      </c>
      <c r="E19" s="210">
        <f>'数据-取费表'!B31</f>
        <v>200</v>
      </c>
      <c r="F19" s="230"/>
      <c r="G19" s="1852" t="s">
        <v>3430</v>
      </c>
    </row>
    <row r="20" spans="1:7" s="213" customFormat="1" ht="13.5" customHeight="1">
      <c r="A20" s="254" t="s">
        <v>1574</v>
      </c>
      <c r="B20" s="209" t="s">
        <v>1575</v>
      </c>
      <c r="C20" s="231">
        <f ca="1">ROUND((C5+C19)*F20,0)</f>
        <v>154141</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276336</v>
      </c>
      <c r="D22" s="234">
        <f ca="1">C26</f>
        <v>4.0000000000000002E-4</v>
      </c>
      <c r="E22" s="235" t="s">
        <v>1579</v>
      </c>
      <c r="F22" s="236">
        <f ca="1">'数据-取费表'!B40</f>
        <v>3.5499999999999997E-2</v>
      </c>
      <c r="G22" s="233" t="str">
        <f>IF('数据-取费表'!B22&lt;=1,"单利计息","复利计息")</f>
        <v>单利计息</v>
      </c>
    </row>
    <row r="23" spans="1:7" s="213" customFormat="1" ht="13.5" customHeight="1">
      <c r="A23" s="778" t="s">
        <v>1472</v>
      </c>
      <c r="B23" s="214" t="s">
        <v>1583</v>
      </c>
      <c r="C23" s="1124">
        <f ca="1">ROUND(IF('数据-取费表'!B22&lt;=1,C5*F22*'数据-取费表'!B22,C5*(POWER((1+F22),'数据-取费表'!B22)-1)),0)</f>
        <v>273600</v>
      </c>
      <c r="D23" s="237"/>
      <c r="E23" s="237"/>
      <c r="F23" s="238"/>
      <c r="G23" s="239" t="s">
        <v>1584</v>
      </c>
    </row>
    <row r="24" spans="1:7" s="213" customFormat="1" ht="13.5" customHeight="1">
      <c r="A24" s="778" t="s">
        <v>1474</v>
      </c>
      <c r="B24" s="214" t="s">
        <v>1585</v>
      </c>
      <c r="C24" s="1124">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4">
        <f ca="1">ROUND(IF('数据-取费表'!B22&lt;=1,C20*F22*'数据-取费表'!B22/2,C20*(POWER((1+F22),'数据-取费表'!B22/2)-1)),0)</f>
        <v>2736</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6.4">
      <c r="A27" s="254" t="s">
        <v>1512</v>
      </c>
      <c r="B27" s="243" t="s">
        <v>1513</v>
      </c>
      <c r="C27" s="244">
        <f ca="1">C28</f>
        <v>550282</v>
      </c>
      <c r="D27" s="234">
        <f ca="1">C29</f>
        <v>1.4E-3</v>
      </c>
      <c r="E27" s="235" t="s">
        <v>1514</v>
      </c>
      <c r="F27" s="245">
        <f ca="1">IF(B1="",'数据-取费表'!Q16,INDIRECT("'数据-取费表'!q"&amp;$G$1))</f>
        <v>7.0000000000000007E-2</v>
      </c>
      <c r="G27" s="246" t="s">
        <v>1515</v>
      </c>
    </row>
    <row r="28" spans="1:7" s="213" customFormat="1" ht="13.5" customHeight="1">
      <c r="A28" s="778" t="s">
        <v>346</v>
      </c>
      <c r="B28" s="247" t="s">
        <v>1516</v>
      </c>
      <c r="C28" s="248">
        <f ca="1">ROUND((C5+C19+C20)*F27,0)</f>
        <v>550282</v>
      </c>
      <c r="D28" s="234"/>
      <c r="E28" s="235"/>
      <c r="F28" s="245"/>
      <c r="G28" s="246"/>
    </row>
    <row r="29" spans="1:7" s="213" customFormat="1" ht="13.5" customHeight="1">
      <c r="A29" s="778" t="s">
        <v>347</v>
      </c>
      <c r="B29" s="247" t="s">
        <v>1517</v>
      </c>
      <c r="C29" s="237">
        <f ca="1">ROUND(C21*F27,4)</f>
        <v>1.4E-3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9384093</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126332654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113133720</v>
      </c>
      <c r="D34" s="216"/>
      <c r="E34" s="219"/>
      <c r="F34" s="256"/>
      <c r="G34" s="218"/>
    </row>
    <row r="35" spans="1:7" ht="13.5" customHeight="1">
      <c r="A35" s="778" t="s">
        <v>351</v>
      </c>
      <c r="B35" s="214" t="s">
        <v>1527</v>
      </c>
      <c r="C35" s="219">
        <f ca="1">ROUND(C34*F35,0)</f>
        <v>3959680</v>
      </c>
      <c r="D35" s="219"/>
      <c r="E35" s="219"/>
      <c r="F35" s="258">
        <f>'数据-取费表'!B33</f>
        <v>3.5000000000000003E-2</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7542248</v>
      </c>
      <c r="D37" s="216">
        <f ca="1">D19</f>
        <v>37711.240000000005</v>
      </c>
      <c r="E37" s="248">
        <f>'数据-取费表'!B35</f>
        <v>200</v>
      </c>
      <c r="F37" s="258"/>
      <c r="G37" s="260"/>
    </row>
    <row r="38" spans="1:7" ht="13.5" customHeight="1">
      <c r="A38" s="778" t="s">
        <v>354</v>
      </c>
      <c r="B38" s="214" t="s">
        <v>1533</v>
      </c>
      <c r="C38" s="219">
        <f ca="1">ROUND(C34*F38,0)</f>
        <v>1697006</v>
      </c>
      <c r="D38" s="219"/>
      <c r="E38" s="219"/>
      <c r="F38" s="258">
        <f>'数据-取费表'!B36</f>
        <v>1.4999999999999999E-2</v>
      </c>
      <c r="G38" s="218" t="s">
        <v>1528</v>
      </c>
    </row>
    <row r="39" spans="1:7" s="213" customFormat="1" ht="13.5" customHeight="1">
      <c r="A39" s="254" t="s">
        <v>1534</v>
      </c>
      <c r="B39" s="209" t="s">
        <v>1535</v>
      </c>
      <c r="C39" s="231">
        <f ca="1">ROUND(C33*F20,0)</f>
        <v>2526653</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2287253</v>
      </c>
      <c r="D41" s="234">
        <f ca="1">C44</f>
        <v>4.0000000000000002E-4</v>
      </c>
      <c r="E41" s="235" t="s">
        <v>1539</v>
      </c>
      <c r="F41" s="236">
        <f ca="1">F22</f>
        <v>3.5499999999999997E-2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2242405</v>
      </c>
      <c r="D42" s="237"/>
      <c r="E42" s="237"/>
      <c r="F42" s="238"/>
      <c r="G42" s="3638" t="s">
        <v>1591</v>
      </c>
    </row>
    <row r="43" spans="1:7" ht="13.5" customHeight="1">
      <c r="A43" s="778" t="s">
        <v>347</v>
      </c>
      <c r="B43" s="214" t="s">
        <v>1545</v>
      </c>
      <c r="C43" s="237">
        <f ca="1">ROUND(IF('数据-取费表'!B22&lt;=1,C39*F22*'数据-取费表'!B20/2,C39*(POWER((1+F22),'数据-取费表'!B20/2)-1)),0)</f>
        <v>44848</v>
      </c>
      <c r="D43" s="237"/>
      <c r="E43" s="237"/>
      <c r="F43" s="238"/>
      <c r="G43" s="3639"/>
    </row>
    <row r="44" spans="1:7" ht="13.5" customHeight="1">
      <c r="A44" s="778" t="s">
        <v>348</v>
      </c>
      <c r="B44" s="214" t="s">
        <v>1546</v>
      </c>
      <c r="C44" s="237">
        <f ca="1">ROUND(IF('数据-取费表'!B22&lt;=1,C40*F22*'数据-取费表'!B20/2,C40*(POWER((1+F22),'数据-取费表'!B20/2)-1)),4)</f>
        <v>4.0000000000000002E-4</v>
      </c>
      <c r="D44" s="237"/>
      <c r="E44" s="237"/>
      <c r="F44" s="238"/>
      <c r="G44" s="3640"/>
    </row>
    <row r="45" spans="1:7" s="213" customFormat="1" ht="13.5" customHeight="1">
      <c r="A45" s="254" t="s">
        <v>1547</v>
      </c>
      <c r="B45" s="243" t="s">
        <v>1513</v>
      </c>
      <c r="C45" s="244">
        <f ca="1">C46</f>
        <v>9020151</v>
      </c>
      <c r="D45" s="234">
        <f ca="1">C47</f>
        <v>1.4E-3</v>
      </c>
      <c r="E45" s="235" t="s">
        <v>1539</v>
      </c>
      <c r="F45" s="245">
        <f ca="1">F27</f>
        <v>7.0000000000000007E-2</v>
      </c>
      <c r="G45" s="246" t="s">
        <v>1548</v>
      </c>
    </row>
    <row r="46" spans="1:7" s="213" customFormat="1" ht="13.5" customHeight="1">
      <c r="A46" s="778" t="s">
        <v>346</v>
      </c>
      <c r="B46" s="247" t="s">
        <v>1549</v>
      </c>
      <c r="C46" s="248">
        <f ca="1">ROUND((C33+C39)*F27,0)</f>
        <v>9020151</v>
      </c>
      <c r="D46" s="262"/>
      <c r="E46" s="235"/>
      <c r="F46" s="245"/>
      <c r="G46" s="246"/>
    </row>
    <row r="47" spans="1:7" s="213" customFormat="1" ht="13.5" customHeight="1">
      <c r="A47" s="778" t="s">
        <v>347</v>
      </c>
      <c r="B47" s="247" t="s">
        <v>1550</v>
      </c>
      <c r="C47" s="237">
        <f ca="1">ROUND(C40*F27,4)</f>
        <v>1.4E-3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151400638</v>
      </c>
      <c r="D49" s="231"/>
      <c r="E49" s="231"/>
      <c r="F49" s="263"/>
      <c r="G49" s="233" t="s">
        <v>1554</v>
      </c>
    </row>
    <row r="50" spans="1:7" s="257" customFormat="1">
      <c r="A50" s="254" t="s">
        <v>1555</v>
      </c>
      <c r="B50" s="209" t="s">
        <v>1556</v>
      </c>
      <c r="C50" s="231"/>
      <c r="D50" s="231"/>
      <c r="E50" s="231"/>
      <c r="F50" s="263">
        <f>IF('数据-取费表'!B24=0,'数据-取费表'!N16,1)</f>
        <v>1</v>
      </c>
      <c r="G50" s="246"/>
    </row>
    <row r="51" spans="1:7" ht="16.5" customHeight="1">
      <c r="A51" s="254" t="s">
        <v>1558</v>
      </c>
      <c r="B51" s="209" t="s">
        <v>1593</v>
      </c>
      <c r="C51" s="231">
        <f ca="1">ROUND(C49*F50,0)</f>
        <v>151400638</v>
      </c>
      <c r="D51" s="231"/>
      <c r="E51" s="231"/>
      <c r="F51" s="263"/>
      <c r="G51" s="233" t="s">
        <v>1560</v>
      </c>
    </row>
    <row r="52" spans="1:7" s="207" customFormat="1" ht="16.8" thickBot="1">
      <c r="A52" s="264" t="s">
        <v>1561</v>
      </c>
      <c r="B52" s="265"/>
      <c r="C52" s="266">
        <f ca="1">C31+C51</f>
        <v>160784731</v>
      </c>
      <c r="D52" s="265"/>
      <c r="E52" s="265"/>
      <c r="F52" s="265"/>
      <c r="G52" s="267"/>
    </row>
    <row r="55" spans="1:7" ht="15">
      <c r="B55" s="269" t="s">
        <v>1562</v>
      </c>
      <c r="C55" s="270"/>
    </row>
    <row r="56" spans="1:7">
      <c r="B56" s="272" t="s">
        <v>802</v>
      </c>
      <c r="C56" s="274">
        <f ca="1">1-C57</f>
        <v>5.8000000000000052E-2</v>
      </c>
    </row>
    <row r="57" spans="1:7">
      <c r="B57" s="272" t="s">
        <v>803</v>
      </c>
      <c r="C57" s="273">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C23" sqref="C23"/>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5" t="s">
        <v>1926</v>
      </c>
      <c r="B1" s="196"/>
      <c r="C1" s="200" t="s">
        <v>1927</v>
      </c>
      <c r="D1" s="341">
        <f>SUM(D33:D34,D37:D42)</f>
        <v>36123.300000000003</v>
      </c>
      <c r="E1" s="1991"/>
      <c r="F1" s="1991"/>
      <c r="G1" s="1991"/>
      <c r="H1" s="1991"/>
      <c r="I1" s="1991"/>
      <c r="J1" s="1991"/>
      <c r="K1" s="1115"/>
      <c r="L1" s="1992" t="s">
        <v>1928</v>
      </c>
      <c r="M1" s="861">
        <f>SUMPRODUCT((区片价!B5:B9=I2)*(区片价!C3:G3=E2)*(区片价!C5:G9))</f>
        <v>0</v>
      </c>
      <c r="N1" s="864">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0" t="s">
        <v>1934</v>
      </c>
      <c r="B2" s="203">
        <f>C30</f>
        <v>2413</v>
      </c>
      <c r="C2" s="1995" t="s">
        <v>1935</v>
      </c>
      <c r="D2" s="1996" t="s">
        <v>1936</v>
      </c>
      <c r="E2" s="3417" t="s">
        <v>3</v>
      </c>
      <c r="F2" s="1996" t="s">
        <v>1937</v>
      </c>
      <c r="G2" s="1997" t="str">
        <f>IF(E2="商业",项目基本情况!B37,IF(E2="办公",项目基本情况!C37,IF(E2="住宅",项目基本情况!D37,IF(E2="工业",项目基本情况!E37,项目基本情况!F37))))</f>
        <v>九级</v>
      </c>
      <c r="H2" s="1996" t="s">
        <v>1938</v>
      </c>
      <c r="I2" s="1997" t="str">
        <f>IF(E2="商业",项目基本情况!B38,IF(E2="办公",项目基本情况!C38,IF(E2="住宅",项目基本情况!D38,IF(E2="工业",项目基本情况!E38,项目基本情况!F38))))</f>
        <v>Ⅸ-密1</v>
      </c>
      <c r="J2" s="1998"/>
      <c r="K2" s="1115"/>
      <c r="L2" s="1999" t="s">
        <v>1939</v>
      </c>
      <c r="M2" s="862">
        <f>SUMPRODUCT((区片价!B10:B29=I2)*(区片价!C3:G3=E2)*(区片价!C10:G29))</f>
        <v>0</v>
      </c>
      <c r="N2" s="864">
        <f>SUMPRODUCT((因素修正幅度!B10:B29=I2)*(因素修正幅度!C3:G3=E2)*(因素修正幅度!C10:G29))</f>
        <v>0</v>
      </c>
      <c r="O2" s="1115"/>
      <c r="P2" s="1115"/>
      <c r="Q2" s="1115"/>
      <c r="R2" s="1208">
        <v>1</v>
      </c>
      <c r="S2" s="3356">
        <f>ROUND(SUMPRODUCT((B106:B110=R2)*(C105:N105=G2)*(C106:N110)),4)</f>
        <v>1.5418000000000001</v>
      </c>
      <c r="T2" s="3356">
        <f t="shared" ref="T2:T16" si="0">ROUND($C$5*$C$22*$C$23*$C$24*S2*$C$28,0)</f>
        <v>1369</v>
      </c>
      <c r="U2" s="1209"/>
      <c r="V2" s="3356">
        <f>ROUND(T2*U2/10000,0)</f>
        <v>0</v>
      </c>
      <c r="W2" s="1212"/>
      <c r="X2" s="1212"/>
      <c r="Y2" s="1212"/>
      <c r="Z2" s="1212"/>
      <c r="AA2" s="1212"/>
      <c r="AB2" s="1212"/>
      <c r="AC2" s="1213"/>
      <c r="AD2" s="1214"/>
      <c r="AE2" s="1214"/>
      <c r="AF2" s="1214"/>
      <c r="AG2" s="1214"/>
      <c r="AH2" s="1214"/>
      <c r="AI2" s="1214"/>
      <c r="AJ2" s="1215"/>
    </row>
    <row r="3" spans="1:36" ht="15.6">
      <c r="A3" s="202" t="s">
        <v>1940</v>
      </c>
      <c r="B3" s="203">
        <f>ROUND(B2*10000/D1,0)</f>
        <v>668</v>
      </c>
      <c r="C3" s="1995" t="s">
        <v>1941</v>
      </c>
      <c r="D3" s="1996" t="s">
        <v>1942</v>
      </c>
      <c r="E3" s="3415" t="s">
        <v>2482</v>
      </c>
      <c r="F3" s="2000" t="s">
        <v>3455</v>
      </c>
      <c r="G3" s="750">
        <f>IF(F3="宗地容积率",'数据-汇总表'!I4,IF(F3="估价对象容积率",'数据-汇总表'!I6,'数据-汇总表'!I7))</f>
        <v>2</v>
      </c>
      <c r="H3" s="169" t="s">
        <v>1943</v>
      </c>
      <c r="I3" s="773"/>
      <c r="J3" s="1998" t="s">
        <v>1944</v>
      </c>
      <c r="K3" s="1115"/>
      <c r="L3" s="1999" t="s">
        <v>1945</v>
      </c>
      <c r="M3" s="862">
        <f>SUMPRODUCT((区片价!B30:B54=I2)*(区片价!C3:G3=E2)*(区片价!C30:G54))</f>
        <v>0</v>
      </c>
      <c r="N3" s="864">
        <f>SUMPRODUCT((因素修正幅度!B30:B54=I2)*(因素修正幅度!C3:G3=E2)*(因素修正幅度!C30:G54))</f>
        <v>0</v>
      </c>
      <c r="O3" s="1115"/>
      <c r="P3" s="1115"/>
      <c r="Q3" s="1115"/>
      <c r="R3" s="1208">
        <v>2</v>
      </c>
      <c r="S3" s="3356">
        <f>ROUND(SUMPRODUCT((B106:B110=R3)*(C105:N105=G2)*(C106:N110)),4)</f>
        <v>1.1883999999999999</v>
      </c>
      <c r="T3" s="3356">
        <f t="shared" si="0"/>
        <v>1055</v>
      </c>
      <c r="U3" s="1209"/>
      <c r="V3" s="3356">
        <f t="shared" ref="V3:V16" si="1">ROUND(T3*U3/10000,0)</f>
        <v>0</v>
      </c>
      <c r="W3" s="1212"/>
      <c r="X3" s="1212"/>
      <c r="Y3" s="1212"/>
      <c r="Z3" s="1212"/>
      <c r="AA3" s="1212"/>
      <c r="AB3" s="1212"/>
      <c r="AC3" s="1213"/>
      <c r="AD3" s="1214"/>
      <c r="AE3" s="1214"/>
      <c r="AF3" s="1214"/>
      <c r="AG3" s="1214"/>
      <c r="AH3" s="1214"/>
      <c r="AI3" s="1214"/>
      <c r="AJ3" s="1215"/>
    </row>
    <row r="4" spans="1:36" ht="15.6">
      <c r="A4" s="3752"/>
      <c r="B4" s="3753"/>
      <c r="C4" s="3753"/>
      <c r="D4" s="3754"/>
      <c r="E4" s="3754"/>
      <c r="F4" s="3754"/>
      <c r="G4" s="3754"/>
      <c r="H4" s="3754"/>
      <c r="I4" s="3754"/>
      <c r="J4" s="3755"/>
      <c r="K4" s="1115"/>
      <c r="L4" s="1999" t="s">
        <v>1946</v>
      </c>
      <c r="M4" s="862">
        <f>SUMPRODUCT((区片价!B55:B86=I2)*(区片价!C3:G3=E2)*(区片价!C55:G86))</f>
        <v>0</v>
      </c>
      <c r="N4" s="864">
        <f>SUMPRODUCT((因素修正幅度!B55:B86=I2)*(因素修正幅度!C3:G3=E2)*(因素修正幅度!C55:G86))</f>
        <v>0</v>
      </c>
      <c r="O4" s="1115"/>
      <c r="P4" s="1115"/>
      <c r="Q4" s="1115"/>
      <c r="R4" s="1208">
        <v>3</v>
      </c>
      <c r="S4" s="3356">
        <f>ROUND(SUMPRODUCT((B106:B110=R4)*(C105:N105=G2)*(C106:N110)),4)</f>
        <v>0.96940000000000004</v>
      </c>
      <c r="T4" s="3356">
        <f t="shared" si="0"/>
        <v>861</v>
      </c>
      <c r="U4" s="1209"/>
      <c r="V4" s="3356">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51">
        <f>ROUND(IF(E2="商业",C6*C7*C17+C20,(IF(E2="住宅",C6*C13*C17+C20,IF(E2="办公",C6*C12*C17+C20,C6+C20)))),0)</f>
        <v>910</v>
      </c>
      <c r="D5" s="1335">
        <f>ROUND(C6*C17+C20,0)</f>
        <v>910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5"/>
      <c r="P5" s="1115"/>
      <c r="Q5" s="1115"/>
      <c r="R5" s="1208">
        <v>4</v>
      </c>
      <c r="S5" s="3356">
        <f>ROUND(SUMPRODUCT((B106:B110=R5)*(C105:N105=G2)*(C106:N110)),4)</f>
        <v>0.82299999999999995</v>
      </c>
      <c r="T5" s="3356">
        <f t="shared" si="0"/>
        <v>731</v>
      </c>
      <c r="U5" s="1209">
        <v>719.37</v>
      </c>
      <c r="V5" s="3356">
        <f t="shared" si="1"/>
        <v>53</v>
      </c>
      <c r="W5" s="1212"/>
      <c r="X5" s="1212"/>
      <c r="Y5" s="1212"/>
      <c r="Z5" s="1212"/>
      <c r="AA5" s="1212"/>
      <c r="AB5" s="1212"/>
      <c r="AC5" s="2007"/>
      <c r="AD5" s="2008"/>
      <c r="AE5" s="2008"/>
      <c r="AF5" s="2008"/>
      <c r="AG5" s="2008"/>
      <c r="AH5" s="2008"/>
      <c r="AI5" s="2008"/>
      <c r="AJ5" s="2009"/>
    </row>
    <row r="6" spans="1:36" ht="15.6" thickBot="1">
      <c r="A6" s="2011" t="s">
        <v>1949</v>
      </c>
      <c r="B6" s="2012" t="s">
        <v>1950</v>
      </c>
      <c r="C6" s="752">
        <f>SUMIF(L1:L12,G2,M1:M12)</f>
        <v>910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5"/>
      <c r="P6" s="1115"/>
      <c r="Q6" s="1115"/>
      <c r="R6" s="1208">
        <v>5</v>
      </c>
      <c r="S6" s="3356">
        <f>ROUND(SUMPRODUCT((B106:B110=R6)*(C105:N105=G2)*(C106:N110)),4)</f>
        <v>0.74980000000000002</v>
      </c>
      <c r="T6" s="3356">
        <f t="shared" si="0"/>
        <v>666</v>
      </c>
      <c r="U6" s="1209"/>
      <c r="V6" s="3356">
        <f t="shared" si="1"/>
        <v>0</v>
      </c>
      <c r="W6" s="1212"/>
      <c r="X6" s="1212"/>
      <c r="Y6" s="1212"/>
      <c r="Z6" s="1212"/>
      <c r="AA6" s="1212"/>
      <c r="AB6" s="1212"/>
      <c r="AC6" s="2007"/>
      <c r="AD6" s="2008"/>
      <c r="AE6" s="2008"/>
      <c r="AF6" s="2008"/>
      <c r="AG6" s="2008"/>
      <c r="AH6" s="2008"/>
      <c r="AI6" s="2008"/>
      <c r="AJ6" s="2009"/>
    </row>
    <row r="7" spans="1:36" ht="24.6" thickBot="1">
      <c r="A7" s="3299" t="s">
        <v>3242</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5"/>
      <c r="P7" s="1115"/>
      <c r="Q7" s="1115"/>
      <c r="R7" s="1208">
        <v>6</v>
      </c>
      <c r="S7" s="3414"/>
      <c r="T7" s="3356">
        <f t="shared" si="0"/>
        <v>0</v>
      </c>
      <c r="U7" s="1209"/>
      <c r="V7" s="3356">
        <f t="shared" si="1"/>
        <v>0</v>
      </c>
      <c r="W7" s="1354" t="s">
        <v>1955</v>
      </c>
      <c r="X7" s="1210" t="str">
        <f>G2</f>
        <v>九级</v>
      </c>
      <c r="Y7" s="1210" t="s">
        <v>1956</v>
      </c>
      <c r="Z7" s="1211">
        <f>G3</f>
        <v>2</v>
      </c>
      <c r="AA7" s="1212"/>
      <c r="AB7" s="1212"/>
      <c r="AC7" s="1213"/>
      <c r="AD7" s="1214"/>
      <c r="AE7" s="1214"/>
      <c r="AF7" s="1214"/>
      <c r="AG7" s="1214"/>
      <c r="AH7" s="1214"/>
      <c r="AI7" s="1214"/>
      <c r="AJ7" s="1215"/>
    </row>
    <row r="8" spans="1:36" ht="26.4">
      <c r="A8" s="3294"/>
      <c r="B8" s="169" t="s">
        <v>1957</v>
      </c>
      <c r="C8" s="2022" t="s">
        <v>3427</v>
      </c>
      <c r="D8" s="754" t="s">
        <v>112</v>
      </c>
      <c r="E8" s="755" t="e">
        <f>ROUND(C11/E7,4)</f>
        <v>#DIV/0!</v>
      </c>
      <c r="F8" s="2023" t="s">
        <v>1958</v>
      </c>
      <c r="G8" s="2024"/>
      <c r="H8" s="2024"/>
      <c r="I8" s="2024"/>
      <c r="J8" s="2025"/>
      <c r="K8" s="1115"/>
      <c r="L8" s="1999" t="s">
        <v>1959</v>
      </c>
      <c r="M8" s="862">
        <f>SUMPRODUCT((区片价!B234:B276=I2)*(区片价!C3:G3=E2)*(区片价!C234:G276))</f>
        <v>0</v>
      </c>
      <c r="N8" s="864">
        <f>SUMPRODUCT((因素修正幅度!B234:B276=I2)*(因素修正幅度!C3:G3=E2)*(因素修正幅度!C234:G276))</f>
        <v>0</v>
      </c>
      <c r="O8" s="1115"/>
      <c r="P8" s="1115"/>
      <c r="Q8" s="1115"/>
      <c r="R8" s="1208">
        <v>7</v>
      </c>
      <c r="S8" s="1209"/>
      <c r="T8" s="3356">
        <f t="shared" si="0"/>
        <v>0</v>
      </c>
      <c r="U8" s="1209"/>
      <c r="V8" s="3356">
        <f t="shared" si="1"/>
        <v>0</v>
      </c>
      <c r="W8" s="3749" t="s">
        <v>1960</v>
      </c>
      <c r="X8" s="3750"/>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4"/>
      <c r="B9" s="169" t="s">
        <v>1973</v>
      </c>
      <c r="C9" s="756">
        <f>SUMIF(修正!C71:C138,C8,修正!E71:E138)</f>
        <v>0</v>
      </c>
      <c r="D9" s="170" t="s">
        <v>113</v>
      </c>
      <c r="E9" s="170" t="e">
        <f>ROUND(C11/E7,4)</f>
        <v>#DIV/0!</v>
      </c>
      <c r="F9" s="2023" t="s">
        <v>1974</v>
      </c>
      <c r="G9" s="2024"/>
      <c r="H9" s="2024"/>
      <c r="I9" s="2024"/>
      <c r="J9" s="2025"/>
      <c r="K9" s="1115"/>
      <c r="L9" s="1999" t="s">
        <v>1975</v>
      </c>
      <c r="M9" s="862">
        <f>SUMPRODUCT((区片价!B277:B326=I2)*(区片价!C3:G3=E2)*(区片价!C277:G326))</f>
        <v>910</v>
      </c>
      <c r="N9" s="864">
        <f>SUMPRODUCT((因素修正幅度!B277:B326=I2)*(因素修正幅度!C3:G3=E2)*(因素修正幅度!C277:G326))</f>
        <v>0.13</v>
      </c>
      <c r="O9" s="1115"/>
      <c r="P9" s="1115"/>
      <c r="Q9" s="1115"/>
      <c r="R9" s="1208">
        <v>8</v>
      </c>
      <c r="S9" s="1209"/>
      <c r="T9" s="3356">
        <f t="shared" si="0"/>
        <v>0</v>
      </c>
      <c r="U9" s="1209"/>
      <c r="V9" s="3356">
        <f t="shared" si="1"/>
        <v>0</v>
      </c>
      <c r="W9" s="3751"/>
      <c r="X9" s="3357" t="s">
        <v>3273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1976</v>
      </c>
      <c r="C10" s="170">
        <f>SUMIF(修正!C71:C138,C8,修正!F71:F138)</f>
        <v>0</v>
      </c>
      <c r="D10" s="170" t="s">
        <v>114</v>
      </c>
      <c r="E10" s="170" t="e">
        <f>ROUND(C11/E7,4)</f>
        <v>#DIV/0!</v>
      </c>
      <c r="F10" s="2023" t="s">
        <v>1977</v>
      </c>
      <c r="G10" s="2024"/>
      <c r="H10" s="2024"/>
      <c r="I10" s="2024"/>
      <c r="J10" s="2025"/>
      <c r="K10" s="1115"/>
      <c r="L10" s="1999"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6">
        <f t="shared" si="0"/>
        <v>0</v>
      </c>
      <c r="U10" s="1209"/>
      <c r="V10" s="3356">
        <f t="shared" si="1"/>
        <v>0</v>
      </c>
      <c r="W10" s="375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6" thickBot="1">
      <c r="A11" s="3298"/>
      <c r="B11" s="2026" t="s">
        <v>1979</v>
      </c>
      <c r="C11" s="757">
        <f>C10/4</f>
        <v>0</v>
      </c>
      <c r="D11" s="757" t="s">
        <v>115</v>
      </c>
      <c r="E11" s="757" t="e">
        <f>ROUND(C11/E7,4)</f>
        <v>#DIV/0!</v>
      </c>
      <c r="F11" s="2027" t="s">
        <v>1980</v>
      </c>
      <c r="G11" s="2028"/>
      <c r="H11" s="2028"/>
      <c r="I11" s="2028"/>
      <c r="J11" s="2029"/>
      <c r="K11" s="1115"/>
      <c r="L11" s="1999"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6">
        <f t="shared" si="0"/>
        <v>0</v>
      </c>
      <c r="U11" s="1209"/>
      <c r="V11" s="3356">
        <f t="shared" si="1"/>
        <v>0</v>
      </c>
      <c r="W11" s="1212"/>
      <c r="X11" s="1212"/>
      <c r="Y11" s="1212"/>
      <c r="Z11" s="1212"/>
      <c r="AA11" s="1212"/>
      <c r="AB11" s="1212"/>
      <c r="AC11" s="1213"/>
      <c r="AD11" s="2784"/>
      <c r="AE11" s="2784"/>
      <c r="AF11" s="2784"/>
      <c r="AG11" s="2784"/>
      <c r="AH11" s="2784"/>
      <c r="AI11" s="2784"/>
      <c r="AJ11" s="2785"/>
    </row>
    <row r="12" spans="1:36" ht="25.8" thickBot="1">
      <c r="A12" s="3299" t="s">
        <v>3243</v>
      </c>
      <c r="B12" s="3300" t="s">
        <v>3244</v>
      </c>
      <c r="C12" s="3301"/>
      <c r="D12" s="3302" t="s">
        <v>3245</v>
      </c>
      <c r="E12" s="3303" t="s">
        <v>3246</v>
      </c>
      <c r="F12" s="3304"/>
      <c r="G12" s="3305"/>
      <c r="H12" s="3305"/>
      <c r="I12" s="3305"/>
      <c r="J12" s="3306"/>
      <c r="K12" s="1115"/>
      <c r="L12" s="2035"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6">
        <f t="shared" si="0"/>
        <v>0</v>
      </c>
      <c r="U12" s="1209"/>
      <c r="V12" s="3356">
        <f t="shared" si="1"/>
        <v>0</v>
      </c>
      <c r="W12" s="1212"/>
      <c r="X12" s="1212"/>
      <c r="Y12" s="1212"/>
      <c r="Z12" s="1212"/>
      <c r="AA12" s="1212"/>
      <c r="AB12" s="1212"/>
      <c r="AC12" s="1213"/>
      <c r="AD12" s="2784"/>
      <c r="AE12" s="2784"/>
      <c r="AF12" s="2784"/>
      <c r="AG12" s="2784"/>
      <c r="AH12" s="2784"/>
      <c r="AI12" s="2784"/>
      <c r="AJ12" s="2785"/>
    </row>
    <row r="13" spans="1:36" ht="24.6" thickBot="1">
      <c r="A13" s="3299" t="s">
        <v>3247</v>
      </c>
      <c r="B13" s="2030" t="s">
        <v>1982</v>
      </c>
      <c r="C13" s="753">
        <f>ROUND(C16*D16*E16*F16*G16*H16*I16*J16,4)</f>
        <v>0</v>
      </c>
      <c r="D13" s="2031" t="s">
        <v>1983</v>
      </c>
      <c r="E13" s="2032"/>
      <c r="F13" s="2032"/>
      <c r="G13" s="2033"/>
      <c r="H13" s="2033"/>
      <c r="I13" s="2033"/>
      <c r="J13" s="2034"/>
      <c r="K13" s="1115"/>
      <c r="L13" s="3295"/>
      <c r="M13" s="3296"/>
      <c r="N13" s="3297"/>
      <c r="O13" s="1115"/>
      <c r="P13" s="1115"/>
      <c r="Q13" s="1115"/>
      <c r="R13" s="1208">
        <v>12</v>
      </c>
      <c r="S13" s="1209"/>
      <c r="T13" s="3356">
        <f t="shared" si="0"/>
        <v>0</v>
      </c>
      <c r="U13" s="1209"/>
      <c r="V13" s="3356">
        <f t="shared" si="1"/>
        <v>0</v>
      </c>
      <c r="W13" s="1212"/>
      <c r="X13" s="1212"/>
      <c r="Y13" s="1212"/>
      <c r="Z13" s="1212"/>
      <c r="AA13" s="1212"/>
      <c r="AB13" s="1212"/>
      <c r="AC13" s="1213"/>
      <c r="AD13" s="2784"/>
      <c r="AE13" s="2784"/>
      <c r="AF13" s="2784"/>
      <c r="AG13" s="2784"/>
      <c r="AH13" s="2784"/>
      <c r="AI13" s="2784"/>
      <c r="AJ13" s="2785"/>
    </row>
    <row r="14" spans="1:36" ht="24">
      <c r="A14" s="3293"/>
      <c r="B14" s="2036" t="s">
        <v>1985</v>
      </c>
      <c r="C14" s="2037" t="s">
        <v>1986</v>
      </c>
      <c r="D14" s="1346" t="s">
        <v>1987</v>
      </c>
      <c r="E14" s="27" t="s">
        <v>1988</v>
      </c>
      <c r="F14" s="3307" t="s">
        <v>3248</v>
      </c>
      <c r="G14" s="3307" t="s">
        <v>3248</v>
      </c>
      <c r="H14" s="3307" t="s">
        <v>3248</v>
      </c>
      <c r="I14" s="3307" t="s">
        <v>3248</v>
      </c>
      <c r="J14" s="3307" t="s">
        <v>3248</v>
      </c>
      <c r="K14" s="1115"/>
      <c r="L14" s="1115"/>
      <c r="M14" s="1115"/>
      <c r="N14" s="1115"/>
      <c r="O14" s="1115"/>
      <c r="P14" s="1115"/>
      <c r="Q14" s="1115"/>
      <c r="R14" s="1208">
        <v>13</v>
      </c>
      <c r="S14" s="1209"/>
      <c r="T14" s="3356">
        <f t="shared" si="0"/>
        <v>0</v>
      </c>
      <c r="U14" s="1209"/>
      <c r="V14" s="3356">
        <f t="shared" si="1"/>
        <v>0</v>
      </c>
      <c r="W14" s="1212"/>
      <c r="X14" s="1212"/>
      <c r="Y14" s="1212"/>
      <c r="Z14" s="1212"/>
      <c r="AA14" s="1212"/>
      <c r="AB14" s="1212"/>
      <c r="AC14" s="1213"/>
      <c r="AD14" s="2784"/>
      <c r="AE14" s="2784"/>
      <c r="AF14" s="2784"/>
      <c r="AG14" s="2784"/>
      <c r="AH14" s="2784"/>
      <c r="AI14" s="2784"/>
      <c r="AJ14" s="2785"/>
    </row>
    <row r="15" spans="1:36" ht="15">
      <c r="A15" s="3293"/>
      <c r="B15" s="2038"/>
      <c r="C15" s="2039"/>
      <c r="D15" s="2040"/>
      <c r="E15" s="2041"/>
      <c r="F15" s="3308" t="s">
        <v>3249</v>
      </c>
      <c r="G15" s="3309"/>
      <c r="H15" s="3310"/>
      <c r="I15" s="3311"/>
      <c r="J15" s="3312"/>
      <c r="K15" s="1115"/>
      <c r="L15" s="1115"/>
      <c r="M15" s="1115"/>
      <c r="N15" s="1115"/>
      <c r="O15" s="1115"/>
      <c r="P15" s="1115"/>
      <c r="Q15" s="1115"/>
      <c r="R15" s="1208">
        <v>14</v>
      </c>
      <c r="S15" s="1209"/>
      <c r="T15" s="3356">
        <f t="shared" si="0"/>
        <v>0</v>
      </c>
      <c r="U15" s="1209"/>
      <c r="V15" s="3356">
        <f t="shared" si="1"/>
        <v>0</v>
      </c>
      <c r="W15" s="1212"/>
      <c r="X15" s="1212"/>
      <c r="Y15" s="1212"/>
      <c r="Z15" s="1212"/>
      <c r="AA15" s="1212"/>
      <c r="AB15" s="1212"/>
      <c r="AC15" s="1213"/>
      <c r="AD15" s="2784"/>
      <c r="AE15" s="2784"/>
      <c r="AF15" s="2784"/>
      <c r="AG15" s="2784"/>
      <c r="AH15" s="2784"/>
      <c r="AI15" s="2784"/>
      <c r="AJ15" s="2785"/>
    </row>
    <row r="16" spans="1:36" ht="15.6" thickBot="1">
      <c r="A16" s="3293"/>
      <c r="B16" s="3315" t="s">
        <v>1989</v>
      </c>
      <c r="C16" s="3313"/>
      <c r="D16" s="3313"/>
      <c r="E16" s="3313"/>
      <c r="F16" s="3313">
        <v>1</v>
      </c>
      <c r="G16" s="3313">
        <v>1</v>
      </c>
      <c r="H16" s="3313">
        <v>1</v>
      </c>
      <c r="I16" s="3313">
        <v>1</v>
      </c>
      <c r="J16" s="3314">
        <v>1</v>
      </c>
      <c r="K16" s="1115"/>
      <c r="L16" s="1993"/>
      <c r="M16" s="1993"/>
      <c r="N16" s="1993"/>
      <c r="O16" s="1993"/>
      <c r="P16" s="1993"/>
      <c r="Q16" s="1115"/>
      <c r="R16" s="1208">
        <v>15</v>
      </c>
      <c r="S16" s="1209"/>
      <c r="T16" s="3356">
        <f t="shared" si="0"/>
        <v>0</v>
      </c>
      <c r="U16" s="1209"/>
      <c r="V16" s="3356">
        <f t="shared" si="1"/>
        <v>0</v>
      </c>
      <c r="W16" s="1212"/>
      <c r="X16" s="1212"/>
      <c r="Y16" s="1212"/>
      <c r="Z16" s="1212"/>
      <c r="AA16" s="1212"/>
      <c r="AB16" s="1212"/>
      <c r="AC16" s="1213"/>
      <c r="AD16" s="2784"/>
      <c r="AE16" s="2784"/>
      <c r="AF16" s="2784"/>
      <c r="AG16" s="2784"/>
      <c r="AH16" s="2784"/>
      <c r="AI16" s="2784"/>
      <c r="AJ16" s="2785"/>
    </row>
    <row r="17" spans="1:37" ht="24">
      <c r="A17" s="3325" t="s">
        <v>3250</v>
      </c>
      <c r="B17" s="3316" t="s">
        <v>3251</v>
      </c>
      <c r="C17" s="3326">
        <f>ROUND(IF(OR(E2="工业",E2="公共服务"),1,IF(AND(E18=0,E19=0),1,IF(AND(E18=J24,E19=G19),0.8,IF(E19=0,1+E17*(-0.2),1+E17*G17*(-0.2))))),4)</f>
        <v>1</v>
      </c>
      <c r="D17" s="3317" t="s">
        <v>3252</v>
      </c>
      <c r="E17" s="3326">
        <f>ROUND(G18/I18,2)</f>
        <v>0</v>
      </c>
      <c r="F17" s="3317" t="s">
        <v>3255</v>
      </c>
      <c r="G17" s="3326" t="e">
        <f>ROUND(E19/G19,2)</f>
        <v>#DIV/0!</v>
      </c>
      <c r="H17" s="3326"/>
      <c r="I17" s="3326"/>
      <c r="J17" s="3327"/>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8"/>
      <c r="B18" s="3005"/>
      <c r="C18" s="3323"/>
      <c r="D18" s="3318" t="s">
        <v>3253</v>
      </c>
      <c r="E18" s="3324"/>
      <c r="F18" s="3319" t="s">
        <v>3256</v>
      </c>
      <c r="G18" s="3323">
        <f>ROUND(1-(1/(POWER(1+G24,E18))),4)</f>
        <v>0</v>
      </c>
      <c r="H18" s="3319" t="s">
        <v>3258</v>
      </c>
      <c r="I18" s="3323">
        <f>ROUND(1-(1/(POWER(1+G24,J24))),4)</f>
        <v>0.91279999999999994</v>
      </c>
      <c r="J18" s="3329"/>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3"/>
    </row>
    <row r="19" spans="1:37" s="2010" customFormat="1" ht="14.4" thickBot="1">
      <c r="A19" s="3330"/>
      <c r="B19" s="3331"/>
      <c r="C19" s="3332"/>
      <c r="D19" s="3332" t="s">
        <v>3254</v>
      </c>
      <c r="E19" s="3333"/>
      <c r="F19" s="3334" t="s">
        <v>3257</v>
      </c>
      <c r="G19" s="3333"/>
      <c r="H19" s="3332"/>
      <c r="I19" s="3332"/>
      <c r="J19" s="3335"/>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6"/>
      <c r="AH19" s="2137"/>
      <c r="AI19" s="2787"/>
      <c r="AJ19" s="2787"/>
      <c r="AK19" s="2053"/>
    </row>
    <row r="20" spans="1:37" s="2010" customFormat="1" ht="13.8">
      <c r="A20" s="3756" t="s">
        <v>3259</v>
      </c>
      <c r="B20" s="166" t="s">
        <v>1994</v>
      </c>
      <c r="C20" s="3320">
        <f>ROUND(IF(F21="与级别开发程度一致",0,(G21-E21)/C21),0)</f>
        <v>0</v>
      </c>
      <c r="D20" s="3336" t="s">
        <v>1998</v>
      </c>
      <c r="E20" s="3337"/>
      <c r="F20" s="3762" t="s">
        <v>1995</v>
      </c>
      <c r="G20" s="3763"/>
      <c r="H20" s="3321" t="s">
        <v>3384</v>
      </c>
      <c r="I20" s="3321" t="s">
        <v>3385</v>
      </c>
      <c r="J20" s="3322" t="s">
        <v>3386</v>
      </c>
      <c r="K20" s="2043" t="s">
        <v>3387</v>
      </c>
      <c r="L20" s="2043" t="s">
        <v>3388</v>
      </c>
      <c r="M20" s="2043" t="s">
        <v>3432</v>
      </c>
      <c r="N20" s="2043"/>
      <c r="O20" s="2044"/>
      <c r="P20" s="1993"/>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10" customFormat="1" ht="27" thickBot="1">
      <c r="A21" s="3757"/>
      <c r="B21" s="2160" t="s">
        <v>1997</v>
      </c>
      <c r="C21" s="2161">
        <f>IF(E3="M4科研用地",SUMPRODUCT((修正!A2:A7=E3)*(修正!B1:M1=G2)*(修正!B2:M7)),SUMPRODUCT((修正!A2:A7=E2)*(修正!B1:M1=G2)*(修正!B2:M7)))</f>
        <v>1</v>
      </c>
      <c r="D21" s="186" t="str">
        <f>IF(OR(G2="八级",G2="九级",G2="十级",G2="十一级",G2="十二级"),"五通一平","七通一平")</f>
        <v>五通一平</v>
      </c>
      <c r="E21" s="2151">
        <f>SUMPRODUCT((修正!B1:M1=G2)*(修正!B17:M17))</f>
        <v>185</v>
      </c>
      <c r="F21" s="2152" t="s">
        <v>3470</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10" customFormat="1" ht="15" thickBot="1">
      <c r="A22" s="2154" t="s">
        <v>363</v>
      </c>
      <c r="B22" s="2155" t="s">
        <v>2000</v>
      </c>
      <c r="C22" s="2156">
        <f>SUMIF(修正!C20:C51,E3,修正!E20:E51)</f>
        <v>1</v>
      </c>
      <c r="D22" s="2157"/>
      <c r="E22" s="2158"/>
      <c r="F22" s="2158"/>
      <c r="G22" s="2158"/>
      <c r="H22" s="2158"/>
      <c r="I22" s="2158"/>
      <c r="J22" s="2159"/>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7"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0" t="s">
        <v>2002</v>
      </c>
      <c r="E23" s="759">
        <v>44197</v>
      </c>
      <c r="F23" s="2050" t="s">
        <v>2003</v>
      </c>
      <c r="G23" s="760">
        <f>'数据-取费表'!B2</f>
        <v>45124</v>
      </c>
      <c r="H23" s="3338" t="s">
        <v>3261</v>
      </c>
      <c r="I23" s="3339" t="str">
        <f>IF(H23="季度增幅（自定义）",SUMIF(N25:N28,E2,O25:O28),"")</f>
        <v/>
      </c>
      <c r="J23" s="3441" t="s">
        <v>3260</v>
      </c>
      <c r="K23" s="1121"/>
      <c r="L23" s="2051" t="s">
        <v>2004</v>
      </c>
      <c r="M23" s="1324">
        <f>ROUND(SUMIF(地价!B2:G2,E2,地价!B16:G16),0)</f>
        <v>318</v>
      </c>
      <c r="N23" s="2052" t="s">
        <v>2005</v>
      </c>
      <c r="O23" s="761">
        <f>ROUNDDOWN(DATEDIF(E23,G23,"M")/3,0)</f>
        <v>10</v>
      </c>
      <c r="P23" s="1118"/>
      <c r="Q23" s="2783"/>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2">
        <f>ROUND(POWER(1+G24,J24-I24)*(POWER(1+G24,I24)-1)/(POWER(1+G24,J24)-1),4)</f>
        <v>0.88670000000000004</v>
      </c>
      <c r="D24" s="2056" t="s">
        <v>2007</v>
      </c>
      <c r="E24" s="1331">
        <f>存贷款利率!E23/100</f>
        <v>4.3499999999999997E-2</v>
      </c>
      <c r="F24" s="2056" t="s">
        <v>1999</v>
      </c>
      <c r="G24" s="766">
        <f>SUMIF(M30:Q30,E2,M33:Q33)</f>
        <v>0.05</v>
      </c>
      <c r="H24" s="2056" t="s">
        <v>2008</v>
      </c>
      <c r="I24" s="767">
        <f>SUMIF('数据-取费表'!C6:C15,E2,'数据-取费表'!F6:F15)/COUNTIF('数据-取费表'!C6:C15,E2)</f>
        <v>33.97</v>
      </c>
      <c r="J24" s="768">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4.4">
      <c r="A25" s="2061" t="s">
        <v>366</v>
      </c>
      <c r="B25" s="2062" t="s">
        <v>3457</v>
      </c>
      <c r="C25" s="769">
        <f>IF(B25="容积率修正",IF(G3&lt;10,D26,J26),C27)</f>
        <v>0.75270000000000004</v>
      </c>
      <c r="D25" s="2063"/>
      <c r="E25" s="2063"/>
      <c r="F25" s="2063"/>
      <c r="G25" s="2063"/>
      <c r="H25" s="2063"/>
      <c r="I25" s="2063"/>
      <c r="J25" s="2064"/>
      <c r="K25" s="1121"/>
      <c r="L25" s="2783"/>
      <c r="M25" s="2783"/>
      <c r="N25" s="2065"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40" t="s">
        <v>3262</v>
      </c>
      <c r="D26" s="1348">
        <f>IF(E26=G26,F26,IF(G3&lt;10,ROUND(F26+(H26-F26)*(G3-E26)/(G26-E26),4),"——"))</f>
        <v>0.75270000000000004</v>
      </c>
      <c r="E26" s="750">
        <f>ROUNDDOWN(G3,1)</f>
        <v>2</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0">
        <f>ROUNDUP(G3,1)</f>
        <v>2</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0" t="s">
        <v>3263</v>
      </c>
      <c r="J26" s="770" t="str">
        <f>IF(G3&gt;=10,D115,"——")</f>
        <v>——</v>
      </c>
      <c r="K26" s="1121"/>
      <c r="L26" s="2783"/>
      <c r="M26" s="2783"/>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9">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8">
        <f>SUMIF(A47:A101,E2,B47:B101)</f>
        <v>1.0350999999999999</v>
      </c>
      <c r="D28" s="2048"/>
      <c r="E28" s="2073"/>
      <c r="F28" s="2073"/>
      <c r="G28" s="2073"/>
      <c r="H28" s="2073"/>
      <c r="I28" s="2073"/>
      <c r="J28" s="2074"/>
      <c r="K28" s="1121"/>
      <c r="L28" s="2783"/>
      <c r="M28" s="2783"/>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3"/>
      <c r="D29" s="2020"/>
      <c r="E29" s="2020"/>
      <c r="F29" s="2077"/>
      <c r="G29" s="2020"/>
      <c r="H29" s="2020"/>
      <c r="I29" s="2020"/>
      <c r="J29" s="2021"/>
      <c r="K29" s="1115"/>
      <c r="L29" s="1993"/>
      <c r="M29" s="1993"/>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2413</v>
      </c>
      <c r="D30" s="2079"/>
      <c r="E30" s="2042"/>
      <c r="F30" s="2080"/>
      <c r="G30" s="2042"/>
      <c r="H30" s="2042"/>
      <c r="I30" s="2042"/>
      <c r="J30" s="2081"/>
      <c r="K30" s="1115"/>
      <c r="L30" s="3346" t="s">
        <v>1936</v>
      </c>
      <c r="M30" s="3347" t="s">
        <v>1990</v>
      </c>
      <c r="N30" s="3347" t="s">
        <v>1991</v>
      </c>
      <c r="O30" s="3347" t="s">
        <v>1992</v>
      </c>
      <c r="P30" s="3347" t="s">
        <v>1993</v>
      </c>
      <c r="Q30" s="3350" t="s">
        <v>3267</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4">
        <f>E34+SUM(I37:I42)</f>
        <v>0</v>
      </c>
      <c r="D31" s="2083"/>
      <c r="E31" s="2084"/>
      <c r="F31" s="2085"/>
      <c r="G31" s="2084"/>
      <c r="H31" s="2084"/>
      <c r="I31" s="2084"/>
      <c r="J31" s="2086"/>
      <c r="K31" s="1115"/>
      <c r="L31" s="3348" t="s">
        <v>1996</v>
      </c>
      <c r="M31" s="1996">
        <v>0.25</v>
      </c>
      <c r="N31" s="1996">
        <v>0.2</v>
      </c>
      <c r="O31" s="1996">
        <v>0.15</v>
      </c>
      <c r="P31" s="1996">
        <v>0.1</v>
      </c>
      <c r="Q31" s="3343">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49" t="s">
        <v>1999</v>
      </c>
      <c r="M32" s="2565">
        <f>ROUND($E$24*(1+M31),3)</f>
        <v>5.3999999999999999E-2</v>
      </c>
      <c r="N32" s="2565">
        <f>ROUND($E$24*(1+N31),3)</f>
        <v>5.1999999999999998E-2</v>
      </c>
      <c r="O32" s="2565">
        <f>ROUND($E$24*(1+O31),3)</f>
        <v>0.05</v>
      </c>
      <c r="P32" s="2565">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4">
        <f>ROUND(C5*C22*C23*C24*C25*C28,0)</f>
        <v>668</v>
      </c>
      <c r="D33" s="2094">
        <f>'数据-汇总表'!E19</f>
        <v>36123.300000000003</v>
      </c>
      <c r="E33" s="771">
        <f>ROUND(C33*D33/10000,0)</f>
        <v>2413</v>
      </c>
      <c r="F33" s="3341" t="s">
        <v>3265</v>
      </c>
      <c r="G33" s="2095"/>
      <c r="H33" s="2095"/>
      <c r="I33" s="2095"/>
      <c r="J33" s="2096"/>
      <c r="K33" s="1115"/>
      <c r="L33" s="3344" t="s">
        <v>3268</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6">
        <f>ROUND(IF(E2="工业",C33*M42,IF(B25="楼层修正",SUM(V2:V16)*M41*10000/D34,C33*M41)),0)</f>
        <v>100</v>
      </c>
      <c r="D34" s="2099"/>
      <c r="E34" s="771">
        <f>ROUND(IF(B25="楼层修正",SUM(V2:V16)*M40,C34*D34/10000),0)</f>
        <v>0</v>
      </c>
      <c r="F34" s="2100" t="s">
        <v>2032</v>
      </c>
      <c r="G34" s="2101"/>
      <c r="H34" s="2101"/>
      <c r="I34" s="2101"/>
      <c r="J34" s="2102"/>
      <c r="K34" s="1115"/>
      <c r="L34" s="3344" t="s">
        <v>3269</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2" t="s">
        <v>3266</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49" t="s">
        <v>2027</v>
      </c>
      <c r="D36" s="446" t="s">
        <v>2028</v>
      </c>
      <c r="E36" s="446" t="s">
        <v>2029</v>
      </c>
      <c r="F36" s="341" t="s">
        <v>2035</v>
      </c>
      <c r="G36" s="2108" t="s">
        <v>2027</v>
      </c>
      <c r="H36" s="2108" t="s">
        <v>2028</v>
      </c>
      <c r="I36" s="2108" t="s">
        <v>2029</v>
      </c>
      <c r="J36" s="242"/>
      <c r="K36" s="3352" t="s">
        <v>3270</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760"/>
      <c r="B37" s="2109" t="s">
        <v>2036</v>
      </c>
      <c r="C37" s="174">
        <f>ROUND(D5*C22*C23*C24*C28*F37,0)</f>
        <v>444</v>
      </c>
      <c r="D37" s="2094"/>
      <c r="E37" s="170">
        <f>ROUND(C37*D37/10000,0)</f>
        <v>0</v>
      </c>
      <c r="F37" s="170">
        <f>SUMIF(修正!A57:A68,G2,修正!B57:B68)</f>
        <v>0.5</v>
      </c>
      <c r="G37" s="170">
        <f>ROUND(IF(E2="工业",C37*$M$42,C37*$M$41),0)</f>
        <v>67</v>
      </c>
      <c r="H37" s="170">
        <f>D37</f>
        <v>0</v>
      </c>
      <c r="I37" s="170">
        <f>ROUND(G37*H37/10000,0)</f>
        <v>0</v>
      </c>
      <c r="J37" s="3007"/>
      <c r="K37" s="3354" t="s">
        <v>3271</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61"/>
      <c r="B38" s="2037" t="s">
        <v>2037</v>
      </c>
      <c r="C38" s="174">
        <f>ROUND(D5*C22*C23*C24*C28*F38,0)</f>
        <v>178</v>
      </c>
      <c r="D38" s="2094"/>
      <c r="E38" s="170">
        <f t="shared" ref="E38:E42" si="4">ROUND(C38*D38/10000,0)</f>
        <v>0</v>
      </c>
      <c r="F38" s="170">
        <f>SUMIF(修正!A57:A68,G2,修正!C57:C68)</f>
        <v>0.2</v>
      </c>
      <c r="G38" s="170">
        <f>ROUND(IF(E2="工业",C38*$M$42,C38*$M$41),0)</f>
        <v>27</v>
      </c>
      <c r="H38" s="170">
        <f t="shared" ref="H38:H42" si="5">D38</f>
        <v>0</v>
      </c>
      <c r="I38" s="170">
        <f t="shared" ref="I38:I42" si="6">ROUND(G38*H38/10000,0)</f>
        <v>0</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8" thickBot="1">
      <c r="A39" s="3761"/>
      <c r="B39" s="2037" t="s">
        <v>3264</v>
      </c>
      <c r="C39" s="174">
        <f>ROUND(D5*C22*C23*C24*C28*F39,0)</f>
        <v>178</v>
      </c>
      <c r="D39" s="2094"/>
      <c r="E39" s="170">
        <f t="shared" si="4"/>
        <v>0</v>
      </c>
      <c r="F39" s="170">
        <f>SUMIF(修正!A57:A68,G2,修正!D57:D68)</f>
        <v>0.2</v>
      </c>
      <c r="G39" s="170">
        <f>ROUND(IF(E2="工业",C39*$M$42,C39*$M$41),0)</f>
        <v>27</v>
      </c>
      <c r="H39" s="170">
        <f t="shared" si="5"/>
        <v>0</v>
      </c>
      <c r="I39" s="170">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0">
        <f>ROUND(D5*C22*C23*C24*C28*F40,0)</f>
        <v>178</v>
      </c>
      <c r="D40" s="2094"/>
      <c r="E40" s="170">
        <f t="shared" si="4"/>
        <v>0</v>
      </c>
      <c r="F40" s="174">
        <f>SUMIF(修正!A57:A68,G2,修正!E57:E68)</f>
        <v>0.2</v>
      </c>
      <c r="G40" s="170">
        <f>ROUND(IF(E2="工业",C40*$M$42,C40*$M$41),0)</f>
        <v>27</v>
      </c>
      <c r="H40" s="170">
        <f t="shared" si="5"/>
        <v>0</v>
      </c>
      <c r="I40" s="170">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0">
        <f>ROUND(D5*C22*C23*C44*C28*F41,0)</f>
        <v>0</v>
      </c>
      <c r="D41" s="2094"/>
      <c r="E41" s="170">
        <f t="shared" si="4"/>
        <v>0</v>
      </c>
      <c r="F41" s="174">
        <f>SUMIF(修正!A57:A68,G2,修正!F57:F68)</f>
        <v>0.2</v>
      </c>
      <c r="G41" s="170">
        <f>ROUND(IF(E2="工业",C41*$M$42,C41*$M$41),0)</f>
        <v>0</v>
      </c>
      <c r="H41" s="170">
        <f t="shared" si="5"/>
        <v>0</v>
      </c>
      <c r="I41" s="170">
        <f t="shared" si="6"/>
        <v>0</v>
      </c>
      <c r="J41" s="2110"/>
      <c r="L41" s="3355" t="s">
        <v>3272</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6">
        <f>ROUND(D5*C22*C23*C44*C28*F42,0)</f>
        <v>0</v>
      </c>
      <c r="D42" s="2099"/>
      <c r="E42" s="186">
        <f t="shared" si="4"/>
        <v>0</v>
      </c>
      <c r="F42" s="765">
        <f>SUMIF(修正!A57:A68,G2,修正!G57:G68)</f>
        <v>0.1</v>
      </c>
      <c r="G42" s="186">
        <f>ROUND(IF(E2="工业",C42*$M$42,C42*$M$41),0)</f>
        <v>0</v>
      </c>
      <c r="H42" s="186">
        <f t="shared" si="5"/>
        <v>0</v>
      </c>
      <c r="I42" s="186">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41">
        <f>ROUND(POWER(1+E44,H44-G44)*(POWER(1+E44,G44)-1)/(POWER(1+E44,H44)-1),4)</f>
        <v>0</v>
      </c>
      <c r="D44" s="170" t="s">
        <v>1999</v>
      </c>
      <c r="E44" s="2149">
        <f>G24</f>
        <v>0.05</v>
      </c>
      <c r="F44" s="170" t="s">
        <v>2008</v>
      </c>
      <c r="G44" s="182"/>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hidden="1">
      <c r="A48" s="2122" t="s">
        <v>2043</v>
      </c>
      <c r="B48" s="2123">
        <f>1+E50</f>
        <v>1.0649999999999999</v>
      </c>
      <c r="C48" s="2124"/>
      <c r="D48" s="739"/>
      <c r="E48" s="740"/>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hidden="1">
      <c r="A49" s="2126" t="s">
        <v>2044</v>
      </c>
      <c r="B49" s="1347" t="s">
        <v>2045</v>
      </c>
      <c r="C49" s="1347" t="s">
        <v>2046</v>
      </c>
      <c r="D49" s="1347" t="s">
        <v>2047</v>
      </c>
      <c r="E49" s="741"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9.6" hidden="1">
      <c r="A50" s="2126" t="s">
        <v>2052</v>
      </c>
      <c r="B50" s="2129" t="str">
        <f>估价对象房地状况!C4</f>
        <v>估价对象位于XX商圈，周边商业氛围成熟，人流量大，商业繁华度好</v>
      </c>
      <c r="C50" s="2040" t="s">
        <v>3424</v>
      </c>
      <c r="D50" s="1063">
        <f t="shared" ref="D50:D58" si="7">SUMIF($J$49:$N$49,C50,J50:N50)</f>
        <v>1.4999999999999999E-2</v>
      </c>
      <c r="E50" s="742">
        <f>ROUND(SUM(D50:D58),4)</f>
        <v>6.5000000000000002E-2</v>
      </c>
      <c r="F50" s="1810" t="str">
        <f>IF(E2="商业",SUMIF(L1:L12,G2,N1:N12),"——")</f>
        <v>——</v>
      </c>
      <c r="G50" s="1061">
        <v>1.4999999999999999E-2</v>
      </c>
      <c r="H50" s="1064" t="str">
        <f t="shared" ref="H50:H58" si="8">IFERROR(ROUNDDOWN($F$50*I50/2,4),"——")</f>
        <v>——</v>
      </c>
      <c r="I50" s="3362">
        <v>0.3</v>
      </c>
      <c r="J50" s="1062">
        <f t="shared" ref="J50:J58" si="9">K50+$G50</f>
        <v>0.03</v>
      </c>
      <c r="K50" s="1062">
        <f t="shared" ref="K50:K58" si="10">$L50+$G50</f>
        <v>1.4999999999999999E-2</v>
      </c>
      <c r="L50" s="1062">
        <v>0</v>
      </c>
      <c r="M50" s="1062">
        <f t="shared" ref="M50:N58" si="11">L50-$G50</f>
        <v>-1.4999999999999999E-2</v>
      </c>
      <c r="N50" s="1062">
        <f t="shared" si="11"/>
        <v>-0.03</v>
      </c>
      <c r="AA50" s="1116"/>
      <c r="AB50" s="1116"/>
      <c r="AC50" s="1116"/>
      <c r="AD50" s="1116"/>
      <c r="AE50" s="1116"/>
      <c r="AF50" s="1116"/>
      <c r="AG50" s="1116"/>
      <c r="AH50" s="1116"/>
      <c r="AI50" s="1116"/>
      <c r="AJ50" s="1116"/>
      <c r="AK50" s="1116"/>
    </row>
    <row r="51" spans="1:37" s="1115" customFormat="1" ht="52.8" hidden="1">
      <c r="A51" s="2126" t="s">
        <v>2053</v>
      </c>
      <c r="B51" s="2130" t="str">
        <f>估价对象房地状况!C18</f>
        <v>估价对象周边道路状况、公共交通通达情况、停车便捷程度，综合评价交通便捷度较好</v>
      </c>
      <c r="C51" s="2040" t="s">
        <v>3428</v>
      </c>
      <c r="D51" s="1063">
        <f t="shared" si="7"/>
        <v>2.1999999999999999E-2</v>
      </c>
      <c r="E51" s="743"/>
      <c r="F51" s="1810"/>
      <c r="G51" s="1061">
        <v>1.0999999999999999E-2</v>
      </c>
      <c r="H51" s="1064" t="str">
        <f t="shared" si="8"/>
        <v>——</v>
      </c>
      <c r="I51" s="3362">
        <v>0.22</v>
      </c>
      <c r="J51" s="1062">
        <f t="shared" si="9"/>
        <v>2.1999999999999999E-2</v>
      </c>
      <c r="K51" s="1062">
        <f t="shared" si="10"/>
        <v>1.0999999999999999E-2</v>
      </c>
      <c r="L51" s="1062">
        <v>0</v>
      </c>
      <c r="M51" s="1062">
        <f t="shared" si="11"/>
        <v>-1.0999999999999999E-2</v>
      </c>
      <c r="N51" s="1062">
        <f t="shared" si="11"/>
        <v>-2.1999999999999999E-2</v>
      </c>
      <c r="AA51" s="1116"/>
      <c r="AB51" s="1116"/>
      <c r="AC51" s="1116"/>
      <c r="AD51" s="1116"/>
      <c r="AE51" s="1116"/>
      <c r="AF51" s="1116"/>
      <c r="AG51" s="1116"/>
      <c r="AH51" s="1116"/>
      <c r="AI51" s="1116"/>
      <c r="AJ51" s="1116"/>
      <c r="AK51" s="1116"/>
    </row>
    <row r="52" spans="1:37" s="1115" customFormat="1" ht="48" hidden="1">
      <c r="A52" s="3364" t="s">
        <v>3274</v>
      </c>
      <c r="B52" s="2130">
        <f>估价对象房地状况!C19</f>
        <v>0</v>
      </c>
      <c r="C52" s="2040" t="s">
        <v>3424</v>
      </c>
      <c r="D52" s="1063">
        <f t="shared" si="7"/>
        <v>6.0000000000000001E-3</v>
      </c>
      <c r="E52" s="743"/>
      <c r="F52" s="1810"/>
      <c r="G52" s="1061">
        <v>6.0000000000000001E-3</v>
      </c>
      <c r="H52" s="1064" t="str">
        <f t="shared" si="8"/>
        <v>——</v>
      </c>
      <c r="I52" s="3362">
        <v>0.12</v>
      </c>
      <c r="J52" s="1062">
        <f t="shared" si="9"/>
        <v>1.2E-2</v>
      </c>
      <c r="K52" s="1062">
        <f t="shared" si="10"/>
        <v>6.0000000000000001E-3</v>
      </c>
      <c r="L52" s="1062">
        <v>0</v>
      </c>
      <c r="M52" s="1062">
        <f t="shared" si="11"/>
        <v>-6.0000000000000001E-3</v>
      </c>
      <c r="N52" s="1062">
        <f t="shared" si="11"/>
        <v>-1.2E-2</v>
      </c>
      <c r="AA52" s="1116"/>
      <c r="AB52" s="1116"/>
      <c r="AC52" s="1116"/>
      <c r="AD52" s="1116"/>
      <c r="AE52" s="1116"/>
      <c r="AF52" s="1116"/>
      <c r="AG52" s="1116"/>
      <c r="AH52" s="1116"/>
      <c r="AI52" s="1116"/>
      <c r="AJ52" s="1116"/>
      <c r="AK52" s="1116"/>
    </row>
    <row r="53" spans="1:37" s="1115" customFormat="1" ht="37.200000000000003" hidden="1">
      <c r="A53" s="2126" t="s">
        <v>2054</v>
      </c>
      <c r="B53" s="2131" t="s">
        <v>2055</v>
      </c>
      <c r="C53" s="2040" t="s">
        <v>3424</v>
      </c>
      <c r="D53" s="1063">
        <f t="shared" si="7"/>
        <v>2.5000000000000001E-3</v>
      </c>
      <c r="E53" s="743"/>
      <c r="F53" s="1810"/>
      <c r="G53" s="1061">
        <v>2.5000000000000001E-3</v>
      </c>
      <c r="H53" s="1064" t="str">
        <f t="shared" si="8"/>
        <v>——</v>
      </c>
      <c r="I53" s="3362">
        <v>0.05</v>
      </c>
      <c r="J53" s="1062">
        <f t="shared" si="9"/>
        <v>5.0000000000000001E-3</v>
      </c>
      <c r="K53" s="1062">
        <f t="shared" si="10"/>
        <v>2.5000000000000001E-3</v>
      </c>
      <c r="L53" s="1062">
        <v>0</v>
      </c>
      <c r="M53" s="1062">
        <f t="shared" si="11"/>
        <v>-2.5000000000000001E-3</v>
      </c>
      <c r="N53" s="1062">
        <f t="shared" si="11"/>
        <v>-5.0000000000000001E-3</v>
      </c>
      <c r="AA53" s="1116"/>
      <c r="AB53" s="1116"/>
      <c r="AC53" s="1116"/>
      <c r="AD53" s="1116"/>
      <c r="AE53" s="1116"/>
      <c r="AF53" s="1116"/>
      <c r="AG53" s="1116"/>
      <c r="AH53" s="1116"/>
      <c r="AI53" s="1116"/>
      <c r="AJ53" s="1116"/>
      <c r="AK53" s="1116"/>
    </row>
    <row r="54" spans="1:37" s="1115" customFormat="1" ht="24" hidden="1">
      <c r="A54" s="2126" t="s">
        <v>2056</v>
      </c>
      <c r="B54" s="2130">
        <f>估价对象房地状况!C24</f>
        <v>0</v>
      </c>
      <c r="C54" s="2040" t="s">
        <v>3424</v>
      </c>
      <c r="D54" s="1063">
        <f t="shared" si="7"/>
        <v>4.0000000000000001E-3</v>
      </c>
      <c r="E54" s="743"/>
      <c r="F54" s="1810"/>
      <c r="G54" s="1061">
        <v>4.0000000000000001E-3</v>
      </c>
      <c r="H54" s="1064" t="str">
        <f t="shared" si="8"/>
        <v>——</v>
      </c>
      <c r="I54" s="3362">
        <v>0.08</v>
      </c>
      <c r="J54" s="1062">
        <f t="shared" si="9"/>
        <v>8.0000000000000002E-3</v>
      </c>
      <c r="K54" s="1062">
        <f t="shared" si="10"/>
        <v>4.0000000000000001E-3</v>
      </c>
      <c r="L54" s="1062">
        <v>0</v>
      </c>
      <c r="M54" s="1062">
        <f t="shared" si="11"/>
        <v>-4.0000000000000001E-3</v>
      </c>
      <c r="N54" s="1062">
        <f t="shared" si="11"/>
        <v>-8.0000000000000002E-3</v>
      </c>
      <c r="AA54" s="1116"/>
      <c r="AB54" s="1116"/>
      <c r="AC54" s="1116"/>
      <c r="AD54" s="1116"/>
      <c r="AE54" s="1116"/>
      <c r="AF54" s="1116"/>
      <c r="AG54" s="1116"/>
      <c r="AH54" s="1116"/>
      <c r="AI54" s="1116"/>
      <c r="AJ54" s="1116"/>
      <c r="AK54" s="1116"/>
    </row>
    <row r="55" spans="1:37" s="1115" customFormat="1" ht="36" hidden="1">
      <c r="A55" s="2126" t="s">
        <v>2057</v>
      </c>
      <c r="B55" s="2132" t="s">
        <v>2058</v>
      </c>
      <c r="C55" s="2040" t="s">
        <v>3424</v>
      </c>
      <c r="D55" s="1063">
        <f t="shared" si="7"/>
        <v>2.5000000000000001E-3</v>
      </c>
      <c r="E55" s="743"/>
      <c r="F55" s="1810"/>
      <c r="G55" s="1061">
        <v>2.5000000000000001E-3</v>
      </c>
      <c r="H55" s="1064" t="str">
        <f t="shared" si="8"/>
        <v>——</v>
      </c>
      <c r="I55" s="3362">
        <v>0.05</v>
      </c>
      <c r="J55" s="1062">
        <f t="shared" si="9"/>
        <v>5.0000000000000001E-3</v>
      </c>
      <c r="K55" s="1062">
        <f t="shared" si="10"/>
        <v>2.5000000000000001E-3</v>
      </c>
      <c r="L55" s="1062">
        <v>0</v>
      </c>
      <c r="M55" s="1062">
        <f t="shared" si="11"/>
        <v>-2.5000000000000001E-3</v>
      </c>
      <c r="N55" s="1062">
        <f t="shared" si="11"/>
        <v>-5.0000000000000001E-3</v>
      </c>
      <c r="AA55" s="1116"/>
      <c r="AB55" s="1116"/>
      <c r="AC55" s="1116"/>
      <c r="AD55" s="1116"/>
      <c r="AE55" s="1116"/>
      <c r="AF55" s="1116"/>
      <c r="AG55" s="1116"/>
      <c r="AH55" s="1116"/>
      <c r="AI55" s="1116"/>
      <c r="AJ55" s="1116"/>
      <c r="AK55" s="1116"/>
    </row>
    <row r="56" spans="1:37" s="1115" customFormat="1" ht="26.4" hidden="1">
      <c r="A56" s="2133" t="s">
        <v>2059</v>
      </c>
      <c r="B56" s="1322" t="str">
        <f>估价对象房地状况!C21</f>
        <v>估价对象所在区域公共配套设施齐备情况</v>
      </c>
      <c r="C56" s="2040" t="s">
        <v>3424</v>
      </c>
      <c r="D56" s="1063">
        <f t="shared" si="7"/>
        <v>2.5000000000000001E-3</v>
      </c>
      <c r="E56" s="743"/>
      <c r="F56" s="1810"/>
      <c r="G56" s="1061">
        <v>2.5000000000000001E-3</v>
      </c>
      <c r="H56" s="1064" t="str">
        <f t="shared" si="8"/>
        <v>——</v>
      </c>
      <c r="I56" s="3362">
        <v>0.05</v>
      </c>
      <c r="J56" s="1062">
        <f t="shared" si="9"/>
        <v>5.0000000000000001E-3</v>
      </c>
      <c r="K56" s="1062">
        <f t="shared" si="10"/>
        <v>2.5000000000000001E-3</v>
      </c>
      <c r="L56" s="1062">
        <v>0</v>
      </c>
      <c r="M56" s="1062">
        <f t="shared" si="11"/>
        <v>-2.5000000000000001E-3</v>
      </c>
      <c r="N56" s="1062">
        <f t="shared" si="11"/>
        <v>-5.0000000000000001E-3</v>
      </c>
      <c r="AA56" s="1116"/>
      <c r="AB56" s="1116"/>
      <c r="AC56" s="1116"/>
      <c r="AD56" s="1116"/>
      <c r="AE56" s="1116"/>
      <c r="AF56" s="1116"/>
      <c r="AG56" s="1116"/>
      <c r="AH56" s="1116"/>
      <c r="AI56" s="1116"/>
      <c r="AJ56" s="1116"/>
      <c r="AK56" s="1116"/>
    </row>
    <row r="57" spans="1:37" s="1115" customFormat="1" ht="26.4" hidden="1">
      <c r="A57" s="2133" t="s">
        <v>2060</v>
      </c>
      <c r="B57" s="2130" t="str">
        <f>估价对象房地状况!C22</f>
        <v>估价对象所在区域基础设施水平</v>
      </c>
      <c r="C57" s="2040" t="s">
        <v>3428</v>
      </c>
      <c r="D57" s="1063">
        <f t="shared" si="7"/>
        <v>8.0000000000000002E-3</v>
      </c>
      <c r="E57" s="743"/>
      <c r="F57" s="1810"/>
      <c r="G57" s="1061">
        <v>4.0000000000000001E-3</v>
      </c>
      <c r="H57" s="1064" t="str">
        <f t="shared" si="8"/>
        <v>——</v>
      </c>
      <c r="I57" s="3362">
        <v>0.08</v>
      </c>
      <c r="J57" s="1062">
        <f t="shared" si="9"/>
        <v>8.0000000000000002E-3</v>
      </c>
      <c r="K57" s="1062">
        <f t="shared" si="10"/>
        <v>4.0000000000000001E-3</v>
      </c>
      <c r="L57" s="1062">
        <v>0</v>
      </c>
      <c r="M57" s="1062">
        <f t="shared" si="11"/>
        <v>-4.0000000000000001E-3</v>
      </c>
      <c r="N57" s="1062">
        <f t="shared" si="11"/>
        <v>-8.0000000000000002E-3</v>
      </c>
      <c r="AA57" s="1116"/>
      <c r="AB57" s="1116"/>
      <c r="AC57" s="1116"/>
      <c r="AD57" s="1116"/>
      <c r="AE57" s="1116"/>
      <c r="AF57" s="1116"/>
      <c r="AG57" s="1116"/>
      <c r="AH57" s="1116"/>
      <c r="AI57" s="1116"/>
      <c r="AJ57" s="1116"/>
      <c r="AK57" s="1116"/>
    </row>
    <row r="58" spans="1:37" s="1115" customFormat="1" ht="40.200000000000003" hidden="1" thickBot="1">
      <c r="A58" s="2134" t="s">
        <v>2061</v>
      </c>
      <c r="B58" s="2135" t="str">
        <f>估价对象房地状况!C20</f>
        <v>区域自然环境：；人文环境；综合评价环境状况一般</v>
      </c>
      <c r="C58" s="2040" t="s">
        <v>3424</v>
      </c>
      <c r="D58" s="1063">
        <f t="shared" si="7"/>
        <v>2.5000000000000001E-3</v>
      </c>
      <c r="E58" s="744"/>
      <c r="F58" s="1810"/>
      <c r="G58" s="1061">
        <v>2.5000000000000001E-3</v>
      </c>
      <c r="H58" s="1064" t="str">
        <f t="shared" si="8"/>
        <v>——</v>
      </c>
      <c r="I58" s="3363">
        <v>0.05</v>
      </c>
      <c r="J58" s="1062">
        <f t="shared" si="9"/>
        <v>5.0000000000000001E-3</v>
      </c>
      <c r="K58" s="1062">
        <f t="shared" si="10"/>
        <v>2.5000000000000001E-3</v>
      </c>
      <c r="L58" s="1062">
        <v>0</v>
      </c>
      <c r="M58" s="1062">
        <f t="shared" si="11"/>
        <v>-2.5000000000000001E-3</v>
      </c>
      <c r="N58" s="1062">
        <f t="shared" si="11"/>
        <v>-5.0000000000000001E-3</v>
      </c>
      <c r="AA58" s="1116"/>
      <c r="AB58" s="1116"/>
      <c r="AC58" s="1116"/>
      <c r="AD58" s="1116"/>
      <c r="AE58" s="1116"/>
      <c r="AF58" s="1116"/>
      <c r="AG58" s="1116"/>
      <c r="AH58" s="1116"/>
      <c r="AI58" s="1116"/>
      <c r="AJ58" s="1116"/>
      <c r="AK58" s="1116"/>
    </row>
    <row r="59" spans="1:37" s="1115" customFormat="1" ht="14.4" hidden="1">
      <c r="A59" s="2122" t="s">
        <v>2062</v>
      </c>
      <c r="B59" s="2123">
        <f>1+E61</f>
        <v>1</v>
      </c>
      <c r="C59" s="739"/>
      <c r="D59" s="739"/>
      <c r="E59" s="740"/>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hidden="1">
      <c r="A60" s="2126" t="s">
        <v>2044</v>
      </c>
      <c r="B60" s="1347"/>
      <c r="C60" s="1347" t="s">
        <v>2046</v>
      </c>
      <c r="D60" s="1347" t="s">
        <v>2047</v>
      </c>
      <c r="E60" s="741"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9.6" hidden="1">
      <c r="A61" s="2126" t="s">
        <v>2064</v>
      </c>
      <c r="B61" s="2129" t="str">
        <f>估价对象房地状况!C17</f>
        <v>估价对象位于XX商圈，周边办公楼项目较多，入驻率高，办公集聚程度较好</v>
      </c>
      <c r="C61" s="2040"/>
      <c r="D61" s="1063">
        <f t="shared" ref="D61:D69" si="12">SUMIF($J$60:$N$60,C61,J61:N61)</f>
        <v>0</v>
      </c>
      <c r="E61" s="742">
        <f>ROUND(SUM(D61:D69),4)</f>
        <v>0</v>
      </c>
      <c r="F61" s="1810"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6"/>
      <c r="AB61" s="1116"/>
      <c r="AC61" s="1116"/>
      <c r="AD61" s="1116"/>
      <c r="AE61" s="1116"/>
      <c r="AF61" s="1116"/>
      <c r="AG61" s="1116"/>
      <c r="AH61" s="1116"/>
      <c r="AI61" s="1116"/>
      <c r="AJ61" s="1116"/>
      <c r="AK61" s="1116"/>
    </row>
    <row r="62" spans="1:37" s="1115" customFormat="1" ht="52.8" hidden="1">
      <c r="A62" s="2126" t="s">
        <v>2053</v>
      </c>
      <c r="B62" s="2130" t="str">
        <f>估价对象房地状况!C18</f>
        <v>估价对象周边道路状况、公共交通通达情况、停车便捷程度，综合评价交通便捷度较好</v>
      </c>
      <c r="C62" s="2040"/>
      <c r="D62" s="1063">
        <f t="shared" si="12"/>
        <v>0</v>
      </c>
      <c r="E62" s="743"/>
      <c r="F62" s="1810"/>
      <c r="G62" s="1061"/>
      <c r="H62" s="1064" t="str">
        <f t="shared" si="13"/>
        <v>——</v>
      </c>
      <c r="I62" s="3362">
        <v>0.26</v>
      </c>
      <c r="J62" s="1062">
        <f t="shared" si="14"/>
        <v>0</v>
      </c>
      <c r="K62" s="1062">
        <f t="shared" si="15"/>
        <v>0</v>
      </c>
      <c r="L62" s="1062">
        <v>0</v>
      </c>
      <c r="M62" s="1062">
        <f t="shared" si="16"/>
        <v>0</v>
      </c>
      <c r="N62" s="1062">
        <f t="shared" si="16"/>
        <v>0</v>
      </c>
      <c r="AA62" s="1116"/>
      <c r="AB62" s="1116"/>
      <c r="AC62" s="1116"/>
      <c r="AD62" s="1116"/>
      <c r="AE62" s="1116"/>
      <c r="AF62" s="1116"/>
      <c r="AG62" s="1116"/>
      <c r="AH62" s="1116"/>
      <c r="AI62" s="1116"/>
      <c r="AJ62" s="1116"/>
      <c r="AK62" s="1116"/>
    </row>
    <row r="63" spans="1:37" s="1115" customFormat="1" ht="48" hidden="1">
      <c r="A63" s="3364" t="s">
        <v>3274</v>
      </c>
      <c r="B63" s="2130">
        <f>估价对象房地状况!C19</f>
        <v>0</v>
      </c>
      <c r="C63" s="2040"/>
      <c r="D63" s="1063">
        <f t="shared" si="12"/>
        <v>0</v>
      </c>
      <c r="E63" s="743"/>
      <c r="F63" s="1810"/>
      <c r="G63" s="1061"/>
      <c r="H63" s="1064" t="str">
        <f t="shared" si="13"/>
        <v>——</v>
      </c>
      <c r="I63" s="3362">
        <v>0.11</v>
      </c>
      <c r="J63" s="1062">
        <f t="shared" si="14"/>
        <v>0</v>
      </c>
      <c r="K63" s="1062">
        <f t="shared" si="15"/>
        <v>0</v>
      </c>
      <c r="L63" s="1062">
        <v>0</v>
      </c>
      <c r="M63" s="1062">
        <f t="shared" si="16"/>
        <v>0</v>
      </c>
      <c r="N63" s="1062">
        <f t="shared" si="16"/>
        <v>0</v>
      </c>
      <c r="AA63" s="1116"/>
      <c r="AB63" s="1116"/>
      <c r="AC63" s="1116"/>
      <c r="AD63" s="1116"/>
      <c r="AE63" s="1116"/>
      <c r="AF63" s="1116"/>
      <c r="AG63" s="1116"/>
      <c r="AH63" s="1116"/>
      <c r="AI63" s="1116"/>
      <c r="AJ63" s="1116"/>
      <c r="AK63" s="1116"/>
    </row>
    <row r="64" spans="1:37" s="1115" customFormat="1" ht="37.200000000000003" hidden="1">
      <c r="A64" s="2126" t="s">
        <v>2054</v>
      </c>
      <c r="B64" s="2131" t="s">
        <v>2055</v>
      </c>
      <c r="C64" s="2040"/>
      <c r="D64" s="1063">
        <f t="shared" si="12"/>
        <v>0</v>
      </c>
      <c r="E64" s="743"/>
      <c r="F64" s="1810"/>
      <c r="G64" s="1061"/>
      <c r="H64" s="1064" t="str">
        <f t="shared" si="13"/>
        <v>——</v>
      </c>
      <c r="I64" s="3362">
        <v>0.05</v>
      </c>
      <c r="J64" s="1062">
        <f t="shared" si="14"/>
        <v>0</v>
      </c>
      <c r="K64" s="1062">
        <f t="shared" si="15"/>
        <v>0</v>
      </c>
      <c r="L64" s="1062">
        <v>0</v>
      </c>
      <c r="M64" s="1062">
        <f t="shared" si="16"/>
        <v>0</v>
      </c>
      <c r="N64" s="1062">
        <f t="shared" si="16"/>
        <v>0</v>
      </c>
      <c r="AA64" s="1116"/>
      <c r="AB64" s="1116"/>
      <c r="AC64" s="1116"/>
      <c r="AD64" s="1116"/>
      <c r="AE64" s="1116"/>
      <c r="AF64" s="1116"/>
      <c r="AG64" s="1116"/>
      <c r="AH64" s="1116"/>
      <c r="AI64" s="1116"/>
      <c r="AJ64" s="1116"/>
      <c r="AK64" s="1116"/>
    </row>
    <row r="65" spans="1:37" s="1115" customFormat="1" ht="24" hidden="1">
      <c r="A65" s="2126" t="s">
        <v>2056</v>
      </c>
      <c r="B65" s="2130">
        <f>估价对象房地状况!C24</f>
        <v>0</v>
      </c>
      <c r="C65" s="2040"/>
      <c r="D65" s="1063">
        <f t="shared" si="12"/>
        <v>0</v>
      </c>
      <c r="E65" s="743"/>
      <c r="F65" s="1810"/>
      <c r="G65" s="1061"/>
      <c r="H65" s="1064" t="str">
        <f t="shared" si="13"/>
        <v>——</v>
      </c>
      <c r="I65" s="3362">
        <v>0.05</v>
      </c>
      <c r="J65" s="1062">
        <f t="shared" si="14"/>
        <v>0</v>
      </c>
      <c r="K65" s="1062">
        <f t="shared" si="15"/>
        <v>0</v>
      </c>
      <c r="L65" s="1062">
        <v>0</v>
      </c>
      <c r="M65" s="1062">
        <f t="shared" si="16"/>
        <v>0</v>
      </c>
      <c r="N65" s="1062">
        <f t="shared" si="16"/>
        <v>0</v>
      </c>
      <c r="AA65" s="1116"/>
      <c r="AB65" s="1116"/>
      <c r="AC65" s="1116"/>
      <c r="AD65" s="1116"/>
      <c r="AE65" s="1116"/>
      <c r="AF65" s="1116"/>
      <c r="AG65" s="1116"/>
      <c r="AH65" s="1116"/>
      <c r="AI65" s="1116"/>
      <c r="AJ65" s="1116"/>
      <c r="AK65" s="1116"/>
    </row>
    <row r="66" spans="1:37" s="1115" customFormat="1" ht="36" hidden="1">
      <c r="A66" s="2126" t="s">
        <v>2057</v>
      </c>
      <c r="B66" s="2132" t="s">
        <v>2058</v>
      </c>
      <c r="C66" s="2040"/>
      <c r="D66" s="1063">
        <f t="shared" si="12"/>
        <v>0</v>
      </c>
      <c r="E66" s="743"/>
      <c r="F66" s="1810"/>
      <c r="G66" s="1061"/>
      <c r="H66" s="1064" t="str">
        <f t="shared" si="13"/>
        <v>——</v>
      </c>
      <c r="I66" s="3362">
        <v>0.06</v>
      </c>
      <c r="J66" s="1062">
        <f t="shared" si="14"/>
        <v>0</v>
      </c>
      <c r="K66" s="1062">
        <f t="shared" si="15"/>
        <v>0</v>
      </c>
      <c r="L66" s="1062">
        <v>0</v>
      </c>
      <c r="M66" s="1062">
        <f t="shared" si="16"/>
        <v>0</v>
      </c>
      <c r="N66" s="1062">
        <f t="shared" si="16"/>
        <v>0</v>
      </c>
      <c r="AA66" s="1116"/>
      <c r="AB66" s="1116"/>
      <c r="AC66" s="1116"/>
      <c r="AD66" s="1116"/>
      <c r="AE66" s="1116"/>
      <c r="AF66" s="1116"/>
      <c r="AG66" s="1116"/>
      <c r="AH66" s="1116"/>
      <c r="AI66" s="1116"/>
      <c r="AJ66" s="1116"/>
      <c r="AK66" s="1116"/>
    </row>
    <row r="67" spans="1:37" s="1115" customFormat="1" ht="26.4" hidden="1">
      <c r="A67" s="2126" t="s">
        <v>2059</v>
      </c>
      <c r="B67" s="1322" t="str">
        <f>估价对象房地状况!C21</f>
        <v>估价对象所在区域公共配套设施齐备情况</v>
      </c>
      <c r="C67" s="2040"/>
      <c r="D67" s="1063">
        <f t="shared" si="12"/>
        <v>0</v>
      </c>
      <c r="E67" s="743"/>
      <c r="F67" s="1810"/>
      <c r="G67" s="1061"/>
      <c r="H67" s="1064" t="str">
        <f t="shared" si="13"/>
        <v>——</v>
      </c>
      <c r="I67" s="3362">
        <v>0.06</v>
      </c>
      <c r="J67" s="1062">
        <f t="shared" si="14"/>
        <v>0</v>
      </c>
      <c r="K67" s="1062">
        <f t="shared" si="15"/>
        <v>0</v>
      </c>
      <c r="L67" s="1062">
        <v>0</v>
      </c>
      <c r="M67" s="1062">
        <f t="shared" si="16"/>
        <v>0</v>
      </c>
      <c r="N67" s="1062">
        <f t="shared" si="16"/>
        <v>0</v>
      </c>
      <c r="AA67" s="1116"/>
      <c r="AB67" s="1116"/>
      <c r="AC67" s="1116"/>
      <c r="AD67" s="1116"/>
      <c r="AE67" s="1116"/>
      <c r="AF67" s="1116"/>
      <c r="AG67" s="1116"/>
      <c r="AH67" s="1116"/>
      <c r="AI67" s="1116"/>
      <c r="AJ67" s="1116"/>
      <c r="AK67" s="1116"/>
    </row>
    <row r="68" spans="1:37" s="1115" customFormat="1" ht="26.4" hidden="1">
      <c r="A68" s="2126" t="s">
        <v>2060</v>
      </c>
      <c r="B68" s="1322" t="str">
        <f>估价对象房地状况!C22</f>
        <v>估价对象所在区域基础设施水平</v>
      </c>
      <c r="C68" s="2040"/>
      <c r="D68" s="1063">
        <f t="shared" si="12"/>
        <v>0</v>
      </c>
      <c r="E68" s="743"/>
      <c r="F68" s="1810"/>
      <c r="G68" s="1061"/>
      <c r="H68" s="1064" t="str">
        <f t="shared" si="13"/>
        <v>——</v>
      </c>
      <c r="I68" s="3362">
        <v>0.09</v>
      </c>
      <c r="J68" s="1062">
        <f t="shared" si="14"/>
        <v>0</v>
      </c>
      <c r="K68" s="1062">
        <f t="shared" si="15"/>
        <v>0</v>
      </c>
      <c r="L68" s="1062">
        <v>0</v>
      </c>
      <c r="M68" s="1062">
        <f t="shared" si="16"/>
        <v>0</v>
      </c>
      <c r="N68" s="1062">
        <f t="shared" si="16"/>
        <v>0</v>
      </c>
      <c r="AA68" s="1116"/>
      <c r="AB68" s="1116"/>
      <c r="AC68" s="1116"/>
      <c r="AD68" s="1116"/>
      <c r="AE68" s="1116"/>
      <c r="AF68" s="1116"/>
      <c r="AG68" s="1116"/>
      <c r="AH68" s="1116"/>
      <c r="AI68" s="1116"/>
      <c r="AJ68" s="1116"/>
      <c r="AK68" s="1116"/>
    </row>
    <row r="69" spans="1:37" s="1115" customFormat="1" ht="40.200000000000003" hidden="1" thickBot="1">
      <c r="A69" s="2134" t="s">
        <v>2061</v>
      </c>
      <c r="B69" s="2136" t="str">
        <f>估价对象房地状况!C20</f>
        <v>区域自然环境：；人文环境；综合评价环境状况一般</v>
      </c>
      <c r="C69" s="2040"/>
      <c r="D69" s="1063">
        <f t="shared" si="12"/>
        <v>0</v>
      </c>
      <c r="E69" s="744"/>
      <c r="F69" s="1810"/>
      <c r="G69" s="1061"/>
      <c r="H69" s="1064" t="str">
        <f t="shared" si="13"/>
        <v>——</v>
      </c>
      <c r="I69" s="3363">
        <v>7.0000000000000007E-2</v>
      </c>
      <c r="J69" s="1062">
        <f t="shared" si="14"/>
        <v>0</v>
      </c>
      <c r="K69" s="1062">
        <f t="shared" si="15"/>
        <v>0</v>
      </c>
      <c r="L69" s="1062">
        <v>0</v>
      </c>
      <c r="M69" s="1062">
        <f t="shared" si="16"/>
        <v>0</v>
      </c>
      <c r="N69" s="1062">
        <f t="shared" si="16"/>
        <v>0</v>
      </c>
      <c r="AA69" s="1116"/>
      <c r="AB69" s="1116"/>
      <c r="AC69" s="1116"/>
      <c r="AD69" s="1116"/>
      <c r="AE69" s="1116"/>
      <c r="AF69" s="1116"/>
      <c r="AG69" s="1116"/>
      <c r="AH69" s="1116"/>
      <c r="AI69" s="1116"/>
      <c r="AJ69" s="1116"/>
      <c r="AK69" s="1116"/>
    </row>
    <row r="70" spans="1:37" s="1115" customFormat="1" ht="14.4" hidden="1">
      <c r="A70" s="2122" t="s">
        <v>2065</v>
      </c>
      <c r="B70" s="2123">
        <f>1+E72</f>
        <v>1</v>
      </c>
      <c r="C70" s="739"/>
      <c r="D70" s="739"/>
      <c r="E70" s="740"/>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hidden="1">
      <c r="A71" s="2126" t="s">
        <v>2044</v>
      </c>
      <c r="B71" s="1347"/>
      <c r="C71" s="1347" t="s">
        <v>2046</v>
      </c>
      <c r="D71" s="1347" t="s">
        <v>2047</v>
      </c>
      <c r="E71" s="741"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2.8" hidden="1">
      <c r="A72" s="2126" t="s">
        <v>2066</v>
      </c>
      <c r="B72" s="2129" t="str">
        <f>估价对象房地状况!C15</f>
        <v>估价对象周边居住用地比例、居住小区规模和社区发展完善程度，综合评价居住社区成熟度一般</v>
      </c>
      <c r="C72" s="2040"/>
      <c r="D72" s="1063">
        <f t="shared" ref="D72:D80" si="17">SUMIF($J$71:$N$71,C72,J72:N72)</f>
        <v>0</v>
      </c>
      <c r="E72" s="742">
        <f>ROUND(SUM(D72:D80),4)</f>
        <v>0</v>
      </c>
      <c r="F72" s="1810"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6"/>
      <c r="AB72" s="1116"/>
      <c r="AC72" s="1116"/>
      <c r="AD72" s="1116"/>
      <c r="AE72" s="1116"/>
      <c r="AF72" s="1116"/>
      <c r="AG72" s="1116"/>
      <c r="AH72" s="1116"/>
      <c r="AI72" s="1116"/>
      <c r="AJ72" s="1116"/>
      <c r="AK72" s="1116"/>
    </row>
    <row r="73" spans="1:37" s="1115" customFormat="1" ht="52.8" hidden="1">
      <c r="A73" s="2126" t="s">
        <v>2053</v>
      </c>
      <c r="B73" s="2130" t="str">
        <f>估价对象房地状况!C18</f>
        <v>估价对象周边道路状况、公共交通通达情况、停车便捷程度，综合评价交通便捷度较好</v>
      </c>
      <c r="C73" s="2040"/>
      <c r="D73" s="1063">
        <f t="shared" si="17"/>
        <v>0</v>
      </c>
      <c r="E73" s="745"/>
      <c r="F73" s="1810"/>
      <c r="G73" s="1061"/>
      <c r="H73" s="1064" t="str">
        <f t="shared" si="18"/>
        <v>——</v>
      </c>
      <c r="I73" s="3362">
        <v>0.26</v>
      </c>
      <c r="J73" s="1062">
        <f t="shared" si="19"/>
        <v>0</v>
      </c>
      <c r="K73" s="1062">
        <f t="shared" si="20"/>
        <v>0</v>
      </c>
      <c r="L73" s="1062">
        <v>0</v>
      </c>
      <c r="M73" s="1062">
        <f t="shared" si="21"/>
        <v>0</v>
      </c>
      <c r="N73" s="1062">
        <f t="shared" si="21"/>
        <v>0</v>
      </c>
      <c r="AA73" s="1116"/>
      <c r="AB73" s="1116"/>
      <c r="AC73" s="1116"/>
      <c r="AD73" s="1116"/>
      <c r="AE73" s="1116"/>
      <c r="AF73" s="1116"/>
      <c r="AG73" s="1116"/>
      <c r="AH73" s="1116"/>
      <c r="AI73" s="1116"/>
      <c r="AJ73" s="1116"/>
      <c r="AK73" s="1116"/>
    </row>
    <row r="74" spans="1:37" s="1993" customFormat="1" ht="48" hidden="1">
      <c r="A74" s="3364" t="s">
        <v>3274</v>
      </c>
      <c r="B74" s="2130">
        <f>估价对象房地状况!C19</f>
        <v>0</v>
      </c>
      <c r="C74" s="2040"/>
      <c r="D74" s="1063">
        <f t="shared" si="17"/>
        <v>0</v>
      </c>
      <c r="E74" s="745"/>
      <c r="F74" s="1810"/>
      <c r="G74" s="1061"/>
      <c r="H74" s="1064" t="str">
        <f t="shared" si="18"/>
        <v>——</v>
      </c>
      <c r="I74" s="3362">
        <v>0.1</v>
      </c>
      <c r="J74" s="1062">
        <f t="shared" si="19"/>
        <v>0</v>
      </c>
      <c r="K74" s="1062">
        <f t="shared" si="20"/>
        <v>0</v>
      </c>
      <c r="L74" s="1062">
        <v>0</v>
      </c>
      <c r="M74" s="1062">
        <f t="shared" si="21"/>
        <v>0</v>
      </c>
      <c r="N74" s="1062">
        <f t="shared" si="21"/>
        <v>0</v>
      </c>
      <c r="O74" s="1115"/>
      <c r="P74" s="1115"/>
      <c r="Q74" s="1115"/>
      <c r="AA74" s="2137"/>
      <c r="AB74" s="1116"/>
      <c r="AC74" s="1116"/>
      <c r="AD74" s="1116"/>
      <c r="AE74" s="1116"/>
      <c r="AF74" s="1116"/>
      <c r="AG74" s="1116"/>
      <c r="AH74" s="2137"/>
      <c r="AI74" s="2137"/>
      <c r="AJ74" s="2137"/>
      <c r="AK74" s="2137"/>
    </row>
    <row r="75" spans="1:37" ht="13.8" hidden="1">
      <c r="A75" s="2126" t="s">
        <v>2067</v>
      </c>
      <c r="B75" s="2130">
        <f>估价对象房地状况!C24</f>
        <v>0</v>
      </c>
      <c r="C75" s="2040"/>
      <c r="D75" s="1063">
        <f t="shared" si="17"/>
        <v>0</v>
      </c>
      <c r="E75" s="745"/>
      <c r="F75" s="1810"/>
      <c r="G75" s="1061"/>
      <c r="H75" s="1064" t="str">
        <f t="shared" si="18"/>
        <v>——</v>
      </c>
      <c r="I75" s="3362">
        <v>0.05</v>
      </c>
      <c r="J75" s="1062">
        <f t="shared" si="19"/>
        <v>0</v>
      </c>
      <c r="K75" s="1062">
        <f t="shared" si="20"/>
        <v>0</v>
      </c>
      <c r="L75" s="1062">
        <v>0</v>
      </c>
      <c r="M75" s="1062">
        <f t="shared" si="21"/>
        <v>0</v>
      </c>
      <c r="N75" s="1062">
        <f t="shared" si="21"/>
        <v>0</v>
      </c>
      <c r="O75" s="1115"/>
      <c r="P75" s="1115"/>
      <c r="Q75" s="1993"/>
      <c r="Z75" s="1994"/>
      <c r="AA75" s="2049"/>
      <c r="AG75" s="1117"/>
      <c r="AK75" s="2049"/>
    </row>
    <row r="76" spans="1:37" ht="26.4" hidden="1">
      <c r="A76" s="2126" t="s">
        <v>2059</v>
      </c>
      <c r="B76" s="1322" t="str">
        <f>估价对象房地状况!C21</f>
        <v>估价对象所在区域公共配套设施齐备情况</v>
      </c>
      <c r="C76" s="2040"/>
      <c r="D76" s="1063">
        <f t="shared" si="17"/>
        <v>0</v>
      </c>
      <c r="E76" s="745"/>
      <c r="F76" s="1810"/>
      <c r="G76" s="1061"/>
      <c r="H76" s="1064" t="str">
        <f t="shared" si="18"/>
        <v>——</v>
      </c>
      <c r="I76" s="3362">
        <v>0.08</v>
      </c>
      <c r="J76" s="1062">
        <f t="shared" si="19"/>
        <v>0</v>
      </c>
      <c r="K76" s="1062">
        <f t="shared" si="20"/>
        <v>0</v>
      </c>
      <c r="L76" s="1062">
        <v>0</v>
      </c>
      <c r="M76" s="1062">
        <f t="shared" si="21"/>
        <v>0</v>
      </c>
      <c r="N76" s="1062">
        <f t="shared" si="21"/>
        <v>0</v>
      </c>
      <c r="O76" s="1115"/>
      <c r="P76" s="1115"/>
      <c r="Z76" s="1994"/>
      <c r="AA76" s="2049"/>
      <c r="AG76" s="1117"/>
      <c r="AK76" s="2049"/>
    </row>
    <row r="77" spans="1:37" ht="26.4" hidden="1">
      <c r="A77" s="2126" t="s">
        <v>2060</v>
      </c>
      <c r="B77" s="1322" t="str">
        <f>估价对象房地状况!C22</f>
        <v>估价对象所在区域基础设施水平</v>
      </c>
      <c r="C77" s="2040"/>
      <c r="D77" s="1063">
        <f t="shared" si="17"/>
        <v>0</v>
      </c>
      <c r="E77" s="745"/>
      <c r="F77" s="1810"/>
      <c r="G77" s="1061"/>
      <c r="H77" s="1064" t="str">
        <f t="shared" si="18"/>
        <v>——</v>
      </c>
      <c r="I77" s="3362">
        <v>0.09</v>
      </c>
      <c r="J77" s="1062">
        <f t="shared" si="19"/>
        <v>0</v>
      </c>
      <c r="K77" s="1062">
        <f t="shared" si="20"/>
        <v>0</v>
      </c>
      <c r="L77" s="1062">
        <v>0</v>
      </c>
      <c r="M77" s="1062">
        <f t="shared" si="21"/>
        <v>0</v>
      </c>
      <c r="N77" s="1062">
        <f t="shared" si="21"/>
        <v>0</v>
      </c>
      <c r="O77" s="1115"/>
      <c r="P77" s="1115"/>
      <c r="Z77" s="1994"/>
      <c r="AA77" s="2049"/>
      <c r="AG77" s="1117"/>
      <c r="AK77" s="2049"/>
    </row>
    <row r="78" spans="1:37" ht="36" hidden="1">
      <c r="A78" s="2126" t="s">
        <v>2057</v>
      </c>
      <c r="B78" s="2132" t="s">
        <v>2058</v>
      </c>
      <c r="C78" s="2040"/>
      <c r="D78" s="1063">
        <f t="shared" si="17"/>
        <v>0</v>
      </c>
      <c r="E78" s="745"/>
      <c r="F78" s="1810"/>
      <c r="G78" s="1061"/>
      <c r="H78" s="1064" t="str">
        <f t="shared" si="18"/>
        <v>——</v>
      </c>
      <c r="I78" s="3362">
        <v>0.05</v>
      </c>
      <c r="J78" s="1062">
        <f t="shared" si="19"/>
        <v>0</v>
      </c>
      <c r="K78" s="1062">
        <f t="shared" si="20"/>
        <v>0</v>
      </c>
      <c r="L78" s="1062">
        <v>0</v>
      </c>
      <c r="M78" s="1062">
        <f t="shared" si="21"/>
        <v>0</v>
      </c>
      <c r="N78" s="1062">
        <f t="shared" si="21"/>
        <v>0</v>
      </c>
      <c r="O78" s="1993"/>
      <c r="P78" s="1993"/>
      <c r="Z78" s="1994"/>
      <c r="AA78" s="2049"/>
      <c r="AG78" s="1117"/>
      <c r="AK78" s="2049"/>
    </row>
    <row r="79" spans="1:37" ht="39.6" hidden="1">
      <c r="A79" s="2126" t="s">
        <v>2061</v>
      </c>
      <c r="B79" s="2129" t="str">
        <f>估价对象房地状况!C20</f>
        <v>区域自然环境：；人文环境；综合评价环境状况一般</v>
      </c>
      <c r="C79" s="2040"/>
      <c r="D79" s="1063">
        <f t="shared" si="17"/>
        <v>0</v>
      </c>
      <c r="E79" s="745"/>
      <c r="F79" s="1810"/>
      <c r="G79" s="1061"/>
      <c r="H79" s="1064" t="str">
        <f t="shared" si="18"/>
        <v>——</v>
      </c>
      <c r="I79" s="3362">
        <v>0.12</v>
      </c>
      <c r="J79" s="1062">
        <f t="shared" si="19"/>
        <v>0</v>
      </c>
      <c r="K79" s="1062">
        <f t="shared" si="20"/>
        <v>0</v>
      </c>
      <c r="L79" s="1062">
        <v>0</v>
      </c>
      <c r="M79" s="1062">
        <f t="shared" si="21"/>
        <v>0</v>
      </c>
      <c r="N79" s="1062">
        <f t="shared" si="21"/>
        <v>0</v>
      </c>
      <c r="Z79" s="1994"/>
      <c r="AA79" s="2049"/>
      <c r="AG79" s="1117"/>
      <c r="AK79" s="2049"/>
    </row>
    <row r="80" spans="1:37" ht="36.6" hidden="1" thickBot="1">
      <c r="A80" s="2134" t="s">
        <v>2068</v>
      </c>
      <c r="B80" s="2138"/>
      <c r="C80" s="2040"/>
      <c r="D80" s="1063">
        <f t="shared" si="17"/>
        <v>0</v>
      </c>
      <c r="E80" s="746"/>
      <c r="F80" s="1810"/>
      <c r="G80" s="1061"/>
      <c r="H80" s="1064" t="str">
        <f t="shared" si="18"/>
        <v>——</v>
      </c>
      <c r="I80" s="3363">
        <v>0.05</v>
      </c>
      <c r="J80" s="1062">
        <f t="shared" si="19"/>
        <v>0</v>
      </c>
      <c r="K80" s="1062">
        <f t="shared" si="20"/>
        <v>0</v>
      </c>
      <c r="L80" s="1062">
        <v>0</v>
      </c>
      <c r="M80" s="1062">
        <f t="shared" si="21"/>
        <v>0</v>
      </c>
      <c r="N80" s="1062">
        <f t="shared" si="21"/>
        <v>0</v>
      </c>
      <c r="Z80" s="1994"/>
      <c r="AA80" s="2049"/>
      <c r="AG80" s="1117"/>
      <c r="AK80" s="2049"/>
    </row>
    <row r="81" spans="1:37" ht="14.4">
      <c r="A81" s="2122" t="s">
        <v>2069</v>
      </c>
      <c r="B81" s="2123">
        <f>1+E83</f>
        <v>1.0350999999999999</v>
      </c>
      <c r="C81" s="739"/>
      <c r="D81" s="739"/>
      <c r="E81" s="740"/>
      <c r="F81" s="2125"/>
      <c r="G81" s="3"/>
      <c r="H81" s="3"/>
      <c r="I81" s="3"/>
      <c r="J81" s="4"/>
      <c r="K81" s="4"/>
      <c r="L81" s="4"/>
      <c r="M81" s="4"/>
      <c r="N81" s="4"/>
      <c r="Z81" s="1994"/>
      <c r="AA81" s="2049"/>
      <c r="AG81" s="1117"/>
      <c r="AK81" s="2049"/>
    </row>
    <row r="82" spans="1:37" ht="25.2">
      <c r="A82" s="2126" t="s">
        <v>2044</v>
      </c>
      <c r="B82" s="1347"/>
      <c r="C82" s="1347" t="s">
        <v>2046</v>
      </c>
      <c r="D82" s="1347" t="s">
        <v>2047</v>
      </c>
      <c r="E82" s="741"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9.6">
      <c r="A83" s="2126" t="s">
        <v>2070</v>
      </c>
      <c r="B83" s="2130" t="str">
        <f>估价对象房地状况!G15</f>
        <v>估价对象位于XX开发区，园区建设成熟度XX，产业集聚程度XX</v>
      </c>
      <c r="C83" s="3453" t="s">
        <v>3424</v>
      </c>
      <c r="D83" s="1063">
        <f t="shared" ref="D83:D90" si="22">SUMIF($J$82:$N$82,C83,J83:N83)</f>
        <v>1.6899999999999998E-2</v>
      </c>
      <c r="E83" s="742">
        <f>ROUND(SUM(D83:D90),4)</f>
        <v>3.5099999999999999E-2</v>
      </c>
      <c r="F83" s="1810">
        <f>IF(E2="工业",SUMIF(L1:L12,G2,N1:N12),"——")</f>
        <v>0.13</v>
      </c>
      <c r="G83" s="1061">
        <v>1.6899999999999998E-2</v>
      </c>
      <c r="H83" s="1064">
        <f t="shared" ref="H83:H90" si="23">IFERROR(ROUNDDOWN($F$83*I83/2,4),"——")</f>
        <v>1.6899999999999998E-2</v>
      </c>
      <c r="I83" s="3362">
        <v>0.26</v>
      </c>
      <c r="J83" s="1062">
        <f t="shared" ref="J83:J90" si="24">K83+$G83</f>
        <v>3.3799999999999997E-2</v>
      </c>
      <c r="K83" s="1062">
        <f t="shared" ref="K83:K90" si="25">$L83+$G83</f>
        <v>1.6899999999999998E-2</v>
      </c>
      <c r="L83" s="1062">
        <v>0</v>
      </c>
      <c r="M83" s="1062">
        <f t="shared" ref="M83:N90" si="26">L83-$G83</f>
        <v>-1.6899999999999998E-2</v>
      </c>
      <c r="N83" s="1062">
        <f t="shared" si="26"/>
        <v>-3.3799999999999997E-2</v>
      </c>
      <c r="Z83" s="1994"/>
      <c r="AA83" s="2049"/>
      <c r="AG83" s="1117"/>
      <c r="AK83" s="2049"/>
    </row>
    <row r="84" spans="1:37" ht="52.8">
      <c r="A84" s="2126" t="s">
        <v>2053</v>
      </c>
      <c r="B84" s="2130" t="str">
        <f>估价对象房地状况!G16</f>
        <v>估价对象周边道路状况、公共交通通达情况、停车便捷程度，综合评价交通便捷度较好</v>
      </c>
      <c r="C84" s="3453" t="s">
        <v>3463</v>
      </c>
      <c r="D84" s="1063">
        <f t="shared" si="22"/>
        <v>0</v>
      </c>
      <c r="E84" s="745"/>
      <c r="F84" s="1810"/>
      <c r="G84" s="1061">
        <v>1.95E-2</v>
      </c>
      <c r="H84" s="1064">
        <f t="shared" si="23"/>
        <v>1.95E-2</v>
      </c>
      <c r="I84" s="3362">
        <v>0.3</v>
      </c>
      <c r="J84" s="1062">
        <f t="shared" si="24"/>
        <v>3.9E-2</v>
      </c>
      <c r="K84" s="1062">
        <f t="shared" si="25"/>
        <v>1.95E-2</v>
      </c>
      <c r="L84" s="1062">
        <v>0</v>
      </c>
      <c r="M84" s="1062">
        <f t="shared" si="26"/>
        <v>-1.95E-2</v>
      </c>
      <c r="N84" s="1062">
        <f t="shared" si="26"/>
        <v>-3.9E-2</v>
      </c>
      <c r="Z84" s="1994"/>
      <c r="AA84" s="2049"/>
      <c r="AG84" s="1117"/>
      <c r="AK84" s="2049"/>
    </row>
    <row r="85" spans="1:37" ht="48">
      <c r="A85" s="3364" t="s">
        <v>3275</v>
      </c>
      <c r="B85" s="2130">
        <f>估价对象房地状况!G17</f>
        <v>0</v>
      </c>
      <c r="C85" s="3453" t="s">
        <v>3424</v>
      </c>
      <c r="D85" s="1063">
        <f t="shared" si="22"/>
        <v>6.4999999999999997E-3</v>
      </c>
      <c r="E85" s="745"/>
      <c r="F85" s="1810"/>
      <c r="G85" s="1061">
        <v>6.4999999999999997E-3</v>
      </c>
      <c r="H85" s="1064">
        <f t="shared" si="23"/>
        <v>6.4999999999999997E-3</v>
      </c>
      <c r="I85" s="3362">
        <v>0.1</v>
      </c>
      <c r="J85" s="1062">
        <f t="shared" si="24"/>
        <v>1.2999999999999999E-2</v>
      </c>
      <c r="K85" s="1062">
        <f t="shared" si="25"/>
        <v>6.4999999999999997E-3</v>
      </c>
      <c r="L85" s="1062">
        <v>0</v>
      </c>
      <c r="M85" s="1062">
        <f t="shared" si="26"/>
        <v>-6.4999999999999997E-3</v>
      </c>
      <c r="N85" s="1062">
        <f t="shared" si="26"/>
        <v>-1.2999999999999999E-2</v>
      </c>
      <c r="Z85" s="1994"/>
      <c r="AA85" s="2049"/>
      <c r="AG85" s="1117"/>
      <c r="AK85" s="2049"/>
    </row>
    <row r="86" spans="1:37" ht="13.8">
      <c r="A86" s="2126" t="s">
        <v>2067</v>
      </c>
      <c r="B86" s="2130">
        <f>估价对象房地状况!G22</f>
        <v>0</v>
      </c>
      <c r="C86" s="3453" t="s">
        <v>3464</v>
      </c>
      <c r="D86" s="1063">
        <f t="shared" si="22"/>
        <v>-3.2000000000000002E-3</v>
      </c>
      <c r="E86" s="745"/>
      <c r="F86" s="1810"/>
      <c r="G86" s="1061">
        <v>3.2000000000000002E-3</v>
      </c>
      <c r="H86" s="1064">
        <f t="shared" si="23"/>
        <v>3.2000000000000002E-3</v>
      </c>
      <c r="I86" s="3362">
        <v>0.05</v>
      </c>
      <c r="J86" s="1062">
        <f t="shared" si="24"/>
        <v>6.4000000000000003E-3</v>
      </c>
      <c r="K86" s="1062">
        <f t="shared" si="25"/>
        <v>3.2000000000000002E-3</v>
      </c>
      <c r="L86" s="1062">
        <v>0</v>
      </c>
      <c r="M86" s="1062">
        <f t="shared" si="26"/>
        <v>-3.2000000000000002E-3</v>
      </c>
      <c r="N86" s="1062">
        <f t="shared" si="26"/>
        <v>-6.4000000000000003E-3</v>
      </c>
      <c r="Z86" s="1994"/>
      <c r="AA86" s="2049"/>
      <c r="AG86" s="1117"/>
      <c r="AK86" s="2049"/>
    </row>
    <row r="87" spans="1:37" ht="26.4">
      <c r="A87" s="2126" t="s">
        <v>2059</v>
      </c>
      <c r="B87" s="1322" t="str">
        <f>估价对象房地状况!G19</f>
        <v>估价对象所在区域公共配套设施齐备情况</v>
      </c>
      <c r="C87" s="3453" t="s">
        <v>3424</v>
      </c>
      <c r="D87" s="1063">
        <f t="shared" si="22"/>
        <v>3.8999999999999998E-3</v>
      </c>
      <c r="E87" s="745"/>
      <c r="F87" s="1810"/>
      <c r="G87" s="1061">
        <v>3.8999999999999998E-3</v>
      </c>
      <c r="H87" s="1064">
        <f t="shared" si="23"/>
        <v>3.8999999999999998E-3</v>
      </c>
      <c r="I87" s="3362">
        <v>0.06</v>
      </c>
      <c r="J87" s="1062">
        <f t="shared" si="24"/>
        <v>7.7999999999999996E-3</v>
      </c>
      <c r="K87" s="1062">
        <f t="shared" si="25"/>
        <v>3.8999999999999998E-3</v>
      </c>
      <c r="L87" s="1062">
        <v>0</v>
      </c>
      <c r="M87" s="1062">
        <f t="shared" si="26"/>
        <v>-3.8999999999999998E-3</v>
      </c>
      <c r="N87" s="1062">
        <f t="shared" si="26"/>
        <v>-7.7999999999999996E-3</v>
      </c>
    </row>
    <row r="88" spans="1:37" ht="26.4">
      <c r="A88" s="2126" t="s">
        <v>2060</v>
      </c>
      <c r="B88" s="1322" t="str">
        <f>估价对象房地状况!G20</f>
        <v>估价对象所在区域基础设施水平</v>
      </c>
      <c r="C88" s="3453" t="s">
        <v>3463</v>
      </c>
      <c r="D88" s="1063">
        <f t="shared" si="22"/>
        <v>0</v>
      </c>
      <c r="E88" s="745"/>
      <c r="F88" s="1810"/>
      <c r="G88" s="1061">
        <v>7.7999999999999996E-3</v>
      </c>
      <c r="H88" s="1064">
        <f t="shared" si="23"/>
        <v>7.7999999999999996E-3</v>
      </c>
      <c r="I88" s="3362">
        <v>0.12</v>
      </c>
      <c r="J88" s="1062">
        <f t="shared" si="24"/>
        <v>1.5599999999999999E-2</v>
      </c>
      <c r="K88" s="1062">
        <f t="shared" si="25"/>
        <v>7.7999999999999996E-3</v>
      </c>
      <c r="L88" s="1062">
        <v>0</v>
      </c>
      <c r="M88" s="1062">
        <f t="shared" si="26"/>
        <v>-7.7999999999999996E-3</v>
      </c>
      <c r="N88" s="1062">
        <f t="shared" si="26"/>
        <v>-1.5599999999999999E-2</v>
      </c>
    </row>
    <row r="89" spans="1:37" ht="36">
      <c r="A89" s="2126" t="s">
        <v>2057</v>
      </c>
      <c r="B89" s="2132" t="s">
        <v>2071</v>
      </c>
      <c r="C89" s="3453" t="s">
        <v>3428</v>
      </c>
      <c r="D89" s="1063">
        <f t="shared" si="22"/>
        <v>7.7999999999999996E-3</v>
      </c>
      <c r="E89" s="745"/>
      <c r="F89" s="1810"/>
      <c r="G89" s="1061">
        <v>3.8999999999999998E-3</v>
      </c>
      <c r="H89" s="1064">
        <f t="shared" si="23"/>
        <v>3.8999999999999998E-3</v>
      </c>
      <c r="I89" s="3362">
        <v>0.06</v>
      </c>
      <c r="J89" s="1062">
        <f t="shared" si="24"/>
        <v>7.7999999999999996E-3</v>
      </c>
      <c r="K89" s="1062">
        <f t="shared" si="25"/>
        <v>3.8999999999999998E-3</v>
      </c>
      <c r="L89" s="1062">
        <v>0</v>
      </c>
      <c r="M89" s="1062">
        <f t="shared" si="26"/>
        <v>-3.8999999999999998E-3</v>
      </c>
      <c r="N89" s="1062">
        <f t="shared" si="26"/>
        <v>-7.7999999999999996E-3</v>
      </c>
    </row>
    <row r="90" spans="1:37" ht="40.200000000000003" thickBot="1">
      <c r="A90" s="2134" t="s">
        <v>2072</v>
      </c>
      <c r="B90" s="2139" t="str">
        <f>估价对象房地状况!G18</f>
        <v>该园区内是否有污染型企业，绿化情况，卫生条件，整体环境状况判断</v>
      </c>
      <c r="C90" s="3453" t="s">
        <v>3424</v>
      </c>
      <c r="D90" s="1063">
        <f t="shared" si="22"/>
        <v>3.2000000000000002E-3</v>
      </c>
      <c r="E90" s="746"/>
      <c r="F90" s="1810"/>
      <c r="G90" s="1061">
        <v>3.2000000000000002E-3</v>
      </c>
      <c r="H90" s="1064">
        <f t="shared" si="23"/>
        <v>3.2000000000000002E-3</v>
      </c>
      <c r="I90" s="3363">
        <v>0.05</v>
      </c>
      <c r="J90" s="1062">
        <f t="shared" si="24"/>
        <v>6.4000000000000003E-3</v>
      </c>
      <c r="K90" s="1062">
        <f t="shared" si="25"/>
        <v>3.2000000000000002E-3</v>
      </c>
      <c r="L90" s="1062">
        <v>0</v>
      </c>
      <c r="M90" s="1062">
        <f t="shared" si="26"/>
        <v>-3.2000000000000002E-3</v>
      </c>
      <c r="N90" s="1062">
        <f t="shared" si="26"/>
        <v>-6.4000000000000003E-3</v>
      </c>
    </row>
    <row r="91" spans="1:37" ht="13.8">
      <c r="A91" s="3372" t="s">
        <v>2615</v>
      </c>
      <c r="B91" s="3373">
        <f>1+E93</f>
        <v>1</v>
      </c>
      <c r="C91" s="3366"/>
      <c r="D91" s="3367"/>
      <c r="E91" s="1810"/>
      <c r="F91" s="1810"/>
      <c r="G91" s="3368"/>
      <c r="H91" s="3369"/>
      <c r="I91" s="3370"/>
      <c r="J91" s="3371"/>
      <c r="K91" s="3371"/>
      <c r="L91" s="3371"/>
      <c r="M91" s="3371"/>
      <c r="N91" s="3371"/>
    </row>
    <row r="92" spans="1:37" ht="25.2">
      <c r="A92" s="3374" t="s">
        <v>3276</v>
      </c>
      <c r="B92" s="3361"/>
      <c r="C92" s="3361" t="s">
        <v>3285</v>
      </c>
      <c r="D92" s="3361" t="s">
        <v>3286</v>
      </c>
      <c r="E92" s="3343" t="s">
        <v>3287</v>
      </c>
      <c r="F92" s="3376" t="s">
        <v>3288</v>
      </c>
      <c r="G92" s="3361" t="s">
        <v>3289</v>
      </c>
      <c r="H92" s="3383" t="s">
        <v>3292</v>
      </c>
      <c r="I92" s="3361" t="s">
        <v>3293</v>
      </c>
      <c r="J92" s="3384" t="s">
        <v>3294</v>
      </c>
      <c r="K92" s="3384" t="s">
        <v>3295</v>
      </c>
      <c r="L92" s="3384" t="s">
        <v>3296</v>
      </c>
      <c r="M92" s="3384" t="s">
        <v>3297</v>
      </c>
      <c r="N92" s="3384" t="s">
        <v>3298</v>
      </c>
    </row>
    <row r="93" spans="1:37" ht="24">
      <c r="A93" s="3364" t="s">
        <v>3277</v>
      </c>
      <c r="B93" s="1302"/>
      <c r="C93" s="2040"/>
      <c r="D93" s="3361">
        <f>SUMIF($J$92:$N$92,C93,J93:N93)</f>
        <v>0</v>
      </c>
      <c r="E93" s="3377">
        <f>ROUND(SUM(D93:D101),4)</f>
        <v>0</v>
      </c>
      <c r="F93" s="1810"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2.8">
      <c r="A94" s="3374" t="s">
        <v>3278</v>
      </c>
      <c r="B94" s="3365" t="str">
        <f>估价对象房地状况!C18</f>
        <v>估价对象周边道路状况、公共交通通达情况、停车便捷程度，综合评价交通便捷度较好</v>
      </c>
      <c r="C94" s="2040"/>
      <c r="D94" s="3361">
        <f t="shared" ref="D94:D101" si="30">SUMIF($J$60:$N$60,C94,J94:N94)</f>
        <v>0</v>
      </c>
      <c r="E94" s="3378"/>
      <c r="F94" s="1810"/>
      <c r="G94" s="3368"/>
      <c r="H94" s="3416" t="str">
        <f>IFERROR(ROUNDDOWN($F$93*I94/2,4),"——")</f>
        <v>——</v>
      </c>
      <c r="I94" s="3362">
        <v>0.26</v>
      </c>
      <c r="J94" s="3340">
        <f t="shared" si="27"/>
        <v>0</v>
      </c>
      <c r="K94" s="3340">
        <f t="shared" si="28"/>
        <v>0</v>
      </c>
      <c r="L94" s="3340">
        <v>0</v>
      </c>
      <c r="M94" s="3340">
        <f t="shared" si="29"/>
        <v>0</v>
      </c>
      <c r="N94" s="3340">
        <f t="shared" si="29"/>
        <v>0</v>
      </c>
    </row>
    <row r="95" spans="1:37" ht="48">
      <c r="A95" s="3364" t="s">
        <v>3274</v>
      </c>
      <c r="B95" s="3365">
        <f>估价对象房地状况!C19</f>
        <v>0</v>
      </c>
      <c r="C95" s="2040"/>
      <c r="D95" s="3361">
        <f t="shared" si="30"/>
        <v>0</v>
      </c>
      <c r="E95" s="3378"/>
      <c r="F95" s="1810"/>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7.200000000000003">
      <c r="A96" s="3374" t="s">
        <v>3279</v>
      </c>
      <c r="B96" s="3380" t="s">
        <v>3290</v>
      </c>
      <c r="C96" s="2040"/>
      <c r="D96" s="3361">
        <f t="shared" si="30"/>
        <v>0</v>
      </c>
      <c r="E96" s="3378"/>
      <c r="F96" s="1810"/>
      <c r="G96" s="3368"/>
      <c r="H96" s="3416" t="str">
        <f t="shared" si="31"/>
        <v>——</v>
      </c>
      <c r="I96" s="3362">
        <v>0.05</v>
      </c>
      <c r="J96" s="3340">
        <f t="shared" si="27"/>
        <v>0</v>
      </c>
      <c r="K96" s="3340">
        <f t="shared" si="28"/>
        <v>0</v>
      </c>
      <c r="L96" s="3340">
        <v>0</v>
      </c>
      <c r="M96" s="3340">
        <f t="shared" si="29"/>
        <v>0</v>
      </c>
      <c r="N96" s="3340">
        <f t="shared" si="29"/>
        <v>0</v>
      </c>
    </row>
    <row r="97" spans="1:14" ht="24">
      <c r="A97" s="3374" t="s">
        <v>3280</v>
      </c>
      <c r="B97" s="3365">
        <f>估价对象房地状况!C24</f>
        <v>0</v>
      </c>
      <c r="C97" s="2040"/>
      <c r="D97" s="3361">
        <f t="shared" si="30"/>
        <v>0</v>
      </c>
      <c r="E97" s="3378"/>
      <c r="F97" s="1810"/>
      <c r="G97" s="3368"/>
      <c r="H97" s="3416" t="str">
        <f t="shared" si="31"/>
        <v>——</v>
      </c>
      <c r="I97" s="3362">
        <v>0.05</v>
      </c>
      <c r="J97" s="3340">
        <f t="shared" si="27"/>
        <v>0</v>
      </c>
      <c r="K97" s="3340">
        <f t="shared" si="28"/>
        <v>0</v>
      </c>
      <c r="L97" s="3340">
        <v>0</v>
      </c>
      <c r="M97" s="3340">
        <f t="shared" si="29"/>
        <v>0</v>
      </c>
      <c r="N97" s="3340">
        <f t="shared" si="29"/>
        <v>0</v>
      </c>
    </row>
    <row r="98" spans="1:14" ht="36">
      <c r="A98" s="3374" t="s">
        <v>3281</v>
      </c>
      <c r="B98" s="3381" t="s">
        <v>3291</v>
      </c>
      <c r="C98" s="2040"/>
      <c r="D98" s="3361">
        <f t="shared" si="30"/>
        <v>0</v>
      </c>
      <c r="E98" s="3378"/>
      <c r="F98" s="1810"/>
      <c r="G98" s="3368"/>
      <c r="H98" s="3416" t="str">
        <f t="shared" si="31"/>
        <v>——</v>
      </c>
      <c r="I98" s="3362">
        <v>0.06</v>
      </c>
      <c r="J98" s="3340">
        <f t="shared" si="27"/>
        <v>0</v>
      </c>
      <c r="K98" s="3340">
        <f t="shared" si="28"/>
        <v>0</v>
      </c>
      <c r="L98" s="3340">
        <v>0</v>
      </c>
      <c r="M98" s="3340">
        <f t="shared" si="29"/>
        <v>0</v>
      </c>
      <c r="N98" s="3340">
        <f t="shared" si="29"/>
        <v>0</v>
      </c>
    </row>
    <row r="99" spans="1:14" ht="26.4">
      <c r="A99" s="3374" t="s">
        <v>3282</v>
      </c>
      <c r="B99" s="3365" t="str">
        <f>估价对象房地状况!C21</f>
        <v>估价对象所在区域公共配套设施齐备情况</v>
      </c>
      <c r="C99" s="2040"/>
      <c r="D99" s="3361">
        <f t="shared" si="30"/>
        <v>0</v>
      </c>
      <c r="E99" s="3378"/>
      <c r="F99" s="1810"/>
      <c r="G99" s="3368"/>
      <c r="H99" s="3416" t="str">
        <f t="shared" si="31"/>
        <v>——</v>
      </c>
      <c r="I99" s="3362">
        <v>0.06</v>
      </c>
      <c r="J99" s="3340">
        <f t="shared" si="27"/>
        <v>0</v>
      </c>
      <c r="K99" s="3340">
        <f t="shared" si="28"/>
        <v>0</v>
      </c>
      <c r="L99" s="3340">
        <v>0</v>
      </c>
      <c r="M99" s="3340">
        <f t="shared" si="29"/>
        <v>0</v>
      </c>
      <c r="N99" s="3340">
        <f t="shared" si="29"/>
        <v>0</v>
      </c>
    </row>
    <row r="100" spans="1:14" ht="26.4">
      <c r="A100" s="3374" t="s">
        <v>3283</v>
      </c>
      <c r="B100" s="3365" t="str">
        <f>估价对象房地状况!C22</f>
        <v>估价对象所在区域基础设施水平</v>
      </c>
      <c r="C100" s="2040"/>
      <c r="D100" s="3361">
        <f t="shared" si="30"/>
        <v>0</v>
      </c>
      <c r="E100" s="3378"/>
      <c r="F100" s="1810"/>
      <c r="G100" s="3368"/>
      <c r="H100" s="3416" t="str">
        <f t="shared" si="31"/>
        <v>——</v>
      </c>
      <c r="I100" s="3362">
        <v>0.09</v>
      </c>
      <c r="J100" s="3340">
        <f t="shared" si="27"/>
        <v>0</v>
      </c>
      <c r="K100" s="3340">
        <f t="shared" si="28"/>
        <v>0</v>
      </c>
      <c r="L100" s="3340">
        <v>0</v>
      </c>
      <c r="M100" s="3340">
        <f t="shared" si="29"/>
        <v>0</v>
      </c>
      <c r="N100" s="3340">
        <f t="shared" si="29"/>
        <v>0</v>
      </c>
    </row>
    <row r="101" spans="1:14" ht="40.200000000000003" thickBot="1">
      <c r="A101" s="3375" t="s">
        <v>3284</v>
      </c>
      <c r="B101" s="3382" t="str">
        <f>估价对象房地状况!C20</f>
        <v>区域自然环境：；人文环境；综合评价环境状况一般</v>
      </c>
      <c r="C101" s="2040"/>
      <c r="D101" s="3361">
        <f t="shared" si="30"/>
        <v>0</v>
      </c>
      <c r="E101" s="3379"/>
      <c r="F101" s="1810"/>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8" t="s">
        <v>3299</v>
      </c>
      <c r="B103" s="3758"/>
      <c r="C103" s="3758"/>
      <c r="D103" s="3758"/>
      <c r="E103" s="3758"/>
      <c r="F103" s="3758"/>
      <c r="G103" s="3758"/>
      <c r="H103" s="3758"/>
      <c r="I103" s="3758"/>
      <c r="J103" s="3758"/>
      <c r="K103" s="3385"/>
      <c r="L103" s="3385"/>
      <c r="M103" s="3385"/>
      <c r="N103" s="3385"/>
    </row>
    <row r="104" spans="1:14">
      <c r="A104" s="3759" t="s">
        <v>3300</v>
      </c>
      <c r="B104" s="3759" t="s">
        <v>3301</v>
      </c>
      <c r="C104" s="3386" t="s">
        <v>3302</v>
      </c>
      <c r="D104" s="3387"/>
      <c r="E104" s="3387"/>
      <c r="F104" s="3387"/>
      <c r="G104" s="3387"/>
      <c r="H104" s="3387"/>
      <c r="I104" s="3387"/>
      <c r="J104" s="3388"/>
      <c r="K104" s="3389"/>
      <c r="L104" s="3389"/>
      <c r="M104" s="3389"/>
      <c r="N104" s="3389"/>
    </row>
    <row r="105" spans="1:14">
      <c r="A105" s="3759"/>
      <c r="B105" s="3759"/>
      <c r="C105" s="3390" t="s">
        <v>3303</v>
      </c>
      <c r="D105" s="3390" t="s">
        <v>3304</v>
      </c>
      <c r="E105" s="3390" t="s">
        <v>3305</v>
      </c>
      <c r="F105" s="3390" t="s">
        <v>3306</v>
      </c>
      <c r="G105" s="3390" t="s">
        <v>3307</v>
      </c>
      <c r="H105" s="3390" t="s">
        <v>3308</v>
      </c>
      <c r="I105" s="3390" t="s">
        <v>3309</v>
      </c>
      <c r="J105" s="3390" t="s">
        <v>3310</v>
      </c>
      <c r="K105" s="3390" t="s">
        <v>3311</v>
      </c>
      <c r="L105" s="3390" t="s">
        <v>3312</v>
      </c>
      <c r="M105" s="3390" t="s">
        <v>3313</v>
      </c>
      <c r="N105" s="3390" t="s">
        <v>3314</v>
      </c>
    </row>
    <row r="106" spans="1:14">
      <c r="A106" s="3745" t="s">
        <v>3315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6"/>
      <c r="B111" s="3390" t="s">
        <v>3273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48" t="s">
        <v>3316</v>
      </c>
      <c r="B113" s="3748"/>
      <c r="C113" s="3748"/>
      <c r="D113" s="3748"/>
      <c r="E113" s="3748"/>
      <c r="F113" s="3748"/>
      <c r="G113" s="3748"/>
      <c r="H113" s="3748"/>
      <c r="I113" s="3748"/>
      <c r="J113" s="374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8" thickBot="1">
      <c r="A115" s="3393"/>
      <c r="B115" s="3393"/>
      <c r="C115" s="3393"/>
      <c r="D115" s="3393"/>
      <c r="E115" s="3393"/>
      <c r="F115" s="3393"/>
      <c r="G115" s="3393"/>
      <c r="H115" s="3393"/>
      <c r="I115" s="3393"/>
      <c r="J115" s="3393"/>
      <c r="K115" s="3352"/>
      <c r="L115" s="3393"/>
      <c r="M115" s="3393"/>
      <c r="N115" s="3393"/>
    </row>
    <row r="116" spans="1:14" ht="25.8" thickBot="1">
      <c r="A116" s="3394" t="s">
        <v>3317</v>
      </c>
      <c r="B116" s="3411">
        <f>G3</f>
        <v>2</v>
      </c>
      <c r="C116" s="3395" t="s">
        <v>3318</v>
      </c>
      <c r="D116" s="3396">
        <f>SUMPRODUCT((A118:A122=F116)*(B117:M117=H116)*B118:M122)</f>
        <v>0.55249999999999999</v>
      </c>
      <c r="E116" s="1996" t="s">
        <v>3319</v>
      </c>
      <c r="F116" s="3397" t="str">
        <f>E2</f>
        <v>工业</v>
      </c>
      <c r="G116" s="1996" t="s">
        <v>3320</v>
      </c>
      <c r="H116" s="3397" t="str">
        <f>G2</f>
        <v>九级</v>
      </c>
      <c r="I116" s="1996"/>
      <c r="J116" s="3398"/>
      <c r="K116" s="3398"/>
      <c r="L116" s="3398"/>
      <c r="M116" s="3398"/>
      <c r="N116" s="3393"/>
    </row>
    <row r="117" spans="1:14">
      <c r="A117" s="3399"/>
      <c r="B117" s="3400" t="s">
        <v>3321</v>
      </c>
      <c r="C117" s="3400" t="s">
        <v>3322</v>
      </c>
      <c r="D117" s="3400" t="s">
        <v>3323</v>
      </c>
      <c r="E117" s="3401" t="s">
        <v>3324</v>
      </c>
      <c r="F117" s="3401" t="s">
        <v>3325</v>
      </c>
      <c r="G117" s="3401" t="s">
        <v>3326</v>
      </c>
      <c r="H117" s="3402" t="s">
        <v>3327</v>
      </c>
      <c r="I117" s="3402" t="s">
        <v>3328</v>
      </c>
      <c r="J117" s="3403" t="s">
        <v>3329</v>
      </c>
      <c r="K117" s="3403" t="s">
        <v>3330</v>
      </c>
      <c r="L117" s="3403" t="s">
        <v>3331</v>
      </c>
      <c r="M117" s="3404" t="s">
        <v>3332</v>
      </c>
      <c r="N117" s="3393"/>
    </row>
    <row r="118" spans="1:14">
      <c r="A118" s="3405" t="s">
        <v>3333</v>
      </c>
      <c r="B118" s="3383">
        <f>ROUND(0.9968-0.011*B116,4)</f>
        <v>0.9748</v>
      </c>
      <c r="C118" s="3383">
        <f>B118</f>
        <v>0.9748</v>
      </c>
      <c r="D118" s="3383">
        <f>ROUND(0.949-0.014*B116,4)</f>
        <v>0.92100000000000004</v>
      </c>
      <c r="E118" s="3383">
        <f>D118</f>
        <v>0.92100000000000004</v>
      </c>
      <c r="F118" s="3383">
        <f>E118</f>
        <v>0.92100000000000004</v>
      </c>
      <c r="G118" s="3383">
        <f>F118</f>
        <v>0.92100000000000004</v>
      </c>
      <c r="H118" s="3383">
        <f>G118</f>
        <v>0.92100000000000004</v>
      </c>
      <c r="I118" s="3383">
        <f>ROUND(0.8486-0.018*B116,4)</f>
        <v>0.81259999999999999</v>
      </c>
      <c r="J118" s="3383">
        <f t="shared" ref="J118:M122" si="35">I118</f>
        <v>0.81259999999999999</v>
      </c>
      <c r="K118" s="3383">
        <f t="shared" si="35"/>
        <v>0.81259999999999999</v>
      </c>
      <c r="L118" s="3383">
        <f t="shared" si="35"/>
        <v>0.81259999999999999</v>
      </c>
      <c r="M118" s="3406">
        <f t="shared" si="35"/>
        <v>0.81259999999999999</v>
      </c>
      <c r="N118" s="3393"/>
    </row>
    <row r="119" spans="1:14">
      <c r="A119" s="3405" t="s">
        <v>3334</v>
      </c>
      <c r="B119" s="3383">
        <f>ROUND(0.993-0.0112*B116,4)</f>
        <v>0.97060000000000002</v>
      </c>
      <c r="C119" s="3383">
        <f>B119</f>
        <v>0.97060000000000002</v>
      </c>
      <c r="D119" s="3383">
        <f>ROUND(0.9415-0.0142*B116,4)</f>
        <v>0.91310000000000002</v>
      </c>
      <c r="E119" s="3383">
        <f t="shared" ref="E119:H120" si="36">D119</f>
        <v>0.91310000000000002</v>
      </c>
      <c r="F119" s="3383">
        <f t="shared" si="36"/>
        <v>0.91310000000000002</v>
      </c>
      <c r="G119" s="3383">
        <f t="shared" si="36"/>
        <v>0.91310000000000002</v>
      </c>
      <c r="H119" s="3383">
        <f t="shared" si="36"/>
        <v>0.91310000000000002</v>
      </c>
      <c r="I119" s="3383">
        <f>ROUND(0.838-0.0182*B116,4)</f>
        <v>0.80159999999999998</v>
      </c>
      <c r="J119" s="3383">
        <f t="shared" si="35"/>
        <v>0.80159999999999998</v>
      </c>
      <c r="K119" s="3383">
        <f t="shared" si="35"/>
        <v>0.80159999999999998</v>
      </c>
      <c r="L119" s="3383">
        <f t="shared" si="35"/>
        <v>0.80159999999999998</v>
      </c>
      <c r="M119" s="3406">
        <f t="shared" si="35"/>
        <v>0.80159999999999998</v>
      </c>
      <c r="N119" s="3393"/>
    </row>
    <row r="120" spans="1:14">
      <c r="A120" s="3405" t="s">
        <v>3335</v>
      </c>
      <c r="B120" s="3383">
        <f>ROUND(0.9448-0.0115*B116,4)</f>
        <v>0.92179999999999995</v>
      </c>
      <c r="C120" s="3383">
        <f>B120</f>
        <v>0.92179999999999995</v>
      </c>
      <c r="D120" s="3383">
        <f>ROUND(0.937-0.0145*B116,4)</f>
        <v>0.90800000000000003</v>
      </c>
      <c r="E120" s="3383">
        <f t="shared" si="36"/>
        <v>0.90800000000000003</v>
      </c>
      <c r="F120" s="3383">
        <f t="shared" si="36"/>
        <v>0.90800000000000003</v>
      </c>
      <c r="G120" s="3383">
        <f t="shared" si="36"/>
        <v>0.90800000000000003</v>
      </c>
      <c r="H120" s="3383">
        <f t="shared" si="36"/>
        <v>0.90800000000000003</v>
      </c>
      <c r="I120" s="3383">
        <f>ROUND(0.7965-0.0185*B116,4)</f>
        <v>0.75949999999999995</v>
      </c>
      <c r="J120" s="3383">
        <f t="shared" si="35"/>
        <v>0.75949999999999995</v>
      </c>
      <c r="K120" s="3383">
        <f t="shared" si="35"/>
        <v>0.75949999999999995</v>
      </c>
      <c r="L120" s="3383">
        <f t="shared" si="35"/>
        <v>0.75949999999999995</v>
      </c>
      <c r="M120" s="3406">
        <f t="shared" si="35"/>
        <v>0.75949999999999995</v>
      </c>
      <c r="N120" s="3393"/>
    </row>
    <row r="121" spans="1:14" ht="13.8" thickBot="1">
      <c r="A121" s="3407" t="s">
        <v>3336</v>
      </c>
      <c r="B121" s="3408">
        <f>ROUND(0.7836-0.012*B116,4)</f>
        <v>0.75960000000000005</v>
      </c>
      <c r="C121" s="3408">
        <f>B121</f>
        <v>0.75960000000000005</v>
      </c>
      <c r="D121" s="3408">
        <f>ROUND(0.753-0.015*B116,4)</f>
        <v>0.72299999999999998</v>
      </c>
      <c r="E121" s="3408">
        <f>D121</f>
        <v>0.72299999999999998</v>
      </c>
      <c r="F121" s="3408">
        <f>E121</f>
        <v>0.72299999999999998</v>
      </c>
      <c r="G121" s="3408">
        <f>ROUND(0.6612-0.018*B116,4)</f>
        <v>0.62519999999999998</v>
      </c>
      <c r="H121" s="3408">
        <f>G121</f>
        <v>0.62519999999999998</v>
      </c>
      <c r="I121" s="3408">
        <f>ROUND(0.5905-0.019*B116,4)</f>
        <v>0.55249999999999999</v>
      </c>
      <c r="J121" s="3408">
        <f t="shared" si="35"/>
        <v>0.55249999999999999</v>
      </c>
      <c r="K121" s="3408">
        <f t="shared" si="35"/>
        <v>0.55249999999999999</v>
      </c>
      <c r="L121" s="3408">
        <f t="shared" si="35"/>
        <v>0.55249999999999999</v>
      </c>
      <c r="M121" s="3409">
        <f t="shared" si="35"/>
        <v>0.55249999999999999</v>
      </c>
      <c r="N121" s="3393"/>
    </row>
    <row r="122" spans="1:14">
      <c r="A122" s="3410" t="s">
        <v>2615</v>
      </c>
      <c r="B122" s="3383">
        <f>ROUND(0.9404-0.0106*B116,4)</f>
        <v>0.91920000000000002</v>
      </c>
      <c r="C122" s="3383">
        <f>B122</f>
        <v>0.91920000000000002</v>
      </c>
      <c r="D122" s="3383">
        <f>ROUND(0.8955-0.0135*B116,4)</f>
        <v>0.86850000000000005</v>
      </c>
      <c r="E122" s="3383">
        <f t="shared" ref="E122:H122" si="37">D122</f>
        <v>0.86850000000000005</v>
      </c>
      <c r="F122" s="3383">
        <f t="shared" si="37"/>
        <v>0.86850000000000005</v>
      </c>
      <c r="G122" s="3383">
        <f t="shared" si="37"/>
        <v>0.86850000000000005</v>
      </c>
      <c r="H122" s="3383">
        <f t="shared" si="37"/>
        <v>0.86850000000000005</v>
      </c>
      <c r="I122" s="3383">
        <f>ROUND(0.7632-0.0166*B116,4)</f>
        <v>0.73</v>
      </c>
      <c r="J122" s="3383">
        <f t="shared" si="35"/>
        <v>0.73</v>
      </c>
      <c r="K122" s="3383">
        <f t="shared" si="35"/>
        <v>0.73</v>
      </c>
      <c r="L122" s="3383">
        <f t="shared" si="35"/>
        <v>0.73</v>
      </c>
      <c r="M122" s="3406">
        <f t="shared" si="35"/>
        <v>0.73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9" customWidth="1"/>
    <col min="14" max="14" width="10" style="3069" customWidth="1"/>
    <col min="15" max="16" width="8.21875" style="3069"/>
    <col min="17" max="17" width="34.109375" style="3069" customWidth="1"/>
    <col min="18" max="18" width="8.21875" style="3069" customWidth="1"/>
    <col min="19" max="19" width="8.21875" style="3069"/>
    <col min="20" max="20" width="11.6640625" style="3069" customWidth="1"/>
    <col min="21" max="16384" width="8.21875" style="3069"/>
  </cols>
  <sheetData>
    <row r="1" spans="1:13" ht="19.5" customHeight="1" thickBot="1">
      <c r="A1" s="3066" t="s">
        <v>2597</v>
      </c>
      <c r="B1" s="3067" t="s">
        <v>2598</v>
      </c>
      <c r="C1" s="3067" t="s">
        <v>2599</v>
      </c>
      <c r="D1" s="3067" t="s">
        <v>2600</v>
      </c>
      <c r="E1" s="3067" t="s">
        <v>2601</v>
      </c>
      <c r="F1" s="3067" t="s">
        <v>2602</v>
      </c>
      <c r="G1" s="3067" t="s">
        <v>2603</v>
      </c>
      <c r="H1" s="3067" t="s">
        <v>2604</v>
      </c>
      <c r="I1" s="3067" t="s">
        <v>2605</v>
      </c>
      <c r="J1" s="3067" t="s">
        <v>2606</v>
      </c>
      <c r="K1" s="3067" t="s">
        <v>2607</v>
      </c>
      <c r="L1" s="3067" t="s">
        <v>2608</v>
      </c>
      <c r="M1" s="3068" t="s">
        <v>2609</v>
      </c>
    </row>
    <row r="2" spans="1:13" ht="19.5" customHeight="1">
      <c r="A2" s="3070" t="s">
        <v>2610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2626</v>
      </c>
      <c r="B18" s="3092"/>
      <c r="C18" s="3093"/>
      <c r="D18" s="3093"/>
      <c r="E18" s="3092"/>
      <c r="F18" s="3093"/>
      <c r="G18" s="3093"/>
    </row>
    <row r="19" spans="1:13" ht="19.5" customHeight="1" thickBot="1">
      <c r="A19" s="3090" t="s">
        <v>2627</v>
      </c>
      <c r="B19" s="3095" t="s">
        <v>2628</v>
      </c>
      <c r="C19" s="3095" t="s">
        <v>2629</v>
      </c>
      <c r="D19" s="3096"/>
      <c r="E19" s="3090" t="s">
        <v>2630</v>
      </c>
      <c r="F19" s="3097"/>
      <c r="G19" s="3097"/>
    </row>
    <row r="20" spans="1:13" ht="19.5" customHeight="1">
      <c r="A20" s="3771" t="s">
        <v>2610</v>
      </c>
      <c r="B20" s="3764" t="s">
        <v>2631</v>
      </c>
      <c r="C20" s="3098" t="s">
        <v>2442</v>
      </c>
      <c r="D20" s="3099"/>
      <c r="E20" s="3100">
        <v>1</v>
      </c>
      <c r="F20" s="3101" t="s">
        <v>2443</v>
      </c>
      <c r="G20" s="3101"/>
    </row>
    <row r="21" spans="1:13" ht="19.5" customHeight="1">
      <c r="A21" s="3772"/>
      <c r="B21" s="3765"/>
      <c r="C21" s="3102" t="s">
        <v>2444</v>
      </c>
      <c r="D21" s="3103"/>
      <c r="E21" s="3104">
        <v>1</v>
      </c>
      <c r="F21" s="3101" t="s">
        <v>2445</v>
      </c>
      <c r="G21" s="3101"/>
    </row>
    <row r="22" spans="1:13" ht="19.5" customHeight="1">
      <c r="A22" s="3772"/>
      <c r="B22" s="3765"/>
      <c r="C22" s="3102" t="s">
        <v>2446</v>
      </c>
      <c r="D22" s="3103"/>
      <c r="E22" s="3104">
        <v>0.9</v>
      </c>
      <c r="F22" s="3101" t="s">
        <v>2447</v>
      </c>
      <c r="G22" s="3101"/>
    </row>
    <row r="23" spans="1:13" ht="19.5" customHeight="1">
      <c r="A23" s="3772"/>
      <c r="B23" s="3765"/>
      <c r="C23" s="3102" t="s">
        <v>2448</v>
      </c>
      <c r="D23" s="3103"/>
      <c r="E23" s="3104">
        <v>0.9</v>
      </c>
      <c r="F23" s="3101" t="s">
        <v>2449</v>
      </c>
      <c r="G23" s="3101"/>
    </row>
    <row r="24" spans="1:13" ht="19.5" customHeight="1">
      <c r="A24" s="3772"/>
      <c r="B24" s="3765"/>
      <c r="C24" s="3102" t="s">
        <v>2450</v>
      </c>
      <c r="D24" s="3103"/>
      <c r="E24" s="3104">
        <v>0.8</v>
      </c>
      <c r="F24" s="3101" t="s">
        <v>2451</v>
      </c>
      <c r="G24" s="3101"/>
    </row>
    <row r="25" spans="1:13" ht="19.5" customHeight="1" thickBot="1">
      <c r="A25" s="3773"/>
      <c r="B25" s="3766"/>
      <c r="C25" s="3105" t="s">
        <v>2452</v>
      </c>
      <c r="D25" s="3106"/>
      <c r="E25" s="3107">
        <v>0.8</v>
      </c>
      <c r="F25" s="3101" t="s">
        <v>2453</v>
      </c>
      <c r="G25" s="3101"/>
    </row>
    <row r="26" spans="1:13" ht="19.5" customHeight="1" thickBot="1">
      <c r="A26" s="3108" t="s">
        <v>2632</v>
      </c>
      <c r="B26" s="3109" t="s">
        <v>2631</v>
      </c>
      <c r="C26" s="3110" t="s">
        <v>2633</v>
      </c>
      <c r="D26" s="3111"/>
      <c r="E26" s="3112">
        <v>1</v>
      </c>
      <c r="F26" s="3101" t="s">
        <v>2454</v>
      </c>
      <c r="G26" s="3101"/>
    </row>
    <row r="27" spans="1:13" ht="19.5" customHeight="1">
      <c r="A27" s="3767" t="s">
        <v>2634</v>
      </c>
      <c r="B27" s="3764" t="s">
        <v>2615</v>
      </c>
      <c r="C27" s="3098" t="s">
        <v>2455</v>
      </c>
      <c r="D27" s="3099"/>
      <c r="E27" s="3100">
        <v>1</v>
      </c>
      <c r="F27" s="3101" t="s">
        <v>2456</v>
      </c>
      <c r="G27" s="3101"/>
    </row>
    <row r="28" spans="1:13" ht="19.5" customHeight="1">
      <c r="A28" s="3768"/>
      <c r="B28" s="3765"/>
      <c r="C28" s="3102" t="s">
        <v>2457</v>
      </c>
      <c r="D28" s="3103"/>
      <c r="E28" s="3104">
        <v>1</v>
      </c>
      <c r="F28" s="3101" t="s">
        <v>2458</v>
      </c>
      <c r="G28" s="3101"/>
    </row>
    <row r="29" spans="1:13" ht="19.5" customHeight="1">
      <c r="A29" s="3768"/>
      <c r="B29" s="3765"/>
      <c r="C29" s="3102" t="s">
        <v>2459</v>
      </c>
      <c r="D29" s="3103"/>
      <c r="E29" s="3104">
        <v>0.8</v>
      </c>
      <c r="F29" s="3101" t="s">
        <v>2460</v>
      </c>
      <c r="G29" s="3101"/>
    </row>
    <row r="30" spans="1:13" ht="19.5" customHeight="1">
      <c r="A30" s="3768"/>
      <c r="B30" s="3765"/>
      <c r="C30" s="3102" t="s">
        <v>2461</v>
      </c>
      <c r="D30" s="3103"/>
      <c r="E30" s="3104">
        <v>0.8</v>
      </c>
      <c r="F30" s="3101" t="s">
        <v>2462</v>
      </c>
      <c r="G30" s="3101"/>
    </row>
    <row r="31" spans="1:13" ht="19.5" customHeight="1">
      <c r="A31" s="3768"/>
      <c r="B31" s="3765"/>
      <c r="C31" s="3102" t="s">
        <v>2463</v>
      </c>
      <c r="D31" s="3103"/>
      <c r="E31" s="3104">
        <v>0.8</v>
      </c>
      <c r="F31" s="3101" t="s">
        <v>2464</v>
      </c>
      <c r="G31" s="3101"/>
    </row>
    <row r="32" spans="1:13" ht="19.5" customHeight="1">
      <c r="A32" s="3768"/>
      <c r="B32" s="3765"/>
      <c r="C32" s="3102" t="s">
        <v>2465</v>
      </c>
      <c r="D32" s="3103"/>
      <c r="E32" s="3104">
        <v>0.7</v>
      </c>
      <c r="F32" s="3101" t="s">
        <v>2466</v>
      </c>
      <c r="G32" s="3101"/>
    </row>
    <row r="33" spans="1:7" ht="19.5" customHeight="1">
      <c r="A33" s="3768"/>
      <c r="B33" s="3765"/>
      <c r="C33" s="3102" t="s">
        <v>2467</v>
      </c>
      <c r="D33" s="3103"/>
      <c r="E33" s="3104">
        <v>0.8</v>
      </c>
      <c r="F33" s="3101" t="s">
        <v>2468</v>
      </c>
      <c r="G33" s="3101"/>
    </row>
    <row r="34" spans="1:7" ht="19.5" customHeight="1">
      <c r="A34" s="3768"/>
      <c r="B34" s="3765"/>
      <c r="C34" s="3102" t="s">
        <v>2469</v>
      </c>
      <c r="D34" s="3103"/>
      <c r="E34" s="3104">
        <v>0.6</v>
      </c>
      <c r="F34" s="3101" t="s">
        <v>2470</v>
      </c>
      <c r="G34" s="3101"/>
    </row>
    <row r="35" spans="1:7" ht="19.5" customHeight="1">
      <c r="A35" s="3768"/>
      <c r="B35" s="3765"/>
      <c r="C35" s="3102" t="s">
        <v>2471</v>
      </c>
      <c r="D35" s="3103"/>
      <c r="E35" s="3104">
        <v>0.2</v>
      </c>
      <c r="F35" s="3101" t="s">
        <v>2472</v>
      </c>
      <c r="G35" s="3101"/>
    </row>
    <row r="36" spans="1:7" ht="19.5" customHeight="1">
      <c r="A36" s="3768"/>
      <c r="B36" s="3765"/>
      <c r="C36" s="3102" t="s">
        <v>2473</v>
      </c>
      <c r="D36" s="3103"/>
      <c r="E36" s="3104">
        <v>0.2</v>
      </c>
      <c r="F36" s="3101" t="s">
        <v>2474</v>
      </c>
      <c r="G36" s="3101"/>
    </row>
    <row r="37" spans="1:7" ht="19.5" customHeight="1">
      <c r="A37" s="3768"/>
      <c r="B37" s="3770" t="s">
        <v>2635</v>
      </c>
      <c r="C37" s="3102" t="s">
        <v>2475</v>
      </c>
      <c r="D37" s="3103"/>
      <c r="E37" s="3104">
        <v>0.6</v>
      </c>
      <c r="F37" s="3101" t="s">
        <v>2476</v>
      </c>
      <c r="G37" s="3101"/>
    </row>
    <row r="38" spans="1:7" ht="19.5" customHeight="1">
      <c r="A38" s="3768"/>
      <c r="B38" s="3765"/>
      <c r="C38" s="3102" t="s">
        <v>2477</v>
      </c>
      <c r="D38" s="3103"/>
      <c r="E38" s="3104">
        <v>0.6</v>
      </c>
      <c r="F38" s="3101" t="s">
        <v>2478</v>
      </c>
      <c r="G38" s="3101"/>
    </row>
    <row r="39" spans="1:7" ht="19.5" customHeight="1" thickBot="1">
      <c r="A39" s="3769"/>
      <c r="B39" s="3766"/>
      <c r="C39" s="3105" t="s">
        <v>2479</v>
      </c>
      <c r="D39" s="3106"/>
      <c r="E39" s="3107">
        <v>0.6</v>
      </c>
      <c r="F39" s="3101" t="s">
        <v>2480</v>
      </c>
      <c r="G39" s="3101"/>
    </row>
    <row r="40" spans="1:7" ht="19.5" customHeight="1" thickBot="1">
      <c r="A40" s="3108" t="s">
        <v>2612</v>
      </c>
      <c r="B40" s="3109" t="s">
        <v>2612</v>
      </c>
      <c r="C40" s="3110" t="s">
        <v>2636</v>
      </c>
      <c r="D40" s="3111"/>
      <c r="E40" s="3112">
        <v>1</v>
      </c>
      <c r="F40" s="3101" t="s">
        <v>2481</v>
      </c>
      <c r="G40" s="3101"/>
    </row>
    <row r="41" spans="1:7" ht="19.5" customHeight="1">
      <c r="A41" s="3771" t="s">
        <v>2613</v>
      </c>
      <c r="B41" s="3764" t="s">
        <v>2637</v>
      </c>
      <c r="C41" s="3098" t="s">
        <v>2482</v>
      </c>
      <c r="D41" s="3099"/>
      <c r="E41" s="3100">
        <v>1</v>
      </c>
      <c r="F41" s="3101" t="s">
        <v>2483</v>
      </c>
      <c r="G41" s="3101"/>
    </row>
    <row r="42" spans="1:7" ht="19.5" customHeight="1">
      <c r="A42" s="3772"/>
      <c r="B42" s="3765"/>
      <c r="C42" s="3102" t="s">
        <v>2484</v>
      </c>
      <c r="D42" s="3103"/>
      <c r="E42" s="3104">
        <v>1</v>
      </c>
      <c r="F42" s="3101" t="s">
        <v>2485</v>
      </c>
      <c r="G42" s="3101"/>
    </row>
    <row r="43" spans="1:7" ht="19.5" customHeight="1">
      <c r="A43" s="3772"/>
      <c r="B43" s="3774"/>
      <c r="C43" s="3102" t="s">
        <v>2486</v>
      </c>
      <c r="D43" s="3103"/>
      <c r="E43" s="3104">
        <v>1.5</v>
      </c>
      <c r="F43" s="3101" t="s">
        <v>2487</v>
      </c>
      <c r="G43" s="3101"/>
    </row>
    <row r="44" spans="1:7" ht="19.5" customHeight="1">
      <c r="A44" s="3772"/>
      <c r="B44" s="3113" t="s">
        <v>2638</v>
      </c>
      <c r="C44" s="3102" t="s">
        <v>2639</v>
      </c>
      <c r="D44" s="3103"/>
      <c r="E44" s="3104">
        <v>2</v>
      </c>
      <c r="F44" s="3101" t="s">
        <v>2488</v>
      </c>
      <c r="G44" s="3101"/>
    </row>
    <row r="45" spans="1:7" ht="19.5" customHeight="1">
      <c r="A45" s="3772"/>
      <c r="B45" s="3770" t="s">
        <v>2640</v>
      </c>
      <c r="C45" s="3102" t="s">
        <v>2489</v>
      </c>
      <c r="D45" s="3103"/>
      <c r="E45" s="3104">
        <v>1</v>
      </c>
      <c r="F45" s="3101" t="s">
        <v>2490</v>
      </c>
      <c r="G45" s="3101"/>
    </row>
    <row r="46" spans="1:7" ht="19.5" customHeight="1">
      <c r="A46" s="3772"/>
      <c r="B46" s="3765"/>
      <c r="C46" s="3102" t="s">
        <v>2491</v>
      </c>
      <c r="D46" s="3103"/>
      <c r="E46" s="3104">
        <v>1</v>
      </c>
      <c r="F46" s="3101" t="s">
        <v>2492</v>
      </c>
      <c r="G46" s="3101"/>
    </row>
    <row r="47" spans="1:7" ht="19.5" customHeight="1">
      <c r="A47" s="3772"/>
      <c r="B47" s="3765"/>
      <c r="C47" s="3102" t="s">
        <v>2493</v>
      </c>
      <c r="D47" s="3103"/>
      <c r="E47" s="3104">
        <v>1</v>
      </c>
      <c r="F47" s="3101" t="s">
        <v>2494</v>
      </c>
      <c r="G47" s="3101"/>
    </row>
    <row r="48" spans="1:7" ht="19.5" customHeight="1">
      <c r="A48" s="3772"/>
      <c r="B48" s="3765"/>
      <c r="C48" s="3102" t="s">
        <v>2495</v>
      </c>
      <c r="D48" s="3103"/>
      <c r="E48" s="3104">
        <v>1</v>
      </c>
      <c r="F48" s="3101" t="s">
        <v>2496</v>
      </c>
      <c r="G48" s="3101"/>
    </row>
    <row r="49" spans="1:7" ht="19.5" customHeight="1">
      <c r="A49" s="3772"/>
      <c r="B49" s="3765"/>
      <c r="C49" s="3102" t="s">
        <v>2497</v>
      </c>
      <c r="D49" s="3103"/>
      <c r="E49" s="3104">
        <v>1</v>
      </c>
      <c r="F49" s="3101" t="s">
        <v>2498</v>
      </c>
      <c r="G49" s="3101"/>
    </row>
    <row r="50" spans="1:7" ht="19.5" customHeight="1">
      <c r="A50" s="3772"/>
      <c r="B50" s="3765"/>
      <c r="C50" s="3102" t="s">
        <v>2499</v>
      </c>
      <c r="D50" s="3103"/>
      <c r="E50" s="3104">
        <v>1</v>
      </c>
      <c r="F50" s="3101" t="s">
        <v>2500</v>
      </c>
      <c r="G50" s="3101"/>
    </row>
    <row r="51" spans="1:7" ht="19.5" customHeight="1" thickBot="1">
      <c r="A51" s="3773"/>
      <c r="B51" s="3766"/>
      <c r="C51" s="3105" t="s">
        <v>2501</v>
      </c>
      <c r="D51" s="3106"/>
      <c r="E51" s="3107">
        <v>1</v>
      </c>
      <c r="F51" s="3101" t="s">
        <v>2502</v>
      </c>
      <c r="G51" s="3101"/>
    </row>
    <row r="52" spans="1:7" ht="19.5" customHeight="1">
      <c r="A52" s="3114"/>
      <c r="B52" s="3114"/>
      <c r="C52" s="3114"/>
      <c r="D52" s="3114"/>
      <c r="E52" s="3114"/>
      <c r="F52" s="3114"/>
      <c r="G52" s="3114"/>
    </row>
    <row r="54" spans="1:7" ht="19.5" customHeight="1">
      <c r="A54" s="3115"/>
      <c r="B54" s="3087" t="s">
        <v>2641</v>
      </c>
      <c r="C54" s="3087" t="s">
        <v>2641</v>
      </c>
      <c r="D54" s="3087" t="s">
        <v>2641</v>
      </c>
      <c r="E54" s="3090" t="s">
        <v>2641</v>
      </c>
      <c r="F54" s="3090" t="s">
        <v>2642</v>
      </c>
      <c r="G54" s="3090" t="s">
        <v>2643</v>
      </c>
    </row>
    <row r="55" spans="1:7" ht="19.5" customHeight="1">
      <c r="A55" s="3116"/>
      <c r="B55" s="3090" t="s">
        <v>2610</v>
      </c>
      <c r="C55" s="3090" t="s">
        <v>2610</v>
      </c>
      <c r="D55" s="3090" t="s">
        <v>2610</v>
      </c>
      <c r="E55" s="3087" t="s">
        <v>2611</v>
      </c>
      <c r="F55" s="3087" t="s">
        <v>2613</v>
      </c>
      <c r="G55" s="3087" t="s">
        <v>2644</v>
      </c>
    </row>
    <row r="56" spans="1:7" ht="19.5" customHeight="1">
      <c r="A56" s="3117"/>
      <c r="B56" s="3087">
        <v>1</v>
      </c>
      <c r="C56" s="3087">
        <v>2</v>
      </c>
      <c r="D56" s="3087">
        <v>3</v>
      </c>
      <c r="E56" s="3118" t="s">
        <v>2645</v>
      </c>
      <c r="F56" s="3118" t="s">
        <v>2645</v>
      </c>
      <c r="G56" s="3118" t="s">
        <v>2645</v>
      </c>
    </row>
    <row r="57" spans="1:7" ht="19.5" customHeight="1">
      <c r="A57" s="3119" t="s">
        <v>2598</v>
      </c>
      <c r="B57" s="3087">
        <v>0.7</v>
      </c>
      <c r="C57" s="3087">
        <v>0.4</v>
      </c>
      <c r="D57" s="3087">
        <v>0.3</v>
      </c>
      <c r="E57" s="3118">
        <v>0.3</v>
      </c>
      <c r="F57" s="3087">
        <v>0.3</v>
      </c>
      <c r="G57" s="3087">
        <v>0.2</v>
      </c>
    </row>
    <row r="58" spans="1:7" ht="19.5" customHeight="1">
      <c r="A58" s="3119" t="s">
        <v>2599</v>
      </c>
      <c r="B58" s="3087">
        <v>0.7</v>
      </c>
      <c r="C58" s="3087">
        <v>0.4</v>
      </c>
      <c r="D58" s="3087">
        <v>0.3</v>
      </c>
      <c r="E58" s="3087">
        <v>0.3</v>
      </c>
      <c r="F58" s="3087">
        <v>0.3</v>
      </c>
      <c r="G58" s="3087">
        <v>0.2</v>
      </c>
    </row>
    <row r="59" spans="1:7" ht="19.5" customHeight="1">
      <c r="A59" s="3119" t="s">
        <v>2600</v>
      </c>
      <c r="B59" s="3087">
        <v>0.6</v>
      </c>
      <c r="C59" s="3087">
        <v>0.3</v>
      </c>
      <c r="D59" s="3087">
        <v>0.25</v>
      </c>
      <c r="E59" s="3087">
        <v>0.25</v>
      </c>
      <c r="F59" s="3087">
        <v>0.25</v>
      </c>
      <c r="G59" s="3087">
        <v>0.15</v>
      </c>
    </row>
    <row r="60" spans="1:7" ht="19.5" customHeight="1">
      <c r="A60" s="3119" t="s">
        <v>2601</v>
      </c>
      <c r="B60" s="3087">
        <v>0.6</v>
      </c>
      <c r="C60" s="3087">
        <v>0.3</v>
      </c>
      <c r="D60" s="3087">
        <v>0.25</v>
      </c>
      <c r="E60" s="3087">
        <v>0.25</v>
      </c>
      <c r="F60" s="3087">
        <v>0.25</v>
      </c>
      <c r="G60" s="3087">
        <v>0.15</v>
      </c>
    </row>
    <row r="61" spans="1:7" ht="19.5" customHeight="1">
      <c r="A61" s="3119" t="s">
        <v>2602</v>
      </c>
      <c r="B61" s="3087">
        <v>0.6</v>
      </c>
      <c r="C61" s="3087">
        <v>0.3</v>
      </c>
      <c r="D61" s="3087">
        <v>0.25</v>
      </c>
      <c r="E61" s="3087">
        <v>0.25</v>
      </c>
      <c r="F61" s="3087">
        <v>0.25</v>
      </c>
      <c r="G61" s="3087">
        <v>0.15</v>
      </c>
    </row>
    <row r="62" spans="1:7" ht="19.5" customHeight="1">
      <c r="A62" s="3119" t="s">
        <v>2603</v>
      </c>
      <c r="B62" s="3087">
        <v>0.6</v>
      </c>
      <c r="C62" s="3087">
        <v>0.3</v>
      </c>
      <c r="D62" s="3087">
        <v>0.25</v>
      </c>
      <c r="E62" s="3087">
        <v>0.25</v>
      </c>
      <c r="F62" s="3087">
        <v>0.25</v>
      </c>
      <c r="G62" s="3087">
        <v>0.15</v>
      </c>
    </row>
    <row r="63" spans="1:7" ht="19.5" customHeight="1">
      <c r="A63" s="3119" t="s">
        <v>2604</v>
      </c>
      <c r="B63" s="3087">
        <v>0.6</v>
      </c>
      <c r="C63" s="3087">
        <v>0.3</v>
      </c>
      <c r="D63" s="3087">
        <v>0.25</v>
      </c>
      <c r="E63" s="3087">
        <v>0.25</v>
      </c>
      <c r="F63" s="3087">
        <v>0.25</v>
      </c>
      <c r="G63" s="3087">
        <v>0.15</v>
      </c>
    </row>
    <row r="64" spans="1:7" ht="19.5" customHeight="1">
      <c r="A64" s="3119" t="s">
        <v>2605</v>
      </c>
      <c r="B64" s="3087">
        <v>0.5</v>
      </c>
      <c r="C64" s="3087">
        <v>0.2</v>
      </c>
      <c r="D64" s="3087">
        <v>0.2</v>
      </c>
      <c r="E64" s="3087">
        <v>0.2</v>
      </c>
      <c r="F64" s="3087">
        <v>0.2</v>
      </c>
      <c r="G64" s="3087">
        <v>0.1</v>
      </c>
    </row>
    <row r="65" spans="1:7" ht="19.5" customHeight="1">
      <c r="A65" s="3119" t="s">
        <v>2606</v>
      </c>
      <c r="B65" s="3087">
        <v>0.5</v>
      </c>
      <c r="C65" s="3087">
        <v>0.2</v>
      </c>
      <c r="D65" s="3087">
        <v>0.2</v>
      </c>
      <c r="E65" s="3087">
        <v>0.2</v>
      </c>
      <c r="F65" s="3087">
        <v>0.2</v>
      </c>
      <c r="G65" s="3087">
        <v>0.1</v>
      </c>
    </row>
    <row r="66" spans="1:7" ht="19.5" customHeight="1">
      <c r="A66" s="3119" t="s">
        <v>2607</v>
      </c>
      <c r="B66" s="3087">
        <v>0.5</v>
      </c>
      <c r="C66" s="3087">
        <v>0.2</v>
      </c>
      <c r="D66" s="3087">
        <v>0.2</v>
      </c>
      <c r="E66" s="3087">
        <v>0.2</v>
      </c>
      <c r="F66" s="3087">
        <v>0.2</v>
      </c>
      <c r="G66" s="3087">
        <v>0.1</v>
      </c>
    </row>
    <row r="67" spans="1:7" ht="19.5" customHeight="1">
      <c r="A67" s="3119" t="s">
        <v>2608</v>
      </c>
      <c r="B67" s="3087">
        <v>0.5</v>
      </c>
      <c r="C67" s="3087">
        <v>0.2</v>
      </c>
      <c r="D67" s="3087">
        <v>0.2</v>
      </c>
      <c r="E67" s="3087">
        <v>0.2</v>
      </c>
      <c r="F67" s="3087">
        <v>0.2</v>
      </c>
      <c r="G67" s="3087">
        <v>0.1</v>
      </c>
    </row>
    <row r="68" spans="1:7" ht="19.5" customHeight="1">
      <c r="A68" s="3119" t="s">
        <v>2609</v>
      </c>
      <c r="B68" s="3087">
        <v>0.5</v>
      </c>
      <c r="C68" s="3087">
        <v>0.2</v>
      </c>
      <c r="D68" s="3087">
        <v>0.2</v>
      </c>
      <c r="E68" s="3087">
        <v>0.2</v>
      </c>
      <c r="F68" s="3087">
        <v>0.2</v>
      </c>
      <c r="G68" s="3087">
        <v>0.1</v>
      </c>
    </row>
    <row r="70" spans="1:7" ht="19.5" customHeight="1">
      <c r="A70" s="3120"/>
      <c r="B70" s="3121"/>
      <c r="C70" s="3121"/>
      <c r="D70" s="3121" t="s">
        <v>2646</v>
      </c>
      <c r="E70" s="3121"/>
      <c r="F70" s="3121"/>
    </row>
    <row r="71" spans="1:7" ht="19.5" customHeight="1">
      <c r="A71" s="3113" t="s">
        <v>2647</v>
      </c>
      <c r="B71" s="3113" t="s">
        <v>2648</v>
      </c>
      <c r="C71" s="3113" t="s">
        <v>2649</v>
      </c>
      <c r="D71" s="3113" t="s">
        <v>2650</v>
      </c>
      <c r="E71" s="3113" t="s">
        <v>2651</v>
      </c>
      <c r="F71" s="3113" t="s">
        <v>2652</v>
      </c>
    </row>
    <row r="72" spans="1:7" ht="14.4">
      <c r="A72" s="3113"/>
      <c r="B72" s="3113"/>
      <c r="C72" s="3113" t="s">
        <v>2653</v>
      </c>
      <c r="D72" s="3113"/>
      <c r="E72" s="3113" t="s">
        <v>2624</v>
      </c>
      <c r="F72" s="3113" t="s">
        <v>2624</v>
      </c>
    </row>
    <row r="73" spans="1:7" ht="14.4">
      <c r="A73" s="3113">
        <v>1</v>
      </c>
      <c r="B73" s="3770" t="s">
        <v>2654</v>
      </c>
      <c r="C73" s="3087" t="s">
        <v>2655</v>
      </c>
      <c r="D73" s="3087" t="s">
        <v>2656</v>
      </c>
      <c r="E73" s="3113">
        <v>0.2</v>
      </c>
      <c r="F73" s="3113">
        <v>25</v>
      </c>
    </row>
    <row r="74" spans="1:7" ht="24">
      <c r="A74" s="3113">
        <v>2</v>
      </c>
      <c r="B74" s="3765"/>
      <c r="C74" s="3087" t="s">
        <v>2657</v>
      </c>
      <c r="D74" s="3087" t="s">
        <v>2658</v>
      </c>
      <c r="E74" s="3113">
        <v>0.2</v>
      </c>
      <c r="F74" s="3113">
        <v>25</v>
      </c>
    </row>
    <row r="75" spans="1:7" ht="24">
      <c r="A75" s="3113">
        <v>3</v>
      </c>
      <c r="B75" s="3765"/>
      <c r="C75" s="3087" t="s">
        <v>2659</v>
      </c>
      <c r="D75" s="3087" t="s">
        <v>2660</v>
      </c>
      <c r="E75" s="3113">
        <v>0.2</v>
      </c>
      <c r="F75" s="3113">
        <v>25</v>
      </c>
    </row>
    <row r="76" spans="1:7" ht="14.4">
      <c r="A76" s="3113">
        <v>4</v>
      </c>
      <c r="B76" s="3765"/>
      <c r="C76" s="3087" t="s">
        <v>2661</v>
      </c>
      <c r="D76" s="3087" t="s">
        <v>2662</v>
      </c>
      <c r="E76" s="3113">
        <v>0.15</v>
      </c>
      <c r="F76" s="3113">
        <v>20</v>
      </c>
    </row>
    <row r="77" spans="1:7" ht="24">
      <c r="A77" s="3113">
        <v>5</v>
      </c>
      <c r="B77" s="3765"/>
      <c r="C77" s="3087" t="s">
        <v>2663</v>
      </c>
      <c r="D77" s="3087" t="s">
        <v>2664</v>
      </c>
      <c r="E77" s="3113">
        <v>0.15</v>
      </c>
      <c r="F77" s="3113">
        <v>20</v>
      </c>
    </row>
    <row r="78" spans="1:7" ht="24">
      <c r="A78" s="3113">
        <v>6</v>
      </c>
      <c r="B78" s="3765"/>
      <c r="C78" s="3087" t="s">
        <v>2665</v>
      </c>
      <c r="D78" s="3087" t="s">
        <v>2666</v>
      </c>
      <c r="E78" s="3113">
        <v>0.15</v>
      </c>
      <c r="F78" s="3113">
        <v>20</v>
      </c>
    </row>
    <row r="79" spans="1:7" ht="24">
      <c r="A79" s="3113">
        <v>7</v>
      </c>
      <c r="B79" s="3765"/>
      <c r="C79" s="3087" t="s">
        <v>2667</v>
      </c>
      <c r="D79" s="3087" t="s">
        <v>2668</v>
      </c>
      <c r="E79" s="3113">
        <v>0.15</v>
      </c>
      <c r="F79" s="3113">
        <v>20</v>
      </c>
    </row>
    <row r="80" spans="1:7" ht="24">
      <c r="A80" s="3113">
        <v>8</v>
      </c>
      <c r="B80" s="3765"/>
      <c r="C80" s="3087" t="s">
        <v>2669</v>
      </c>
      <c r="D80" s="3087" t="s">
        <v>2670</v>
      </c>
      <c r="E80" s="3113">
        <v>0.1</v>
      </c>
      <c r="F80" s="3113">
        <v>15</v>
      </c>
    </row>
    <row r="81" spans="1:6" ht="24">
      <c r="A81" s="3113">
        <v>9</v>
      </c>
      <c r="B81" s="3765"/>
      <c r="C81" s="3087" t="s">
        <v>2671</v>
      </c>
      <c r="D81" s="3087" t="s">
        <v>2672</v>
      </c>
      <c r="E81" s="3113">
        <v>0.1</v>
      </c>
      <c r="F81" s="3113">
        <v>15</v>
      </c>
    </row>
    <row r="82" spans="1:6" ht="24">
      <c r="A82" s="3113">
        <v>10</v>
      </c>
      <c r="B82" s="3765"/>
      <c r="C82" s="3087" t="s">
        <v>2673</v>
      </c>
      <c r="D82" s="3087" t="s">
        <v>2674</v>
      </c>
      <c r="E82" s="3113">
        <v>0.1</v>
      </c>
      <c r="F82" s="3113">
        <v>15</v>
      </c>
    </row>
    <row r="83" spans="1:6" ht="24">
      <c r="A83" s="3113">
        <v>11</v>
      </c>
      <c r="B83" s="3765"/>
      <c r="C83" s="3087" t="s">
        <v>2675</v>
      </c>
      <c r="D83" s="3087" t="s">
        <v>2676</v>
      </c>
      <c r="E83" s="3113">
        <v>0.1</v>
      </c>
      <c r="F83" s="3113">
        <v>15</v>
      </c>
    </row>
    <row r="84" spans="1:6" ht="24">
      <c r="A84" s="3113">
        <v>12</v>
      </c>
      <c r="B84" s="3765"/>
      <c r="C84" s="3087" t="s">
        <v>2677</v>
      </c>
      <c r="D84" s="3087" t="s">
        <v>2678</v>
      </c>
      <c r="E84" s="3113">
        <v>0.1</v>
      </c>
      <c r="F84" s="3113">
        <v>15</v>
      </c>
    </row>
    <row r="85" spans="1:6" ht="24">
      <c r="A85" s="3113">
        <v>13</v>
      </c>
      <c r="B85" s="3765"/>
      <c r="C85" s="3087" t="s">
        <v>2679</v>
      </c>
      <c r="D85" s="3087" t="s">
        <v>2680</v>
      </c>
      <c r="E85" s="3113">
        <v>0.1</v>
      </c>
      <c r="F85" s="3113">
        <v>15</v>
      </c>
    </row>
    <row r="86" spans="1:6" ht="24">
      <c r="A86" s="3113">
        <v>14</v>
      </c>
      <c r="B86" s="3765"/>
      <c r="C86" s="3087" t="s">
        <v>2681</v>
      </c>
      <c r="D86" s="3087" t="s">
        <v>2682</v>
      </c>
      <c r="E86" s="3113">
        <v>0.1</v>
      </c>
      <c r="F86" s="3113">
        <v>15</v>
      </c>
    </row>
    <row r="87" spans="1:6" ht="24">
      <c r="A87" s="3113">
        <v>15</v>
      </c>
      <c r="B87" s="3765"/>
      <c r="C87" s="3087" t="s">
        <v>2683</v>
      </c>
      <c r="D87" s="3087" t="s">
        <v>2684</v>
      </c>
      <c r="E87" s="3113">
        <v>0.1</v>
      </c>
      <c r="F87" s="3113">
        <v>15</v>
      </c>
    </row>
    <row r="88" spans="1:6" ht="24">
      <c r="A88" s="3113">
        <v>16</v>
      </c>
      <c r="B88" s="3765"/>
      <c r="C88" s="3087" t="s">
        <v>2685</v>
      </c>
      <c r="D88" s="3087" t="s">
        <v>2686</v>
      </c>
      <c r="E88" s="3113">
        <v>0.1</v>
      </c>
      <c r="F88" s="3113">
        <v>15</v>
      </c>
    </row>
    <row r="89" spans="1:6" ht="24">
      <c r="A89" s="3113">
        <v>17</v>
      </c>
      <c r="B89" s="3774"/>
      <c r="C89" s="3087" t="s">
        <v>2687</v>
      </c>
      <c r="D89" s="3087" t="s">
        <v>2688</v>
      </c>
      <c r="E89" s="3113">
        <v>0.1</v>
      </c>
      <c r="F89" s="3113">
        <v>15</v>
      </c>
    </row>
    <row r="90" spans="1:6" ht="14.4">
      <c r="A90" s="3113">
        <v>18</v>
      </c>
      <c r="B90" s="3770" t="s">
        <v>2689</v>
      </c>
      <c r="C90" s="3087" t="s">
        <v>2690</v>
      </c>
      <c r="D90" s="3087" t="s">
        <v>2691</v>
      </c>
      <c r="E90" s="3113">
        <v>0.2</v>
      </c>
      <c r="F90" s="3113">
        <v>25</v>
      </c>
    </row>
    <row r="91" spans="1:6" ht="24">
      <c r="A91" s="3113">
        <v>19</v>
      </c>
      <c r="B91" s="3765"/>
      <c r="C91" s="3087" t="s">
        <v>2692</v>
      </c>
      <c r="D91" s="3087" t="s">
        <v>2693</v>
      </c>
      <c r="E91" s="3113">
        <v>0.2</v>
      </c>
      <c r="F91" s="3113">
        <v>25</v>
      </c>
    </row>
    <row r="92" spans="1:6" ht="14.4">
      <c r="A92" s="3113">
        <v>20</v>
      </c>
      <c r="B92" s="3765"/>
      <c r="C92" s="3087" t="s">
        <v>2694</v>
      </c>
      <c r="D92" s="3087" t="s">
        <v>2695</v>
      </c>
      <c r="E92" s="3113">
        <v>0.15</v>
      </c>
      <c r="F92" s="3113">
        <v>20</v>
      </c>
    </row>
    <row r="93" spans="1:6" ht="24">
      <c r="A93" s="3113">
        <v>21</v>
      </c>
      <c r="B93" s="3765"/>
      <c r="C93" s="3087" t="s">
        <v>2696</v>
      </c>
      <c r="D93" s="3087" t="s">
        <v>2697</v>
      </c>
      <c r="E93" s="3113">
        <v>0.15</v>
      </c>
      <c r="F93" s="3113">
        <v>20</v>
      </c>
    </row>
    <row r="94" spans="1:6" ht="24">
      <c r="A94" s="3113">
        <v>22</v>
      </c>
      <c r="B94" s="3765"/>
      <c r="C94" s="3087" t="s">
        <v>2698</v>
      </c>
      <c r="D94" s="3087" t="s">
        <v>2699</v>
      </c>
      <c r="E94" s="3113">
        <v>0.15</v>
      </c>
      <c r="F94" s="3113">
        <v>20</v>
      </c>
    </row>
    <row r="95" spans="1:6" ht="36">
      <c r="A95" s="3113">
        <v>23</v>
      </c>
      <c r="B95" s="3765"/>
      <c r="C95" s="3087" t="s">
        <v>2700</v>
      </c>
      <c r="D95" s="3087" t="s">
        <v>2701</v>
      </c>
      <c r="E95" s="3113">
        <v>0.15</v>
      </c>
      <c r="F95" s="3113">
        <v>20</v>
      </c>
    </row>
    <row r="96" spans="1:6" ht="24">
      <c r="A96" s="3113">
        <v>24</v>
      </c>
      <c r="B96" s="3765"/>
      <c r="C96" s="3087" t="s">
        <v>2702</v>
      </c>
      <c r="D96" s="3087" t="s">
        <v>2703</v>
      </c>
      <c r="E96" s="3113">
        <v>0.1</v>
      </c>
      <c r="F96" s="3113">
        <v>15</v>
      </c>
    </row>
    <row r="97" spans="1:6" ht="24">
      <c r="A97" s="3113">
        <v>25</v>
      </c>
      <c r="B97" s="3765"/>
      <c r="C97" s="3087" t="s">
        <v>2704</v>
      </c>
      <c r="D97" s="3087" t="s">
        <v>2705</v>
      </c>
      <c r="E97" s="3113">
        <v>0.1</v>
      </c>
      <c r="F97" s="3113">
        <v>15</v>
      </c>
    </row>
    <row r="98" spans="1:6" ht="24">
      <c r="A98" s="3113">
        <v>26</v>
      </c>
      <c r="B98" s="3765"/>
      <c r="C98" s="3087" t="s">
        <v>2706</v>
      </c>
      <c r="D98" s="3087" t="s">
        <v>2707</v>
      </c>
      <c r="E98" s="3113">
        <v>0.1</v>
      </c>
      <c r="F98" s="3113">
        <v>15</v>
      </c>
    </row>
    <row r="99" spans="1:6" ht="24">
      <c r="A99" s="3113">
        <v>27</v>
      </c>
      <c r="B99" s="3765"/>
      <c r="C99" s="3087" t="s">
        <v>2708</v>
      </c>
      <c r="D99" s="3087" t="s">
        <v>2709</v>
      </c>
      <c r="E99" s="3113">
        <v>0.1</v>
      </c>
      <c r="F99" s="3113">
        <v>15</v>
      </c>
    </row>
    <row r="100" spans="1:6" ht="24">
      <c r="A100" s="3113">
        <v>28</v>
      </c>
      <c r="B100" s="3765"/>
      <c r="C100" s="3087" t="s">
        <v>2710</v>
      </c>
      <c r="D100" s="3087" t="s">
        <v>2711</v>
      </c>
      <c r="E100" s="3113">
        <v>0.1</v>
      </c>
      <c r="F100" s="3113">
        <v>15</v>
      </c>
    </row>
    <row r="101" spans="1:6" ht="24">
      <c r="A101" s="3113">
        <v>29</v>
      </c>
      <c r="B101" s="3765"/>
      <c r="C101" s="3087" t="s">
        <v>2712</v>
      </c>
      <c r="D101" s="3087" t="s">
        <v>2713</v>
      </c>
      <c r="E101" s="3113">
        <v>0.1</v>
      </c>
      <c r="F101" s="3113">
        <v>15</v>
      </c>
    </row>
    <row r="102" spans="1:6" ht="24">
      <c r="A102" s="3113">
        <v>30</v>
      </c>
      <c r="B102" s="3765"/>
      <c r="C102" s="3087" t="s">
        <v>2714</v>
      </c>
      <c r="D102" s="3087" t="s">
        <v>2715</v>
      </c>
      <c r="E102" s="3113">
        <v>0.1</v>
      </c>
      <c r="F102" s="3113">
        <v>15</v>
      </c>
    </row>
    <row r="103" spans="1:6" ht="24">
      <c r="A103" s="3113">
        <v>31</v>
      </c>
      <c r="B103" s="3765"/>
      <c r="C103" s="3087" t="s">
        <v>2716</v>
      </c>
      <c r="D103" s="3087" t="s">
        <v>2717</v>
      </c>
      <c r="E103" s="3113">
        <v>0.1</v>
      </c>
      <c r="F103" s="3113">
        <v>15</v>
      </c>
    </row>
    <row r="104" spans="1:6" ht="24">
      <c r="A104" s="3113">
        <v>32</v>
      </c>
      <c r="B104" s="3765"/>
      <c r="C104" s="3087" t="s">
        <v>2718</v>
      </c>
      <c r="D104" s="3087" t="s">
        <v>2719</v>
      </c>
      <c r="E104" s="3113">
        <v>0.1</v>
      </c>
      <c r="F104" s="3113">
        <v>15</v>
      </c>
    </row>
    <row r="105" spans="1:6" ht="24">
      <c r="A105" s="3113">
        <v>33</v>
      </c>
      <c r="B105" s="3765"/>
      <c r="C105" s="3087" t="s">
        <v>2720</v>
      </c>
      <c r="D105" s="3087" t="s">
        <v>2721</v>
      </c>
      <c r="E105" s="3113">
        <v>0.1</v>
      </c>
      <c r="F105" s="3113">
        <v>15</v>
      </c>
    </row>
    <row r="106" spans="1:6" ht="24">
      <c r="A106" s="3113">
        <v>34</v>
      </c>
      <c r="B106" s="3774"/>
      <c r="C106" s="3087" t="s">
        <v>2722</v>
      </c>
      <c r="D106" s="3087" t="s">
        <v>2723</v>
      </c>
      <c r="E106" s="3113">
        <v>0.1</v>
      </c>
      <c r="F106" s="3113">
        <v>15</v>
      </c>
    </row>
    <row r="107" spans="1:6" ht="36">
      <c r="A107" s="3113">
        <v>35</v>
      </c>
      <c r="B107" s="3770" t="s">
        <v>2724</v>
      </c>
      <c r="C107" s="3113" t="s">
        <v>2725</v>
      </c>
      <c r="D107" s="3087" t="s">
        <v>2726</v>
      </c>
      <c r="E107" s="3113">
        <v>0.15</v>
      </c>
      <c r="F107" s="3113">
        <v>20</v>
      </c>
    </row>
    <row r="108" spans="1:6" ht="24">
      <c r="A108" s="3113">
        <v>36</v>
      </c>
      <c r="B108" s="3765"/>
      <c r="C108" s="3113" t="s">
        <v>2727</v>
      </c>
      <c r="D108" s="3087" t="s">
        <v>2728</v>
      </c>
      <c r="E108" s="3113">
        <v>0.15</v>
      </c>
      <c r="F108" s="3113">
        <v>20</v>
      </c>
    </row>
    <row r="109" spans="1:6" ht="24">
      <c r="A109" s="3113">
        <v>37</v>
      </c>
      <c r="B109" s="3765"/>
      <c r="C109" s="3113" t="s">
        <v>2729</v>
      </c>
      <c r="D109" s="3087" t="s">
        <v>2730</v>
      </c>
      <c r="E109" s="3113">
        <v>0.15</v>
      </c>
      <c r="F109" s="3113">
        <v>20</v>
      </c>
    </row>
    <row r="110" spans="1:6" ht="24">
      <c r="A110" s="3113">
        <v>38</v>
      </c>
      <c r="B110" s="3765"/>
      <c r="C110" s="3113" t="s">
        <v>2731</v>
      </c>
      <c r="D110" s="3087" t="s">
        <v>2732</v>
      </c>
      <c r="E110" s="3113">
        <v>0.1</v>
      </c>
      <c r="F110" s="3113">
        <v>15</v>
      </c>
    </row>
    <row r="111" spans="1:6" ht="24">
      <c r="A111" s="3113">
        <v>39</v>
      </c>
      <c r="B111" s="3765"/>
      <c r="C111" s="3113" t="s">
        <v>2733</v>
      </c>
      <c r="D111" s="3087" t="s">
        <v>2734</v>
      </c>
      <c r="E111" s="3113">
        <v>0.1</v>
      </c>
      <c r="F111" s="3113">
        <v>15</v>
      </c>
    </row>
    <row r="112" spans="1:6" ht="24">
      <c r="A112" s="3113">
        <v>40</v>
      </c>
      <c r="B112" s="3774"/>
      <c r="C112" s="3113" t="s">
        <v>2735</v>
      </c>
      <c r="D112" s="3087" t="s">
        <v>2736</v>
      </c>
      <c r="E112" s="3113">
        <v>0.1</v>
      </c>
      <c r="F112" s="3113">
        <v>15</v>
      </c>
    </row>
    <row r="113" spans="1:6" ht="24">
      <c r="A113" s="3113">
        <v>41</v>
      </c>
      <c r="B113" s="3775" t="s">
        <v>2737</v>
      </c>
      <c r="C113" s="3113" t="s">
        <v>2738</v>
      </c>
      <c r="D113" s="3087" t="s">
        <v>2739</v>
      </c>
      <c r="E113" s="3113">
        <v>0.1</v>
      </c>
      <c r="F113" s="3113">
        <v>15</v>
      </c>
    </row>
    <row r="114" spans="1:6" ht="24">
      <c r="A114" s="3113">
        <v>42</v>
      </c>
      <c r="B114" s="3775"/>
      <c r="C114" s="3113" t="s">
        <v>2740</v>
      </c>
      <c r="D114" s="3087" t="s">
        <v>2741</v>
      </c>
      <c r="E114" s="3113">
        <v>0.1</v>
      </c>
      <c r="F114" s="3113">
        <v>15</v>
      </c>
    </row>
    <row r="115" spans="1:6" ht="24">
      <c r="A115" s="3113">
        <v>43</v>
      </c>
      <c r="B115" s="3775"/>
      <c r="C115" s="3113" t="s">
        <v>2742</v>
      </c>
      <c r="D115" s="3087" t="s">
        <v>2743</v>
      </c>
      <c r="E115" s="3113">
        <v>0.1</v>
      </c>
      <c r="F115" s="3113">
        <v>15</v>
      </c>
    </row>
    <row r="116" spans="1:6" ht="24">
      <c r="A116" s="3113">
        <v>44</v>
      </c>
      <c r="B116" s="3770" t="s">
        <v>2744</v>
      </c>
      <c r="C116" s="3113" t="s">
        <v>2745</v>
      </c>
      <c r="D116" s="3087" t="s">
        <v>2746</v>
      </c>
      <c r="E116" s="3113">
        <v>0.1</v>
      </c>
      <c r="F116" s="3113">
        <v>15</v>
      </c>
    </row>
    <row r="117" spans="1:6" ht="24">
      <c r="A117" s="3113">
        <v>45</v>
      </c>
      <c r="B117" s="3774"/>
      <c r="C117" s="3087" t="s">
        <v>2747</v>
      </c>
      <c r="D117" s="3087" t="s">
        <v>2748</v>
      </c>
      <c r="E117" s="3113">
        <v>0.1</v>
      </c>
      <c r="F117" s="3113">
        <v>15</v>
      </c>
    </row>
    <row r="118" spans="1:6" ht="24">
      <c r="A118" s="3113">
        <v>46</v>
      </c>
      <c r="B118" s="3770" t="s">
        <v>2749</v>
      </c>
      <c r="C118" s="3113" t="s">
        <v>2750</v>
      </c>
      <c r="D118" s="3087" t="s">
        <v>2751</v>
      </c>
      <c r="E118" s="3113">
        <v>0.1</v>
      </c>
      <c r="F118" s="3113">
        <v>15</v>
      </c>
    </row>
    <row r="119" spans="1:6" ht="24">
      <c r="A119" s="3113">
        <v>47</v>
      </c>
      <c r="B119" s="3774"/>
      <c r="C119" s="3113" t="s">
        <v>2752</v>
      </c>
      <c r="D119" s="3087" t="s">
        <v>2753</v>
      </c>
      <c r="E119" s="3113">
        <v>0.1</v>
      </c>
      <c r="F119" s="3113">
        <v>15</v>
      </c>
    </row>
    <row r="120" spans="1:6" ht="24">
      <c r="A120" s="3113">
        <v>48</v>
      </c>
      <c r="B120" s="3770" t="s">
        <v>2754</v>
      </c>
      <c r="C120" s="3113" t="s">
        <v>2755</v>
      </c>
      <c r="D120" s="3087" t="s">
        <v>2756</v>
      </c>
      <c r="E120" s="3113">
        <v>0.1</v>
      </c>
      <c r="F120" s="3113">
        <v>15</v>
      </c>
    </row>
    <row r="121" spans="1:6" ht="24">
      <c r="A121" s="3113">
        <v>49</v>
      </c>
      <c r="B121" s="3774"/>
      <c r="C121" s="3113" t="s">
        <v>2757</v>
      </c>
      <c r="D121" s="3087" t="s">
        <v>2758</v>
      </c>
      <c r="E121" s="3113">
        <v>0.1</v>
      </c>
      <c r="F121" s="3113">
        <v>15</v>
      </c>
    </row>
    <row r="122" spans="1:6" ht="24">
      <c r="A122" s="3113">
        <v>50</v>
      </c>
      <c r="B122" s="3775" t="s">
        <v>2759</v>
      </c>
      <c r="C122" s="3113" t="s">
        <v>2760</v>
      </c>
      <c r="D122" s="3087" t="s">
        <v>2761</v>
      </c>
      <c r="E122" s="3113">
        <v>0.1</v>
      </c>
      <c r="F122" s="3113">
        <v>15</v>
      </c>
    </row>
    <row r="123" spans="1:6" ht="24">
      <c r="A123" s="3113">
        <v>51</v>
      </c>
      <c r="B123" s="3775"/>
      <c r="C123" s="3113" t="s">
        <v>2762</v>
      </c>
      <c r="D123" s="3087" t="s">
        <v>2763</v>
      </c>
      <c r="E123" s="3113">
        <v>0.1</v>
      </c>
      <c r="F123" s="3113">
        <v>15</v>
      </c>
    </row>
    <row r="124" spans="1:6" ht="24">
      <c r="A124" s="3113">
        <v>52</v>
      </c>
      <c r="B124" s="3775" t="s">
        <v>2764</v>
      </c>
      <c r="C124" s="3113" t="s">
        <v>2765</v>
      </c>
      <c r="D124" s="3087" t="s">
        <v>2766</v>
      </c>
      <c r="E124" s="3113">
        <v>0.1</v>
      </c>
      <c r="F124" s="3113">
        <v>15</v>
      </c>
    </row>
    <row r="125" spans="1:6" ht="24">
      <c r="A125" s="3113">
        <v>53</v>
      </c>
      <c r="B125" s="3775"/>
      <c r="C125" s="3113" t="s">
        <v>2767</v>
      </c>
      <c r="D125" s="3087" t="s">
        <v>2768</v>
      </c>
      <c r="E125" s="3113">
        <v>0.1</v>
      </c>
      <c r="F125" s="3113">
        <v>15</v>
      </c>
    </row>
    <row r="126" spans="1:6" ht="24">
      <c r="A126" s="3113">
        <v>54</v>
      </c>
      <c r="B126" s="3113" t="s">
        <v>2769</v>
      </c>
      <c r="C126" s="3113" t="s">
        <v>2770</v>
      </c>
      <c r="D126" s="3087" t="s">
        <v>2771</v>
      </c>
      <c r="E126" s="3113">
        <v>0.1</v>
      </c>
      <c r="F126" s="3113">
        <v>15</v>
      </c>
    </row>
    <row r="127" spans="1:6" ht="24">
      <c r="A127" s="3113">
        <v>55</v>
      </c>
      <c r="B127" s="3775" t="s">
        <v>2772</v>
      </c>
      <c r="C127" s="3113" t="s">
        <v>2773</v>
      </c>
      <c r="D127" s="3087" t="s">
        <v>2774</v>
      </c>
      <c r="E127" s="3113">
        <v>0.1</v>
      </c>
      <c r="F127" s="3113">
        <v>15</v>
      </c>
    </row>
    <row r="128" spans="1:6" ht="24">
      <c r="A128" s="3113">
        <v>56</v>
      </c>
      <c r="B128" s="3775"/>
      <c r="C128" s="3113" t="s">
        <v>2775</v>
      </c>
      <c r="D128" s="3087" t="s">
        <v>2776</v>
      </c>
      <c r="E128" s="3113">
        <v>0.1</v>
      </c>
      <c r="F128" s="3113">
        <v>15</v>
      </c>
    </row>
    <row r="129" spans="1:6" ht="24">
      <c r="A129" s="3113">
        <v>57</v>
      </c>
      <c r="B129" s="3775"/>
      <c r="C129" s="3113" t="s">
        <v>2777</v>
      </c>
      <c r="D129" s="3087" t="s">
        <v>2778</v>
      </c>
      <c r="E129" s="3113">
        <v>0.1</v>
      </c>
      <c r="F129" s="3113">
        <v>15</v>
      </c>
    </row>
    <row r="130" spans="1:6" ht="24">
      <c r="A130" s="3113">
        <v>58</v>
      </c>
      <c r="B130" s="3775" t="s">
        <v>2779</v>
      </c>
      <c r="C130" s="3113" t="s">
        <v>2780</v>
      </c>
      <c r="D130" s="3087" t="s">
        <v>2781</v>
      </c>
      <c r="E130" s="3113">
        <v>0.1</v>
      </c>
      <c r="F130" s="3113">
        <v>15</v>
      </c>
    </row>
    <row r="131" spans="1:6" ht="24">
      <c r="A131" s="3113">
        <v>59</v>
      </c>
      <c r="B131" s="3775"/>
      <c r="C131" s="3113" t="s">
        <v>2782</v>
      </c>
      <c r="D131" s="3087" t="s">
        <v>2783</v>
      </c>
      <c r="E131" s="3113">
        <v>0.1</v>
      </c>
      <c r="F131" s="3113">
        <v>15</v>
      </c>
    </row>
    <row r="132" spans="1:6" ht="24">
      <c r="A132" s="3113">
        <v>60</v>
      </c>
      <c r="B132" s="3770" t="s">
        <v>2784</v>
      </c>
      <c r="C132" s="3113" t="s">
        <v>2785</v>
      </c>
      <c r="D132" s="3087" t="s">
        <v>2786</v>
      </c>
      <c r="E132" s="3113">
        <v>0.1</v>
      </c>
      <c r="F132" s="3113">
        <v>15</v>
      </c>
    </row>
    <row r="133" spans="1:6" ht="24">
      <c r="A133" s="3113">
        <v>61</v>
      </c>
      <c r="B133" s="3774"/>
      <c r="C133" s="3113" t="s">
        <v>2787</v>
      </c>
      <c r="D133" s="3087" t="s">
        <v>2788</v>
      </c>
      <c r="E133" s="3113">
        <v>0.1</v>
      </c>
      <c r="F133" s="3113">
        <v>15</v>
      </c>
    </row>
    <row r="134" spans="1:6" ht="24">
      <c r="A134" s="3113">
        <v>62</v>
      </c>
      <c r="B134" s="3113" t="s">
        <v>2789</v>
      </c>
      <c r="C134" s="3113" t="s">
        <v>2790</v>
      </c>
      <c r="D134" s="3087" t="s">
        <v>2791</v>
      </c>
      <c r="E134" s="3113">
        <v>0.1</v>
      </c>
      <c r="F134" s="3113">
        <v>15</v>
      </c>
    </row>
    <row r="135" spans="1:6" ht="24">
      <c r="A135" s="3113">
        <v>63</v>
      </c>
      <c r="B135" s="3775" t="s">
        <v>2792</v>
      </c>
      <c r="C135" s="3113" t="s">
        <v>2793</v>
      </c>
      <c r="D135" s="3087" t="s">
        <v>2794</v>
      </c>
      <c r="E135" s="3113">
        <v>0.1</v>
      </c>
      <c r="F135" s="3113">
        <v>15</v>
      </c>
    </row>
    <row r="136" spans="1:6" ht="24">
      <c r="A136" s="3113">
        <v>64</v>
      </c>
      <c r="B136" s="3775"/>
      <c r="C136" s="3113" t="s">
        <v>2795</v>
      </c>
      <c r="D136" s="3087" t="s">
        <v>2796</v>
      </c>
      <c r="E136" s="3113">
        <v>0.1</v>
      </c>
      <c r="F136" s="3113">
        <v>15</v>
      </c>
    </row>
    <row r="137" spans="1:6" ht="24">
      <c r="A137" s="3113">
        <v>65</v>
      </c>
      <c r="B137" s="3113" t="s">
        <v>2797</v>
      </c>
      <c r="C137" s="3113" t="s">
        <v>2798</v>
      </c>
      <c r="D137" s="3087" t="s">
        <v>2799</v>
      </c>
      <c r="E137" s="3113">
        <v>0.1</v>
      </c>
      <c r="F137" s="3113">
        <v>15</v>
      </c>
    </row>
    <row r="138" spans="1:6" ht="14.4">
      <c r="A138" s="3113"/>
      <c r="B138" s="3113"/>
      <c r="C138" s="3113"/>
      <c r="D138" s="3113"/>
      <c r="E138" s="3113" t="s">
        <v>2800</v>
      </c>
      <c r="F138" s="3113"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6"/>
    <col min="14" max="16384" width="9" style="748"/>
  </cols>
  <sheetData>
    <row r="1" spans="1:20" ht="16.2" thickBot="1">
      <c r="A1" s="3122" t="s">
        <v>2801</v>
      </c>
      <c r="B1" s="3122"/>
      <c r="C1" s="3122"/>
      <c r="D1" s="3122"/>
      <c r="E1" s="3122"/>
      <c r="F1" s="3122"/>
      <c r="G1" s="3122"/>
      <c r="H1" s="3122"/>
      <c r="I1" s="3122"/>
      <c r="J1" s="3122"/>
      <c r="K1" s="3122"/>
      <c r="L1" s="3122"/>
      <c r="M1" s="3122"/>
      <c r="N1" s="747"/>
    </row>
    <row r="2" spans="1:20">
      <c r="A2" s="3123" t="s">
        <v>2802</v>
      </c>
      <c r="B2" s="3124" t="s">
        <v>2598</v>
      </c>
      <c r="C2" s="3124" t="s">
        <v>2599</v>
      </c>
      <c r="D2" s="3124" t="s">
        <v>2600</v>
      </c>
      <c r="E2" s="3124" t="s">
        <v>2601</v>
      </c>
      <c r="F2" s="3124" t="s">
        <v>2602</v>
      </c>
      <c r="G2" s="3124" t="s">
        <v>2603</v>
      </c>
      <c r="H2" s="3125" t="s">
        <v>2604</v>
      </c>
      <c r="I2" s="3125" t="s">
        <v>2605</v>
      </c>
      <c r="J2" s="3126" t="s">
        <v>2606</v>
      </c>
      <c r="K2" s="3126" t="s">
        <v>2607</v>
      </c>
      <c r="L2" s="3126" t="s">
        <v>2608</v>
      </c>
      <c r="M2" s="3127" t="s">
        <v>2609</v>
      </c>
      <c r="Q2" s="3137" t="s">
        <v>2807</v>
      </c>
      <c r="R2" s="3137" t="s">
        <v>2808</v>
      </c>
      <c r="S2" s="3137" t="s">
        <v>2809</v>
      </c>
      <c r="T2" s="3137" t="s">
        <v>2810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6.2" thickBot="1">
      <c r="A93" s="3122" t="s">
        <v>2803</v>
      </c>
      <c r="B93" s="3122"/>
      <c r="C93" s="3122"/>
      <c r="D93" s="3122"/>
      <c r="E93" s="3122"/>
      <c r="F93" s="3122"/>
      <c r="G93" s="3122"/>
      <c r="H93" s="3122"/>
      <c r="I93" s="3122"/>
      <c r="J93" s="3122"/>
      <c r="K93" s="3122"/>
      <c r="L93" s="3122"/>
      <c r="M93" s="3122"/>
    </row>
    <row r="94" spans="1:20">
      <c r="A94" s="3123" t="s">
        <v>2802</v>
      </c>
      <c r="B94" s="3124" t="s">
        <v>2598</v>
      </c>
      <c r="C94" s="3124" t="s">
        <v>2599</v>
      </c>
      <c r="D94" s="3124" t="s">
        <v>2600</v>
      </c>
      <c r="E94" s="3124" t="s">
        <v>2601</v>
      </c>
      <c r="F94" s="3124" t="s">
        <v>2602</v>
      </c>
      <c r="G94" s="3124" t="s">
        <v>2603</v>
      </c>
      <c r="H94" s="3125" t="s">
        <v>2604</v>
      </c>
      <c r="I94" s="3125" t="s">
        <v>2605</v>
      </c>
      <c r="J94" s="3126" t="s">
        <v>2606</v>
      </c>
      <c r="K94" s="3126" t="s">
        <v>2607</v>
      </c>
      <c r="L94" s="3126" t="s">
        <v>2608</v>
      </c>
      <c r="M94" s="3127" t="s">
        <v>2609</v>
      </c>
      <c r="N94" s="748">
        <f>SUMPRODUCT((A95:A184=ROUNDDOWN(基准地价修正!G3,1))*(B94:M94=基准地价修正!G2)*(B95:M184))</f>
        <v>1</v>
      </c>
      <c r="Q94" s="3137" t="s">
        <v>2807</v>
      </c>
      <c r="R94" s="3137" t="s">
        <v>2808</v>
      </c>
      <c r="S94" s="3137" t="s">
        <v>2809</v>
      </c>
      <c r="T94" s="3137" t="s">
        <v>2810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5.6">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5.6">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6.2" thickBot="1">
      <c r="A185" s="3122" t="s">
        <v>2804</v>
      </c>
      <c r="B185" s="3122"/>
      <c r="C185" s="3122"/>
      <c r="D185" s="3122"/>
      <c r="E185" s="3122"/>
      <c r="F185" s="3122"/>
      <c r="G185" s="3122"/>
      <c r="H185" s="3122"/>
      <c r="I185" s="3122"/>
      <c r="J185" s="3122"/>
      <c r="K185" s="3122"/>
      <c r="L185" s="3122"/>
      <c r="M185" s="3122"/>
    </row>
    <row r="186" spans="1:20">
      <c r="A186" s="3123" t="s">
        <v>2802</v>
      </c>
      <c r="B186" s="3124" t="s">
        <v>2598</v>
      </c>
      <c r="C186" s="3124" t="s">
        <v>2599</v>
      </c>
      <c r="D186" s="3124" t="s">
        <v>2600</v>
      </c>
      <c r="E186" s="3124" t="s">
        <v>2601</v>
      </c>
      <c r="F186" s="3124" t="s">
        <v>2602</v>
      </c>
      <c r="G186" s="3124" t="s">
        <v>2603</v>
      </c>
      <c r="H186" s="3125" t="s">
        <v>2604</v>
      </c>
      <c r="I186" s="3125" t="s">
        <v>2605</v>
      </c>
      <c r="J186" s="3126" t="s">
        <v>2606</v>
      </c>
      <c r="K186" s="3126" t="s">
        <v>2607</v>
      </c>
      <c r="L186" s="3126" t="s">
        <v>2608</v>
      </c>
      <c r="M186" s="3127" t="s">
        <v>2609</v>
      </c>
      <c r="Q186" s="3137" t="s">
        <v>2807</v>
      </c>
      <c r="R186" s="3137" t="s">
        <v>2808</v>
      </c>
      <c r="S186" s="3137" t="s">
        <v>2809</v>
      </c>
      <c r="T186" s="3137" t="s">
        <v>2810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6.2" thickBot="1">
      <c r="A277" s="3122" t="s">
        <v>2805</v>
      </c>
      <c r="B277" s="3122"/>
      <c r="C277" s="3122"/>
      <c r="D277" s="3122"/>
      <c r="E277" s="3122"/>
      <c r="F277" s="3122"/>
      <c r="G277" s="3122"/>
      <c r="H277" s="3122"/>
      <c r="I277" s="3122"/>
      <c r="J277" s="3122"/>
      <c r="K277" s="3122"/>
      <c r="L277" s="3122"/>
      <c r="M277" s="3122"/>
    </row>
    <row r="278" spans="1:21">
      <c r="A278" s="3123" t="s">
        <v>2802</v>
      </c>
      <c r="B278" s="3124" t="s">
        <v>2598</v>
      </c>
      <c r="C278" s="3124" t="s">
        <v>2599</v>
      </c>
      <c r="D278" s="3124" t="s">
        <v>2600</v>
      </c>
      <c r="E278" s="3124" t="s">
        <v>2601</v>
      </c>
      <c r="F278" s="3124" t="s">
        <v>2602</v>
      </c>
      <c r="G278" s="3124" t="s">
        <v>2603</v>
      </c>
      <c r="H278" s="3125" t="s">
        <v>2604</v>
      </c>
      <c r="I278" s="3125" t="s">
        <v>2605</v>
      </c>
      <c r="J278" s="3126" t="s">
        <v>2606</v>
      </c>
      <c r="K278" s="3126" t="s">
        <v>2607</v>
      </c>
      <c r="L278" s="3126" t="s">
        <v>2608</v>
      </c>
      <c r="M278" s="3127" t="s">
        <v>2609</v>
      </c>
      <c r="Q278" s="3137" t="s">
        <v>2807</v>
      </c>
      <c r="R278" s="3137" t="s">
        <v>2808</v>
      </c>
      <c r="S278" s="3137" t="s">
        <v>2811</v>
      </c>
      <c r="T278" s="3137" t="s">
        <v>2812</v>
      </c>
      <c r="U278" s="3137" t="s">
        <v>2810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6.2" thickBot="1">
      <c r="A369" s="3122" t="s">
        <v>2806</v>
      </c>
      <c r="B369" s="3135"/>
      <c r="C369" s="3135"/>
      <c r="D369" s="3135"/>
      <c r="E369" s="3135"/>
      <c r="F369" s="3135"/>
      <c r="G369" s="3135"/>
      <c r="H369" s="3135"/>
      <c r="I369" s="3135"/>
      <c r="J369" s="3135"/>
      <c r="K369" s="3135"/>
      <c r="L369" s="3135"/>
      <c r="M369" s="3135"/>
    </row>
    <row r="370" spans="1:20">
      <c r="A370" s="3123" t="s">
        <v>2802</v>
      </c>
      <c r="B370" s="3124" t="s">
        <v>2598</v>
      </c>
      <c r="C370" s="3124" t="s">
        <v>2599</v>
      </c>
      <c r="D370" s="3124" t="s">
        <v>2600</v>
      </c>
      <c r="E370" s="3124" t="s">
        <v>2601</v>
      </c>
      <c r="F370" s="3124" t="s">
        <v>2602</v>
      </c>
      <c r="G370" s="3124" t="s">
        <v>2603</v>
      </c>
      <c r="H370" s="3125" t="s">
        <v>2604</v>
      </c>
      <c r="I370" s="3125" t="s">
        <v>2605</v>
      </c>
      <c r="J370" s="3126" t="s">
        <v>2606</v>
      </c>
      <c r="K370" s="3126" t="s">
        <v>2607</v>
      </c>
      <c r="L370" s="3126" t="s">
        <v>2608</v>
      </c>
      <c r="M370" s="3127" t="s">
        <v>2609</v>
      </c>
      <c r="N370" s="748">
        <f>SUMPRODUCT((A371:A460=ROUNDDOWN(基准地价修正!G3,1))*(B370:M370=基准地价修正!G2)*(B371:M460))</f>
        <v>0.9103</v>
      </c>
      <c r="Q370" s="3137" t="s">
        <v>2807</v>
      </c>
      <c r="R370" s="3137" t="s">
        <v>2808</v>
      </c>
      <c r="S370" s="3137" t="s">
        <v>2809</v>
      </c>
      <c r="T370" s="3137" t="s">
        <v>2810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40973</v>
      </c>
      <c r="C2" s="2" t="s">
        <v>106</v>
      </c>
      <c r="D2" s="198"/>
      <c r="E2" s="198"/>
      <c r="F2" s="198"/>
      <c r="G2" s="198"/>
    </row>
    <row r="3" spans="1:7" s="199" customFormat="1" ht="18" customHeight="1" thickBot="1">
      <c r="A3" s="202" t="s">
        <v>58</v>
      </c>
      <c r="B3" s="203">
        <f ca="1">ROUND(B2*10000/'数据-汇总表'!E3,0)</f>
        <v>10865</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717</v>
      </c>
      <c r="D10" s="843">
        <f>'数据-汇总表'!E6</f>
        <v>37711.240000000005</v>
      </c>
      <c r="E10" s="224">
        <f>'数据-取费表'!B28</f>
        <v>190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754</v>
      </c>
      <c r="D19" s="847">
        <f>'数据-汇总表'!E3</f>
        <v>37711.240000000005</v>
      </c>
      <c r="E19" s="210">
        <f>'数据-取费表'!B31</f>
        <v>200</v>
      </c>
      <c r="F19" s="230"/>
      <c r="G19" s="1" t="s">
        <v>436</v>
      </c>
    </row>
    <row r="20" spans="1:7" s="213" customFormat="1" ht="13.5" customHeight="1">
      <c r="A20" s="775" t="s">
        <v>419</v>
      </c>
      <c r="B20" s="209" t="s">
        <v>77</v>
      </c>
      <c r="C20" s="231">
        <f>ROUND((C5+C19)*F20,0)</f>
        <v>427</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758</v>
      </c>
      <c r="D22" s="234">
        <f ca="1">C26</f>
        <v>4.0000000000000002E-4</v>
      </c>
      <c r="E22" s="235" t="s">
        <v>99</v>
      </c>
      <c r="F22" s="236">
        <f ca="1">'数据-取费表'!B40</f>
        <v>3.5499999999999997E-2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724</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26</v>
      </c>
      <c r="D24" s="237"/>
      <c r="E24" s="237"/>
      <c r="F24" s="238"/>
      <c r="G24" s="239" t="s">
        <v>82</v>
      </c>
    </row>
    <row r="25" spans="1:7" s="213" customFormat="1" ht="24">
      <c r="A25" s="778" t="s">
        <v>348</v>
      </c>
      <c r="B25" s="214" t="s">
        <v>420</v>
      </c>
      <c r="C25" s="1103">
        <f ca="1">ROUND(IF('数据-取费表'!B22&lt;=1,C20*F22*'数据-取费表'!B23/2,C20*(POWER((1+F22),'数据-取费表'!B23/2)-1)),0)</f>
        <v>8</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6.4">
      <c r="A27" s="775" t="s">
        <v>342</v>
      </c>
      <c r="B27" s="243" t="s">
        <v>85</v>
      </c>
      <c r="C27" s="244">
        <f>C28</f>
        <v>1510</v>
      </c>
      <c r="D27" s="234">
        <f>C29</f>
        <v>1.4E-3</v>
      </c>
      <c r="E27" s="235" t="s">
        <v>99</v>
      </c>
      <c r="F27" s="245">
        <f>'数据-取费表'!Q16</f>
        <v>7.0000000000000007E-2</v>
      </c>
      <c r="G27" s="246" t="s">
        <v>431</v>
      </c>
    </row>
    <row r="28" spans="1:7" s="213" customFormat="1" ht="13.5" customHeight="1">
      <c r="A28" s="778" t="s">
        <v>349</v>
      </c>
      <c r="B28" s="247" t="s">
        <v>424</v>
      </c>
      <c r="C28" s="248">
        <f>ROUND((C5+C19+C20)*F27*'数据-取费表'!B21/'数据-取费表'!B20,0)</f>
        <v>1510</v>
      </c>
      <c r="D28" s="234"/>
      <c r="E28" s="235"/>
      <c r="F28" s="245"/>
      <c r="G28" s="246"/>
    </row>
    <row r="29" spans="1:7" s="213" customFormat="1" ht="13.5" customHeight="1">
      <c r="A29" s="778" t="s">
        <v>347</v>
      </c>
      <c r="B29" s="247" t="s">
        <v>425</v>
      </c>
      <c r="C29" s="237">
        <f>ROUND(C21*F27*'数据-取费表'!B21/'数据-取费表'!B20,4)</f>
        <v>1.4E-3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25987</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12507</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11200</v>
      </c>
      <c r="D34" s="216"/>
      <c r="E34" s="219"/>
      <c r="F34" s="256">
        <f>IF('数据-取费表'!B24=0,1,'数据-取费表'!N16)</f>
        <v>0.99</v>
      </c>
      <c r="G34" s="218" t="s">
        <v>89</v>
      </c>
    </row>
    <row r="35" spans="1:7" ht="13.5" customHeight="1">
      <c r="A35" s="778" t="s">
        <v>351</v>
      </c>
      <c r="B35" s="214" t="s">
        <v>33</v>
      </c>
      <c r="C35" s="219">
        <f>ROUND(C34*F35,0)</f>
        <v>392</v>
      </c>
      <c r="D35" s="219"/>
      <c r="E35" s="219"/>
      <c r="F35" s="258">
        <f>'数据-取费表'!B33</f>
        <v>3.5000000000000003E-2</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747</v>
      </c>
      <c r="D37" s="216">
        <f>'数据-汇总表'!E3</f>
        <v>37711.240000000005</v>
      </c>
      <c r="E37" s="248">
        <f>'数据-取费表'!B35</f>
        <v>200</v>
      </c>
      <c r="F37" s="258"/>
      <c r="G37" s="260" t="s">
        <v>92</v>
      </c>
    </row>
    <row r="38" spans="1:7" ht="13.5" customHeight="1">
      <c r="A38" s="778" t="s">
        <v>354</v>
      </c>
      <c r="B38" s="214" t="s">
        <v>36</v>
      </c>
      <c r="C38" s="219">
        <f>ROUND(C34*F38,0)</f>
        <v>168</v>
      </c>
      <c r="D38" s="219"/>
      <c r="E38" s="219"/>
      <c r="F38" s="258">
        <f>'数据-取费表'!B36</f>
        <v>1.4999999999999999E-2</v>
      </c>
      <c r="G38" s="218" t="s">
        <v>90</v>
      </c>
    </row>
    <row r="39" spans="1:7" s="213" customFormat="1" ht="13.5" customHeight="1">
      <c r="A39" s="775" t="s">
        <v>338</v>
      </c>
      <c r="B39" s="209" t="s">
        <v>77</v>
      </c>
      <c r="C39" s="231">
        <f>ROUND(C33*F20,0)</f>
        <v>250</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224</v>
      </c>
      <c r="D41" s="234">
        <f ca="1">C44</f>
        <v>4.0000000000000002E-4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220</v>
      </c>
      <c r="D42" s="237"/>
      <c r="E42" s="237"/>
      <c r="F42" s="238"/>
      <c r="G42" s="3638" t="s">
        <v>94</v>
      </c>
    </row>
    <row r="43" spans="1:7" ht="13.5" customHeight="1">
      <c r="A43" s="778" t="s">
        <v>347</v>
      </c>
      <c r="B43" s="214" t="s">
        <v>426</v>
      </c>
      <c r="C43" s="237">
        <f ca="1">ROUND(IF('数据-取费表'!B22&lt;=1,C39*F22*'数据-取费表'!B21/2,C39*(POWER((1+F22),'数据-取费表'!B21/2)-1)),0)</f>
        <v>4</v>
      </c>
      <c r="D43" s="237"/>
      <c r="E43" s="237"/>
      <c r="F43" s="238"/>
      <c r="G43" s="3639"/>
    </row>
    <row r="44" spans="1:7" ht="13.5" customHeight="1">
      <c r="A44" s="778" t="s">
        <v>348</v>
      </c>
      <c r="B44" s="214" t="s">
        <v>428</v>
      </c>
      <c r="C44" s="237">
        <f ca="1">ROUND(IF('数据-取费表'!B22&lt;=1,C40*F22*'数据-取费表'!B21/2,C40*(POWER((1+F22),'数据-取费表'!B21/2)-1)),4)</f>
        <v>4.0000000000000002E-4</v>
      </c>
      <c r="D44" s="237"/>
      <c r="E44" s="237"/>
      <c r="F44" s="238"/>
      <c r="G44" s="3640"/>
    </row>
    <row r="45" spans="1:7" s="213" customFormat="1" ht="13.5" customHeight="1">
      <c r="A45" s="775" t="s">
        <v>341</v>
      </c>
      <c r="B45" s="243" t="s">
        <v>85</v>
      </c>
      <c r="C45" s="244">
        <f>C46</f>
        <v>893</v>
      </c>
      <c r="D45" s="234">
        <f>C47</f>
        <v>1.4E-3</v>
      </c>
      <c r="E45" s="235" t="s">
        <v>102</v>
      </c>
      <c r="F45" s="245"/>
      <c r="G45" s="246" t="s">
        <v>434</v>
      </c>
    </row>
    <row r="46" spans="1:7" s="213" customFormat="1" ht="13.5" customHeight="1">
      <c r="A46" s="778" t="s">
        <v>349</v>
      </c>
      <c r="B46" s="247" t="s">
        <v>427</v>
      </c>
      <c r="C46" s="248">
        <f>ROUND((C33+C39)*F27,0)</f>
        <v>893</v>
      </c>
      <c r="D46" s="262"/>
      <c r="E46" s="235"/>
      <c r="F46" s="245"/>
      <c r="G46" s="246"/>
    </row>
    <row r="47" spans="1:7" s="213" customFormat="1" ht="13.5" customHeight="1">
      <c r="A47" s="778" t="s">
        <v>347</v>
      </c>
      <c r="B47" s="247" t="s">
        <v>429</v>
      </c>
      <c r="C47" s="237">
        <f>ROUND(C40*F27,4)</f>
        <v>1.4E-3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14986</v>
      </c>
      <c r="D49" s="231"/>
      <c r="E49" s="231"/>
      <c r="F49" s="263"/>
      <c r="G49" s="233" t="s">
        <v>435</v>
      </c>
    </row>
    <row r="50" spans="1:7" s="257" customFormat="1" ht="24">
      <c r="A50" s="775" t="s">
        <v>344</v>
      </c>
      <c r="B50" s="209" t="s">
        <v>97</v>
      </c>
      <c r="C50" s="231"/>
      <c r="D50" s="231"/>
      <c r="E50" s="231"/>
      <c r="F50" s="263">
        <f>IF('数据-取费表'!B24=0,'数据-取费表'!N16,1)</f>
        <v>1</v>
      </c>
      <c r="G50" s="246" t="s">
        <v>98</v>
      </c>
    </row>
    <row r="51" spans="1:7" ht="16.5" customHeight="1">
      <c r="A51" s="775" t="s">
        <v>345</v>
      </c>
      <c r="B51" s="209" t="s">
        <v>105</v>
      </c>
      <c r="C51" s="231">
        <f ca="1">ROUND(C49*F50,0)</f>
        <v>14986</v>
      </c>
      <c r="D51" s="231"/>
      <c r="E51" s="231"/>
      <c r="F51" s="263"/>
      <c r="G51" s="233" t="s">
        <v>37</v>
      </c>
    </row>
    <row r="52" spans="1:7" s="207" customFormat="1" ht="16.8" thickBot="1">
      <c r="A52" s="264" t="s">
        <v>38</v>
      </c>
      <c r="B52" s="265"/>
      <c r="C52" s="266">
        <f ca="1">C31+C51</f>
        <v>40973</v>
      </c>
      <c r="D52" s="265"/>
      <c r="E52" s="265"/>
      <c r="F52" s="265"/>
      <c r="G52" s="267"/>
    </row>
    <row r="55" spans="1:7" ht="15">
      <c r="B55" s="269" t="s">
        <v>39</v>
      </c>
      <c r="C55" s="270"/>
    </row>
    <row r="56" spans="1:7">
      <c r="B56" s="272" t="s">
        <v>40</v>
      </c>
      <c r="C56" s="273">
        <f ca="1">ROUND(C51/C52,3)</f>
        <v>0.36599999999999999</v>
      </c>
    </row>
    <row r="57" spans="1:7">
      <c r="B57" s="272" t="s">
        <v>41</v>
      </c>
      <c r="C57" s="274">
        <f ca="1">1-C56</f>
        <v>0.63400000000000001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7.399999999999999">
      <c r="A3" s="3461" t="str">
        <f>IF(项目基本情况!B9="房地产市场价值","估价结果一览表（市场价值不需“结果表-1”）","估价结果一览表")</f>
        <v>估价结果一览表</v>
      </c>
      <c r="B3" s="3461"/>
      <c r="C3" s="3461"/>
      <c r="D3" s="3461"/>
      <c r="E3" s="3461"/>
    </row>
    <row r="4" spans="1:5" ht="18" thickBot="1">
      <c r="A4" s="1489"/>
      <c r="B4" s="3459" t="s">
        <v>917</v>
      </c>
      <c r="C4" s="3459"/>
      <c r="D4" s="3459"/>
      <c r="E4" s="1489"/>
    </row>
    <row r="5" spans="1:5" ht="16.2" thickTop="1">
      <c r="A5" s="1487"/>
      <c r="B5" s="3457" t="s">
        <v>909</v>
      </c>
      <c r="C5" s="1490" t="s">
        <v>910</v>
      </c>
      <c r="D5" s="848">
        <f ca="1">结果表!H101</f>
        <v>23517</v>
      </c>
      <c r="E5" s="1487"/>
    </row>
    <row r="6" spans="1:5" ht="15.6">
      <c r="A6" s="1487"/>
      <c r="B6" s="3457"/>
      <c r="C6" s="1490" t="s">
        <v>911</v>
      </c>
      <c r="D6" s="848" t="str">
        <f ca="1">NUMBERSTRING(INT(D5*10000),2)&amp;"元整"</f>
        <v>贰亿叁仟伍佰壹拾柒万元整</v>
      </c>
      <c r="E6" s="1487"/>
    </row>
    <row r="7" spans="1:5" ht="15.6">
      <c r="A7" s="1487"/>
      <c r="B7" s="3462"/>
      <c r="C7" s="1491" t="s">
        <v>912</v>
      </c>
      <c r="D7" s="849">
        <f ca="1">结果表!H102</f>
        <v>6236</v>
      </c>
      <c r="E7" s="1487"/>
    </row>
    <row r="8" spans="1:5" ht="15.6">
      <c r="A8" s="1487"/>
      <c r="B8" s="3463" t="str">
        <f>结果表!E103</f>
        <v>2.估价师知悉的法定优先受偿款</v>
      </c>
      <c r="C8" s="1492" t="s">
        <v>913</v>
      </c>
      <c r="D8" s="849">
        <f>结果表!H103</f>
        <v>0</v>
      </c>
      <c r="E8" s="1487"/>
    </row>
    <row r="9" spans="1:5" ht="15.6">
      <c r="A9" s="1487"/>
      <c r="B9" s="346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56" t="str">
        <f>结果表!E107</f>
        <v>3.房地产抵押价值</v>
      </c>
      <c r="C13" s="1495" t="s">
        <v>910</v>
      </c>
      <c r="D13" s="851">
        <f ca="1">结果表!H107</f>
        <v>23517</v>
      </c>
      <c r="E13" s="1487"/>
    </row>
    <row r="14" spans="1:5" ht="15.6">
      <c r="A14" s="1487"/>
      <c r="B14" s="3457"/>
      <c r="C14" s="1490" t="s">
        <v>911</v>
      </c>
      <c r="D14" s="848" t="str">
        <f ca="1">NUMBERSTRING(INT(D13*10000),2)&amp;"元整"</f>
        <v>贰亿叁仟伍佰壹拾柒万元整</v>
      </c>
      <c r="E14" s="1487"/>
    </row>
    <row r="15" spans="1:5" ht="15.6">
      <c r="A15" s="1487"/>
      <c r="B15" s="3462"/>
      <c r="C15" s="1491" t="s">
        <v>921</v>
      </c>
      <c r="D15" s="857">
        <f ca="1">结果表!H108</f>
        <v>6236</v>
      </c>
      <c r="E15" s="1487"/>
    </row>
    <row r="16" spans="1:5" ht="15.6">
      <c r="A16" s="1487"/>
      <c r="B16" s="3463" t="str">
        <f>结果表!E109</f>
        <v>——</v>
      </c>
      <c r="C16" s="1495" t="s">
        <v>922</v>
      </c>
      <c r="D16" s="1496" t="str">
        <f>结果表!H109</f>
        <v>——</v>
      </c>
      <c r="E16" s="1487"/>
    </row>
    <row r="17" spans="1:5" ht="15.6">
      <c r="A17" s="1487"/>
      <c r="B17" s="3464"/>
      <c r="C17" s="1490" t="s">
        <v>923</v>
      </c>
      <c r="D17" s="848" t="e">
        <f>NUMBERSTRING(INT(D16*10000),2)&amp;"元整"</f>
        <v>#VALUE!</v>
      </c>
      <c r="E17" s="1487"/>
    </row>
    <row r="18" spans="1:5" ht="15.6">
      <c r="A18" s="1487"/>
      <c r="B18" s="3465"/>
      <c r="C18" s="1491" t="s">
        <v>912</v>
      </c>
      <c r="D18" s="857" t="str">
        <f>结果表!H110</f>
        <v>——</v>
      </c>
      <c r="E18" s="1487"/>
    </row>
    <row r="19" spans="1:5" ht="15.6">
      <c r="A19" s="1487"/>
      <c r="B19" s="3456" t="str">
        <f>结果表!E111</f>
        <v>——</v>
      </c>
      <c r="C19" s="1495" t="s">
        <v>910</v>
      </c>
      <c r="D19" s="849" t="str">
        <f>结果表!H111</f>
        <v>——</v>
      </c>
      <c r="E19" s="1487"/>
    </row>
    <row r="20" spans="1:5" ht="15.6">
      <c r="A20" s="1487"/>
      <c r="B20" s="3457"/>
      <c r="C20" s="1490" t="s">
        <v>923</v>
      </c>
      <c r="D20" s="848" t="e">
        <f>NUMBERSTRING(INT(D19*10000),2)&amp;"元整"</f>
        <v>#VALUE!</v>
      </c>
      <c r="E20" s="1487"/>
    </row>
    <row r="21" spans="1:5" ht="16.2" thickBot="1">
      <c r="A21" s="1487"/>
      <c r="B21" s="345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1" customWidth="1"/>
    <col min="2" max="2" width="18.6640625" style="3221" customWidth="1"/>
    <col min="3" max="6" width="10.21875" style="3221" customWidth="1"/>
    <col min="7" max="7" width="10.44140625" style="3221" bestFit="1" customWidth="1"/>
    <col min="8" max="8" width="8.88671875" style="3217"/>
    <col min="9" max="9" width="13.33203125" style="3217" customWidth="1"/>
    <col min="10" max="13" width="13.33203125" style="3221" customWidth="1"/>
    <col min="14" max="14" width="18.21875" style="3221" customWidth="1"/>
    <col min="15" max="17" width="15.109375" style="3221" customWidth="1"/>
    <col min="18" max="20" width="11.44140625" style="3221" customWidth="1"/>
    <col min="21" max="16384" width="8.88671875" style="3221"/>
  </cols>
  <sheetData>
    <row r="1" spans="1:20" ht="11.4" thickBot="1">
      <c r="A1" s="3778" t="s">
        <v>2844</v>
      </c>
      <c r="B1" s="3778"/>
      <c r="C1" s="3778"/>
      <c r="D1" s="3778"/>
      <c r="E1" s="3778"/>
      <c r="F1" s="3778"/>
      <c r="G1" s="3779"/>
      <c r="I1" s="3218" t="s">
        <v>2845</v>
      </c>
      <c r="J1" s="3219" t="s">
        <v>2846</v>
      </c>
      <c r="K1" s="3219" t="s">
        <v>2847</v>
      </c>
      <c r="L1" s="3219" t="s">
        <v>2848</v>
      </c>
      <c r="M1" s="3219" t="s">
        <v>2849</v>
      </c>
      <c r="N1" s="3219" t="s">
        <v>2850</v>
      </c>
      <c r="O1" s="3219" t="s">
        <v>2851</v>
      </c>
      <c r="P1" s="3219" t="s">
        <v>2852</v>
      </c>
      <c r="Q1" s="3219" t="s">
        <v>2853</v>
      </c>
      <c r="R1" s="3219" t="s">
        <v>2854</v>
      </c>
      <c r="S1" s="3219" t="s">
        <v>2855</v>
      </c>
      <c r="T1" s="3220" t="s">
        <v>2856</v>
      </c>
    </row>
    <row r="2" spans="1:20" ht="11.4" thickBot="1">
      <c r="A2" s="3222" t="s">
        <v>2857</v>
      </c>
      <c r="B2" s="3222"/>
      <c r="C2" s="3222"/>
      <c r="D2" s="3222"/>
      <c r="E2" s="3222"/>
      <c r="F2" s="3222"/>
      <c r="G2" s="3223" t="s">
        <v>2858</v>
      </c>
      <c r="I2" s="3224" t="s">
        <v>2859</v>
      </c>
      <c r="J2" s="3224" t="s">
        <v>2860</v>
      </c>
      <c r="K2" s="3224" t="s">
        <v>2861</v>
      </c>
      <c r="L2" s="3224" t="s">
        <v>2862</v>
      </c>
      <c r="M2" s="3224" t="s">
        <v>2863</v>
      </c>
      <c r="N2" s="3224" t="s">
        <v>2864</v>
      </c>
      <c r="O2" s="3224" t="s">
        <v>2865</v>
      </c>
      <c r="P2" s="3224" t="s">
        <v>2866</v>
      </c>
      <c r="Q2" s="3224" t="s">
        <v>2867</v>
      </c>
      <c r="R2" s="3224" t="s">
        <v>2868</v>
      </c>
      <c r="S2" s="3224" t="s">
        <v>2869</v>
      </c>
      <c r="T2" s="3224" t="s">
        <v>2870</v>
      </c>
    </row>
    <row r="3" spans="1:20" s="3230" customFormat="1">
      <c r="A3" s="3776" t="s">
        <v>2871</v>
      </c>
      <c r="B3" s="3225"/>
      <c r="C3" s="3226" t="s">
        <v>2814</v>
      </c>
      <c r="D3" s="3226" t="s">
        <v>2872</v>
      </c>
      <c r="E3" s="3226" t="s">
        <v>2816</v>
      </c>
      <c r="F3" s="3226" t="s">
        <v>2873</v>
      </c>
      <c r="G3" s="3226" t="s">
        <v>2634</v>
      </c>
      <c r="H3" s="3227"/>
      <c r="I3" s="3228" t="s">
        <v>2874</v>
      </c>
      <c r="J3" s="3229" t="s">
        <v>128</v>
      </c>
      <c r="K3" s="3229" t="s">
        <v>129</v>
      </c>
      <c r="L3" s="3228" t="s">
        <v>130</v>
      </c>
      <c r="M3" s="3228" t="s">
        <v>131</v>
      </c>
      <c r="N3" s="3228" t="s">
        <v>132</v>
      </c>
      <c r="O3" s="3228" t="s">
        <v>133</v>
      </c>
      <c r="P3" s="3228" t="s">
        <v>134</v>
      </c>
      <c r="Q3" s="3228" t="s">
        <v>135</v>
      </c>
      <c r="R3" s="3228" t="s">
        <v>136</v>
      </c>
      <c r="S3" s="3228" t="s">
        <v>2875</v>
      </c>
      <c r="T3" s="3228" t="s">
        <v>2876</v>
      </c>
    </row>
    <row r="4" spans="1:20" s="3230" customFormat="1" ht="11.4" thickBot="1">
      <c r="A4" s="3777"/>
      <c r="B4" s="3231" t="s">
        <v>2877</v>
      </c>
      <c r="C4" s="3231" t="s">
        <v>2878</v>
      </c>
      <c r="D4" s="3231" t="s">
        <v>2878</v>
      </c>
      <c r="E4" s="3231" t="s">
        <v>2878</v>
      </c>
      <c r="F4" s="3232" t="s">
        <v>2878</v>
      </c>
      <c r="G4" s="3232" t="s">
        <v>2878</v>
      </c>
      <c r="H4" s="3227"/>
      <c r="I4" s="3229" t="s">
        <v>137</v>
      </c>
      <c r="J4" s="3229" t="s">
        <v>111</v>
      </c>
      <c r="K4" s="3229" t="s">
        <v>138</v>
      </c>
      <c r="L4" s="3228" t="s">
        <v>139</v>
      </c>
      <c r="M4" s="3228" t="s">
        <v>140</v>
      </c>
      <c r="N4" s="3228" t="s">
        <v>141</v>
      </c>
      <c r="O4" s="3228" t="s">
        <v>142</v>
      </c>
      <c r="P4" s="3228" t="s">
        <v>143</v>
      </c>
      <c r="Q4" s="3228" t="s">
        <v>2879</v>
      </c>
      <c r="R4" s="3228" t="s">
        <v>2880</v>
      </c>
      <c r="S4" s="3228" t="s">
        <v>2881</v>
      </c>
      <c r="T4" s="3228" t="s">
        <v>2882</v>
      </c>
    </row>
    <row r="5" spans="1:20">
      <c r="A5" s="3233" t="s">
        <v>2845</v>
      </c>
      <c r="B5" s="3224" t="s">
        <v>2859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2883</v>
      </c>
      <c r="R5" s="3228" t="s">
        <v>2884</v>
      </c>
      <c r="S5" s="3228" t="s">
        <v>153</v>
      </c>
      <c r="T5" s="3228" t="s">
        <v>2885</v>
      </c>
    </row>
    <row r="6" spans="1:20" ht="11.4" thickBot="1">
      <c r="A6" s="3228" t="s">
        <v>144</v>
      </c>
      <c r="B6" s="3228" t="s">
        <v>2874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2886</v>
      </c>
      <c r="Q6" s="3228" t="s">
        <v>2887</v>
      </c>
      <c r="R6" s="3228" t="s">
        <v>161</v>
      </c>
      <c r="S6" s="3228" t="s">
        <v>2888</v>
      </c>
      <c r="T6" s="3228" t="s">
        <v>2889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2890</v>
      </c>
      <c r="Q7" s="3228" t="s">
        <v>2891</v>
      </c>
      <c r="R7" s="3228" t="s">
        <v>2892</v>
      </c>
      <c r="S7" s="3228" t="s">
        <v>2893</v>
      </c>
      <c r="T7" s="3228" t="s">
        <v>2894</v>
      </c>
    </row>
    <row r="8" spans="1:20" ht="11.4"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2895</v>
      </c>
      <c r="Q8" s="3228" t="s">
        <v>174</v>
      </c>
      <c r="R8" s="3228" t="s">
        <v>2896</v>
      </c>
      <c r="S8" s="3228" t="s">
        <v>2897</v>
      </c>
      <c r="T8" s="3235" t="s">
        <v>2898</v>
      </c>
    </row>
    <row r="9" spans="1:20" ht="11.4"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2899</v>
      </c>
      <c r="Q9" s="3228" t="s">
        <v>182</v>
      </c>
      <c r="R9" s="3228" t="s">
        <v>183</v>
      </c>
      <c r="S9" s="3228" t="s">
        <v>200</v>
      </c>
    </row>
    <row r="10" spans="1:20">
      <c r="A10" s="3233" t="s">
        <v>184</v>
      </c>
      <c r="B10" s="3224" t="s">
        <v>2860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2901</v>
      </c>
      <c r="P11" s="3228" t="s">
        <v>191</v>
      </c>
      <c r="Q11" s="3228" t="s">
        <v>199</v>
      </c>
      <c r="R11" s="3228" t="s">
        <v>2902</v>
      </c>
      <c r="S11" s="3228" t="s">
        <v>2903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2904</v>
      </c>
      <c r="P12" s="3228" t="s">
        <v>2905</v>
      </c>
      <c r="Q12" s="3228" t="s">
        <v>2906</v>
      </c>
      <c r="R12" s="3228" t="s">
        <v>2907</v>
      </c>
      <c r="S12" s="3228" t="s">
        <v>2908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2910</v>
      </c>
      <c r="K14" s="3229" t="s">
        <v>215</v>
      </c>
      <c r="L14" s="3228" t="s">
        <v>216</v>
      </c>
      <c r="M14" s="3228" t="s">
        <v>217</v>
      </c>
      <c r="N14" s="3228" t="s">
        <v>218</v>
      </c>
      <c r="O14" s="3228" t="s">
        <v>240</v>
      </c>
      <c r="P14" s="3228" t="s">
        <v>213</v>
      </c>
      <c r="Q14" s="3228" t="s">
        <v>2911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2912</v>
      </c>
      <c r="P15" s="3228" t="s">
        <v>2913</v>
      </c>
      <c r="Q15" s="3228" t="s">
        <v>242</v>
      </c>
      <c r="R15" s="3228" t="s">
        <v>2914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2915</v>
      </c>
      <c r="P16" s="3228" t="s">
        <v>227</v>
      </c>
      <c r="Q16" s="3228" t="s">
        <v>250</v>
      </c>
      <c r="R16" s="3228" t="s">
        <v>207</v>
      </c>
      <c r="S16" s="3228" t="s">
        <v>2916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2917</v>
      </c>
      <c r="P17" s="3228" t="s">
        <v>2918</v>
      </c>
      <c r="Q17" s="3228" t="s">
        <v>256</v>
      </c>
      <c r="R17" s="3228" t="s">
        <v>2919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2920</v>
      </c>
      <c r="P18" s="3228" t="s">
        <v>241</v>
      </c>
      <c r="Q18" s="3228" t="s">
        <v>2921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2922</v>
      </c>
      <c r="P19" s="3228" t="s">
        <v>249</v>
      </c>
      <c r="Q19" s="3228" t="s">
        <v>2923</v>
      </c>
      <c r="R19" s="3228" t="s">
        <v>265</v>
      </c>
      <c r="S19" s="3228" t="s">
        <v>2924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2925</v>
      </c>
      <c r="P20" s="3228" t="s">
        <v>2926</v>
      </c>
      <c r="Q20" s="3228" t="s">
        <v>290</v>
      </c>
      <c r="R20" s="3228" t="s">
        <v>2927</v>
      </c>
      <c r="S20" s="3228" t="s">
        <v>277</v>
      </c>
    </row>
    <row r="21" spans="1:19" ht="14.25" customHeight="1" thickBot="1">
      <c r="A21" s="3228" t="s">
        <v>184</v>
      </c>
      <c r="B21" s="3229" t="s">
        <v>208</v>
      </c>
      <c r="C21" s="3228">
        <v>32370</v>
      </c>
      <c r="D21" s="3228">
        <v>26730</v>
      </c>
      <c r="E21" s="3228">
        <v>26640</v>
      </c>
      <c r="F21" s="3228"/>
      <c r="G21" s="3228">
        <v>19440</v>
      </c>
      <c r="J21" s="3235" t="s">
        <v>2928</v>
      </c>
      <c r="K21" s="3229" t="s">
        <v>267</v>
      </c>
      <c r="L21" s="3228" t="s">
        <v>268</v>
      </c>
      <c r="M21" s="3228" t="s">
        <v>269</v>
      </c>
      <c r="N21" s="3228" t="s">
        <v>270</v>
      </c>
      <c r="O21" s="3228" t="s">
        <v>264</v>
      </c>
      <c r="P21" s="3228" t="s">
        <v>283</v>
      </c>
      <c r="Q21" s="3228" t="s">
        <v>293</v>
      </c>
      <c r="R21" s="3228" t="s">
        <v>2929</v>
      </c>
      <c r="S21" s="3235" t="s">
        <v>2930</v>
      </c>
    </row>
    <row r="22" spans="1:19" ht="14.25" customHeight="1">
      <c r="A22" s="3228" t="s">
        <v>184</v>
      </c>
      <c r="B22" s="3229" t="s">
        <v>2910</v>
      </c>
      <c r="C22" s="3228">
        <v>29830</v>
      </c>
      <c r="D22" s="3228">
        <v>27600</v>
      </c>
      <c r="E22" s="3228">
        <v>28150</v>
      </c>
      <c r="F22" s="3228"/>
      <c r="G22" s="3228">
        <v>20080</v>
      </c>
      <c r="K22" s="3229" t="s">
        <v>2931</v>
      </c>
      <c r="L22" s="3228" t="s">
        <v>272</v>
      </c>
      <c r="M22" s="3228" t="s">
        <v>273</v>
      </c>
      <c r="N22" s="3228" t="s">
        <v>274</v>
      </c>
      <c r="O22" s="3228" t="s">
        <v>2932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2933</v>
      </c>
      <c r="L23" s="3228" t="s">
        <v>278</v>
      </c>
      <c r="M23" s="3228" t="s">
        <v>279</v>
      </c>
      <c r="N23" s="3228" t="s">
        <v>2934</v>
      </c>
      <c r="O23" s="3228" t="s">
        <v>2935</v>
      </c>
      <c r="P23" s="3228" t="s">
        <v>289</v>
      </c>
      <c r="Q23" s="3228" t="s">
        <v>298</v>
      </c>
      <c r="R23" s="3228" t="s">
        <v>2936</v>
      </c>
    </row>
    <row r="24" spans="1:19" ht="14.25" customHeight="1">
      <c r="A24" s="3228" t="s">
        <v>184</v>
      </c>
      <c r="B24" s="3229" t="s">
        <v>230</v>
      </c>
      <c r="C24" s="3228">
        <v>27930</v>
      </c>
      <c r="D24" s="3228">
        <v>32260</v>
      </c>
      <c r="E24" s="3228">
        <v>32120</v>
      </c>
      <c r="F24" s="3228"/>
      <c r="G24" s="3228">
        <v>23470</v>
      </c>
      <c r="K24" s="3229" t="s">
        <v>2937</v>
      </c>
      <c r="L24" s="3228" t="s">
        <v>281</v>
      </c>
      <c r="M24" s="3228" t="s">
        <v>282</v>
      </c>
      <c r="N24" s="3228" t="s">
        <v>2938</v>
      </c>
      <c r="O24" s="3228" t="s">
        <v>285</v>
      </c>
      <c r="P24" s="3228" t="s">
        <v>2939</v>
      </c>
      <c r="Q24" s="3237" t="s">
        <v>2940</v>
      </c>
      <c r="R24" s="3228" t="s">
        <v>2941</v>
      </c>
    </row>
    <row r="25" spans="1:19" ht="14.25" customHeight="1">
      <c r="A25" s="3228" t="s">
        <v>184</v>
      </c>
      <c r="B25" s="3229" t="s">
        <v>235</v>
      </c>
      <c r="C25" s="3228">
        <v>32230</v>
      </c>
      <c r="D25" s="3228">
        <v>29640</v>
      </c>
      <c r="E25" s="3228">
        <v>29510</v>
      </c>
      <c r="F25" s="3228"/>
      <c r="G25" s="3228">
        <v>21560</v>
      </c>
      <c r="K25" s="3229" t="s">
        <v>2942</v>
      </c>
      <c r="L25" s="3228" t="s">
        <v>2943</v>
      </c>
      <c r="M25" s="3228" t="s">
        <v>284</v>
      </c>
      <c r="N25" s="3228" t="s">
        <v>292</v>
      </c>
      <c r="O25" s="3228" t="s">
        <v>288</v>
      </c>
      <c r="P25" s="3228" t="s">
        <v>275</v>
      </c>
      <c r="Q25" s="3237" t="s">
        <v>271</v>
      </c>
      <c r="R25" s="3228" t="s">
        <v>2944</v>
      </c>
    </row>
    <row r="26" spans="1:19" ht="14.25" customHeight="1" thickBot="1">
      <c r="A26" s="3228" t="s">
        <v>184</v>
      </c>
      <c r="B26" s="3229" t="s">
        <v>244</v>
      </c>
      <c r="C26" s="3228">
        <v>31690</v>
      </c>
      <c r="D26" s="3228">
        <v>27650</v>
      </c>
      <c r="E26" s="3228">
        <v>28200</v>
      </c>
      <c r="F26" s="3228"/>
      <c r="G26" s="3228">
        <v>20110</v>
      </c>
      <c r="K26" s="3234" t="s">
        <v>2945</v>
      </c>
      <c r="L26" s="3228" t="s">
        <v>2946</v>
      </c>
      <c r="M26" s="3228" t="s">
        <v>287</v>
      </c>
      <c r="N26" s="3228" t="s">
        <v>294</v>
      </c>
      <c r="O26" s="3228" t="s">
        <v>2947</v>
      </c>
      <c r="P26" s="3228" t="s">
        <v>2948</v>
      </c>
      <c r="Q26" s="3237" t="s">
        <v>276</v>
      </c>
      <c r="R26" s="3228" t="s">
        <v>2949</v>
      </c>
    </row>
    <row r="27" spans="1:19" ht="14.25" customHeight="1">
      <c r="A27" s="3228" t="s">
        <v>184</v>
      </c>
      <c r="B27" s="3229" t="s">
        <v>251</v>
      </c>
      <c r="C27" s="3228">
        <v>29610</v>
      </c>
      <c r="D27" s="3228">
        <v>27770</v>
      </c>
      <c r="E27" s="3228">
        <v>28300</v>
      </c>
      <c r="F27" s="3228"/>
      <c r="G27" s="3228">
        <v>20210</v>
      </c>
      <c r="L27" s="3228" t="s">
        <v>2950</v>
      </c>
      <c r="M27" s="3228" t="s">
        <v>291</v>
      </c>
      <c r="N27" s="3228" t="s">
        <v>297</v>
      </c>
      <c r="O27" s="3228" t="s">
        <v>2951</v>
      </c>
      <c r="P27" s="3228" t="s">
        <v>2952</v>
      </c>
      <c r="Q27" s="3228" t="s">
        <v>2953</v>
      </c>
      <c r="R27" s="3228" t="s">
        <v>2954</v>
      </c>
    </row>
    <row r="28" spans="1:19" ht="14.25" customHeight="1">
      <c r="A28" s="3228" t="s">
        <v>184</v>
      </c>
      <c r="B28" s="3229" t="s">
        <v>259</v>
      </c>
      <c r="C28" s="3228"/>
      <c r="D28" s="3228">
        <v>31520</v>
      </c>
      <c r="E28" s="3228">
        <v>31410</v>
      </c>
      <c r="F28" s="3228"/>
      <c r="G28" s="3228">
        <v>22940</v>
      </c>
      <c r="L28" s="3228" t="s">
        <v>2955</v>
      </c>
      <c r="M28" s="3228" t="s">
        <v>2956</v>
      </c>
      <c r="N28" s="3228" t="s">
        <v>2957</v>
      </c>
      <c r="O28" s="3228" t="s">
        <v>2958</v>
      </c>
      <c r="P28" s="3228" t="s">
        <v>2959</v>
      </c>
      <c r="Q28" s="3228" t="s">
        <v>2960</v>
      </c>
      <c r="R28" s="3228" t="s">
        <v>2961</v>
      </c>
    </row>
    <row r="29" spans="1:19" ht="14.25" customHeight="1" thickBot="1">
      <c r="A29" s="3236" t="s">
        <v>184</v>
      </c>
      <c r="B29" s="3238" t="s">
        <v>2928</v>
      </c>
      <c r="C29" s="3239"/>
      <c r="D29" s="3239">
        <v>29460</v>
      </c>
      <c r="E29" s="3239">
        <v>28640</v>
      </c>
      <c r="F29" s="3239"/>
      <c r="G29" s="3239">
        <v>21430</v>
      </c>
      <c r="L29" s="3228" t="s">
        <v>2962</v>
      </c>
      <c r="M29" s="3228" t="s">
        <v>2963</v>
      </c>
      <c r="N29" s="3228" t="s">
        <v>2964</v>
      </c>
      <c r="O29" s="3228" t="s">
        <v>2965</v>
      </c>
      <c r="P29" s="3228" t="s">
        <v>2966</v>
      </c>
      <c r="Q29" s="3228" t="s">
        <v>2967</v>
      </c>
      <c r="R29" s="3228" t="s">
        <v>280</v>
      </c>
    </row>
    <row r="30" spans="1:19" ht="14.25" customHeight="1">
      <c r="A30" s="3233" t="s">
        <v>296</v>
      </c>
      <c r="B30" s="3224" t="s">
        <v>2861</v>
      </c>
      <c r="C30" s="3224">
        <v>26890</v>
      </c>
      <c r="D30" s="3224">
        <v>26770</v>
      </c>
      <c r="E30" s="3224">
        <v>25700</v>
      </c>
      <c r="F30" s="3224">
        <v>8180</v>
      </c>
      <c r="G30" s="3240">
        <v>18740</v>
      </c>
      <c r="L30" s="3228" t="s">
        <v>2968</v>
      </c>
      <c r="M30" s="3228" t="s">
        <v>2969</v>
      </c>
      <c r="N30" s="3228" t="s">
        <v>2970</v>
      </c>
      <c r="O30" s="3228" t="s">
        <v>2971</v>
      </c>
      <c r="P30" s="3228" t="s">
        <v>2972</v>
      </c>
      <c r="Q30" s="3228" t="s">
        <v>2973</v>
      </c>
      <c r="R30" s="3228" t="s">
        <v>2974</v>
      </c>
    </row>
    <row r="31" spans="1:19" ht="14.25" customHeight="1">
      <c r="A31" s="3228" t="s">
        <v>296</v>
      </c>
      <c r="B31" s="3229" t="s">
        <v>129</v>
      </c>
      <c r="C31" s="3228">
        <v>24550</v>
      </c>
      <c r="D31" s="3228">
        <v>23990</v>
      </c>
      <c r="E31" s="3228">
        <v>22930</v>
      </c>
      <c r="F31" s="3228">
        <v>7470</v>
      </c>
      <c r="G31" s="3241">
        <v>16790</v>
      </c>
      <c r="L31" s="3228" t="s">
        <v>2975</v>
      </c>
      <c r="M31" s="3228" t="s">
        <v>2976</v>
      </c>
      <c r="N31" s="3228" t="s">
        <v>2977</v>
      </c>
      <c r="O31" s="3228" t="s">
        <v>2978</v>
      </c>
      <c r="P31" s="3228" t="s">
        <v>2979</v>
      </c>
      <c r="Q31" s="3228" t="s">
        <v>2980</v>
      </c>
      <c r="R31" s="3228" t="s">
        <v>2981</v>
      </c>
    </row>
    <row r="32" spans="1:19" ht="14.25" customHeight="1" thickBot="1">
      <c r="A32" s="3228" t="s">
        <v>296</v>
      </c>
      <c r="B32" s="3229" t="s">
        <v>138</v>
      </c>
      <c r="C32" s="3228">
        <v>27210</v>
      </c>
      <c r="D32" s="3228">
        <v>23240</v>
      </c>
      <c r="E32" s="3228">
        <v>23260</v>
      </c>
      <c r="F32" s="3228">
        <v>7130</v>
      </c>
      <c r="G32" s="3241">
        <v>16270</v>
      </c>
      <c r="L32" s="3228" t="s">
        <v>2982</v>
      </c>
      <c r="M32" s="3228" t="s">
        <v>2983</v>
      </c>
      <c r="N32" s="3228" t="s">
        <v>300</v>
      </c>
      <c r="O32" s="3228" t="s">
        <v>2984</v>
      </c>
      <c r="P32" s="3228" t="s">
        <v>299</v>
      </c>
      <c r="Q32" s="3228" t="s">
        <v>2985</v>
      </c>
      <c r="R32" s="3235" t="s">
        <v>2986</v>
      </c>
    </row>
    <row r="33" spans="1:17" ht="14.25" customHeight="1" thickBot="1">
      <c r="A33" s="3228" t="s">
        <v>296</v>
      </c>
      <c r="B33" s="3229" t="s">
        <v>147</v>
      </c>
      <c r="C33" s="3228">
        <v>27300</v>
      </c>
      <c r="D33" s="3228">
        <v>22980</v>
      </c>
      <c r="E33" s="3228">
        <v>24260</v>
      </c>
      <c r="F33" s="3228">
        <v>5860</v>
      </c>
      <c r="G33" s="3241">
        <v>16090</v>
      </c>
      <c r="L33" s="3235" t="s">
        <v>2987</v>
      </c>
      <c r="M33" s="3228" t="s">
        <v>2988</v>
      </c>
      <c r="N33" s="3228" t="s">
        <v>301</v>
      </c>
      <c r="O33" s="3228" t="s">
        <v>2989</v>
      </c>
      <c r="P33" s="3228" t="s">
        <v>2990</v>
      </c>
      <c r="Q33" s="3228" t="s">
        <v>2991</v>
      </c>
    </row>
    <row r="34" spans="1:17" ht="14.25" customHeight="1">
      <c r="A34" s="3228" t="s">
        <v>296</v>
      </c>
      <c r="B34" s="3229" t="s">
        <v>156</v>
      </c>
      <c r="C34" s="3228">
        <v>23090</v>
      </c>
      <c r="D34" s="3228">
        <v>23390</v>
      </c>
      <c r="E34" s="3228">
        <v>23510</v>
      </c>
      <c r="F34" s="3228">
        <v>6700</v>
      </c>
      <c r="G34" s="3241">
        <v>16370</v>
      </c>
      <c r="M34" s="3228" t="s">
        <v>2992</v>
      </c>
      <c r="N34" s="3228" t="s">
        <v>302</v>
      </c>
      <c r="O34" s="3228" t="s">
        <v>2993</v>
      </c>
      <c r="P34" s="3228" t="s">
        <v>2994</v>
      </c>
      <c r="Q34" s="3228" t="s">
        <v>2995</v>
      </c>
    </row>
    <row r="35" spans="1:17" ht="14.25" customHeight="1">
      <c r="A35" s="3228" t="s">
        <v>296</v>
      </c>
      <c r="B35" s="3229" t="s">
        <v>163</v>
      </c>
      <c r="C35" s="3228">
        <v>27270</v>
      </c>
      <c r="D35" s="3228">
        <v>24270</v>
      </c>
      <c r="E35" s="3228">
        <v>24950</v>
      </c>
      <c r="F35" s="3228">
        <v>6600</v>
      </c>
      <c r="G35" s="3241">
        <v>16990</v>
      </c>
      <c r="M35" s="3228" t="s">
        <v>2996</v>
      </c>
      <c r="N35" s="3228" t="s">
        <v>2997</v>
      </c>
      <c r="O35" s="3228" t="s">
        <v>2998</v>
      </c>
      <c r="P35" s="3228" t="s">
        <v>2999</v>
      </c>
      <c r="Q35" s="3228" t="s">
        <v>3000</v>
      </c>
    </row>
    <row r="36" spans="1:17" ht="14.25" customHeight="1">
      <c r="A36" s="3228" t="s">
        <v>296</v>
      </c>
      <c r="B36" s="3229" t="s">
        <v>169</v>
      </c>
      <c r="C36" s="3228">
        <v>23490</v>
      </c>
      <c r="D36" s="3228">
        <v>23020</v>
      </c>
      <c r="E36" s="3228">
        <v>25230</v>
      </c>
      <c r="F36" s="3228">
        <v>6780</v>
      </c>
      <c r="G36" s="3241">
        <v>16120</v>
      </c>
      <c r="M36" s="3228" t="s">
        <v>3001</v>
      </c>
      <c r="N36" s="3228" t="s">
        <v>3002</v>
      </c>
      <c r="O36" s="3228" t="s">
        <v>3003</v>
      </c>
      <c r="P36" s="3228" t="s">
        <v>3004</v>
      </c>
      <c r="Q36" s="3228" t="s">
        <v>3005</v>
      </c>
    </row>
    <row r="37" spans="1:17" ht="14.25" customHeight="1">
      <c r="A37" s="3228" t="s">
        <v>296</v>
      </c>
      <c r="B37" s="3229" t="s">
        <v>176</v>
      </c>
      <c r="C37" s="3228">
        <v>24380</v>
      </c>
      <c r="D37" s="3228">
        <v>22240</v>
      </c>
      <c r="E37" s="3228">
        <v>25980</v>
      </c>
      <c r="F37" s="3228">
        <v>8160</v>
      </c>
      <c r="G37" s="3241">
        <v>15570</v>
      </c>
      <c r="M37" s="3228" t="s">
        <v>3006</v>
      </c>
      <c r="N37" s="3228" t="s">
        <v>3007</v>
      </c>
      <c r="O37" s="3228" t="s">
        <v>3008</v>
      </c>
      <c r="P37" s="3228" t="s">
        <v>3009</v>
      </c>
      <c r="Q37" s="3228" t="s">
        <v>3010</v>
      </c>
    </row>
    <row r="38" spans="1:17" ht="14.25" customHeight="1">
      <c r="A38" s="3228" t="s">
        <v>296</v>
      </c>
      <c r="B38" s="3229" t="s">
        <v>186</v>
      </c>
      <c r="C38" s="3228">
        <v>23120</v>
      </c>
      <c r="D38" s="3228">
        <v>24630</v>
      </c>
      <c r="E38" s="3228">
        <v>25030</v>
      </c>
      <c r="F38" s="3228">
        <v>7710</v>
      </c>
      <c r="G38" s="3241">
        <v>17240</v>
      </c>
      <c r="M38" s="3228" t="s">
        <v>3011</v>
      </c>
      <c r="N38" s="3228" t="s">
        <v>3012</v>
      </c>
      <c r="O38" s="3228" t="s">
        <v>3013</v>
      </c>
      <c r="P38" s="3228" t="s">
        <v>3014</v>
      </c>
      <c r="Q38" s="3228" t="s">
        <v>3015</v>
      </c>
    </row>
    <row r="39" spans="1:17" ht="14.25" customHeight="1">
      <c r="A39" s="3228" t="s">
        <v>296</v>
      </c>
      <c r="B39" s="3229" t="s">
        <v>195</v>
      </c>
      <c r="C39" s="3228">
        <v>22330</v>
      </c>
      <c r="D39" s="3228">
        <v>21140</v>
      </c>
      <c r="E39" s="3228">
        <v>23970</v>
      </c>
      <c r="F39" s="3228">
        <v>7940</v>
      </c>
      <c r="G39" s="3241">
        <v>14790</v>
      </c>
      <c r="M39" s="3228" t="s">
        <v>3016</v>
      </c>
      <c r="N39" s="3228" t="s">
        <v>3017</v>
      </c>
      <c r="O39" s="3228" t="s">
        <v>3018</v>
      </c>
      <c r="P39" s="3228" t="s">
        <v>3019</v>
      </c>
      <c r="Q39" s="3228" t="s">
        <v>3020</v>
      </c>
    </row>
    <row r="40" spans="1:17" ht="14.25" customHeight="1">
      <c r="A40" s="3228" t="s">
        <v>296</v>
      </c>
      <c r="B40" s="3229" t="s">
        <v>202</v>
      </c>
      <c r="C40" s="3228">
        <v>24740</v>
      </c>
      <c r="D40" s="3228">
        <v>24690</v>
      </c>
      <c r="E40" s="3228">
        <v>22610</v>
      </c>
      <c r="F40" s="3228"/>
      <c r="G40" s="3241">
        <v>17280</v>
      </c>
      <c r="M40" s="3228" t="s">
        <v>3021</v>
      </c>
      <c r="N40" s="3228" t="s">
        <v>3022</v>
      </c>
      <c r="O40" s="3228" t="s">
        <v>3023</v>
      </c>
      <c r="P40" s="3228" t="s">
        <v>3024</v>
      </c>
      <c r="Q40" s="3228" t="s">
        <v>3025</v>
      </c>
    </row>
    <row r="41" spans="1:17" ht="14.25" customHeight="1" thickBot="1">
      <c r="A41" s="3228" t="s">
        <v>296</v>
      </c>
      <c r="B41" s="3229" t="s">
        <v>209</v>
      </c>
      <c r="C41" s="3228">
        <v>21220</v>
      </c>
      <c r="D41" s="3228">
        <v>21120</v>
      </c>
      <c r="E41" s="3228">
        <v>22590</v>
      </c>
      <c r="F41" s="3228"/>
      <c r="G41" s="3241">
        <v>14780</v>
      </c>
      <c r="M41" s="3235" t="s">
        <v>3026</v>
      </c>
      <c r="N41" s="3228" t="s">
        <v>3027</v>
      </c>
      <c r="O41" s="3228" t="s">
        <v>3028</v>
      </c>
      <c r="P41" s="3228" t="s">
        <v>3029</v>
      </c>
      <c r="Q41" s="3228" t="s">
        <v>3030</v>
      </c>
    </row>
    <row r="42" spans="1:17" ht="14.25" customHeight="1">
      <c r="A42" s="3228" t="s">
        <v>296</v>
      </c>
      <c r="B42" s="3229" t="s">
        <v>215</v>
      </c>
      <c r="C42" s="3228">
        <v>24800</v>
      </c>
      <c r="D42" s="3228">
        <v>22280</v>
      </c>
      <c r="E42" s="3228">
        <v>24350</v>
      </c>
      <c r="F42" s="3228"/>
      <c r="G42" s="3241">
        <v>15590</v>
      </c>
      <c r="N42" s="3228" t="s">
        <v>3031</v>
      </c>
      <c r="O42" s="3228" t="s">
        <v>3032</v>
      </c>
      <c r="P42" s="3228" t="s">
        <v>3033</v>
      </c>
      <c r="Q42" s="3228" t="s">
        <v>3034</v>
      </c>
    </row>
    <row r="43" spans="1:17" ht="14.25" customHeight="1">
      <c r="A43" s="3228" t="s">
        <v>3035</v>
      </c>
      <c r="B43" s="3229" t="s">
        <v>223</v>
      </c>
      <c r="C43" s="3228">
        <v>21210</v>
      </c>
      <c r="D43" s="3228">
        <v>21160</v>
      </c>
      <c r="E43" s="3228">
        <v>22650</v>
      </c>
      <c r="F43" s="3228"/>
      <c r="G43" s="3241">
        <v>14800</v>
      </c>
      <c r="N43" s="3228" t="s">
        <v>3036</v>
      </c>
      <c r="O43" s="3228" t="s">
        <v>3037</v>
      </c>
      <c r="P43" s="3228" t="s">
        <v>3038</v>
      </c>
      <c r="Q43" s="3228" t="s">
        <v>3039</v>
      </c>
    </row>
    <row r="44" spans="1:17" ht="14.25" customHeight="1" thickBot="1">
      <c r="A44" s="3228" t="s">
        <v>296</v>
      </c>
      <c r="B44" s="3229" t="s">
        <v>231</v>
      </c>
      <c r="C44" s="3228">
        <v>22370</v>
      </c>
      <c r="D44" s="3228">
        <v>23140</v>
      </c>
      <c r="E44" s="3228">
        <v>25090</v>
      </c>
      <c r="F44" s="3228"/>
      <c r="G44" s="3241">
        <v>16190</v>
      </c>
      <c r="N44" s="3228" t="s">
        <v>3040</v>
      </c>
      <c r="O44" s="3228" t="s">
        <v>3041</v>
      </c>
      <c r="P44" s="3235" t="s">
        <v>3042</v>
      </c>
      <c r="Q44" s="3228" t="s">
        <v>3043</v>
      </c>
    </row>
    <row r="45" spans="1:17" ht="14.25" customHeight="1" thickBot="1">
      <c r="A45" s="3228" t="s">
        <v>296</v>
      </c>
      <c r="B45" s="3229" t="s">
        <v>236</v>
      </c>
      <c r="C45" s="3228">
        <v>21240</v>
      </c>
      <c r="D45" s="3228">
        <v>27050</v>
      </c>
      <c r="E45" s="3228">
        <v>28000</v>
      </c>
      <c r="F45" s="3228"/>
      <c r="G45" s="3241">
        <v>18940</v>
      </c>
      <c r="N45" s="3228" t="s">
        <v>3044</v>
      </c>
      <c r="O45" s="3235" t="s">
        <v>3045</v>
      </c>
      <c r="Q45" s="3228" t="s">
        <v>3046</v>
      </c>
    </row>
    <row r="46" spans="1:17" ht="14.25" customHeight="1">
      <c r="A46" s="3228" t="s">
        <v>296</v>
      </c>
      <c r="B46" s="3229" t="s">
        <v>245</v>
      </c>
      <c r="C46" s="3228">
        <v>23240</v>
      </c>
      <c r="D46" s="3228">
        <v>23000</v>
      </c>
      <c r="E46" s="3228">
        <v>24980</v>
      </c>
      <c r="F46" s="3228"/>
      <c r="G46" s="3241">
        <v>16100</v>
      </c>
      <c r="N46" s="3228" t="s">
        <v>3047</v>
      </c>
      <c r="Q46" s="3228" t="s">
        <v>3048</v>
      </c>
    </row>
    <row r="47" spans="1:17" ht="14.25" customHeight="1">
      <c r="A47" s="3228" t="s">
        <v>296</v>
      </c>
      <c r="B47" s="3229" t="s">
        <v>252</v>
      </c>
      <c r="C47" s="3228">
        <v>27150</v>
      </c>
      <c r="D47" s="3228">
        <v>23310</v>
      </c>
      <c r="E47" s="3228">
        <v>25150</v>
      </c>
      <c r="F47" s="3228"/>
      <c r="G47" s="3241">
        <v>16310</v>
      </c>
      <c r="N47" s="3228" t="s">
        <v>3049</v>
      </c>
      <c r="Q47" s="3228" t="s">
        <v>3050</v>
      </c>
    </row>
    <row r="48" spans="1:17" ht="14.25" customHeight="1">
      <c r="A48" s="3228" t="s">
        <v>296</v>
      </c>
      <c r="B48" s="3229" t="s">
        <v>260</v>
      </c>
      <c r="C48" s="3228">
        <v>23100</v>
      </c>
      <c r="D48" s="3228">
        <v>21110</v>
      </c>
      <c r="E48" s="3228">
        <v>23080</v>
      </c>
      <c r="F48" s="3228"/>
      <c r="G48" s="3241">
        <v>14780</v>
      </c>
      <c r="N48" s="3228" t="s">
        <v>3051</v>
      </c>
      <c r="Q48" s="3228" t="s">
        <v>3052</v>
      </c>
    </row>
    <row r="49" spans="1:17" ht="14.25" customHeight="1">
      <c r="A49" s="3228" t="s">
        <v>296</v>
      </c>
      <c r="B49" s="3229" t="s">
        <v>267</v>
      </c>
      <c r="C49" s="3228">
        <v>23400</v>
      </c>
      <c r="D49" s="3228">
        <v>22920</v>
      </c>
      <c r="E49" s="3228">
        <v>24900</v>
      </c>
      <c r="F49" s="3228"/>
      <c r="G49" s="3241">
        <v>16040</v>
      </c>
      <c r="N49" s="3228" t="s">
        <v>3053</v>
      </c>
      <c r="Q49" s="3228" t="s">
        <v>3054</v>
      </c>
    </row>
    <row r="50" spans="1:17" ht="14.25" customHeight="1">
      <c r="A50" s="3228" t="s">
        <v>296</v>
      </c>
      <c r="B50" s="3229" t="s">
        <v>2931</v>
      </c>
      <c r="C50" s="3228">
        <v>21200</v>
      </c>
      <c r="D50" s="3228">
        <v>26540</v>
      </c>
      <c r="E50" s="3228">
        <v>23200</v>
      </c>
      <c r="F50" s="3228"/>
      <c r="G50" s="3241">
        <v>18580</v>
      </c>
      <c r="N50" s="3228" t="s">
        <v>3055</v>
      </c>
      <c r="Q50" s="3229" t="s">
        <v>3056</v>
      </c>
    </row>
    <row r="51" spans="1:17" ht="14.25" customHeight="1" thickBot="1">
      <c r="A51" s="3228" t="s">
        <v>296</v>
      </c>
      <c r="B51" s="3229" t="s">
        <v>2933</v>
      </c>
      <c r="C51" s="3228">
        <v>23000</v>
      </c>
      <c r="D51" s="3228">
        <v>23460</v>
      </c>
      <c r="E51" s="3228">
        <v>25290</v>
      </c>
      <c r="F51" s="3228"/>
      <c r="G51" s="3241">
        <v>16420</v>
      </c>
      <c r="N51" s="3228" t="s">
        <v>3057</v>
      </c>
      <c r="Q51" s="3235" t="s">
        <v>3058</v>
      </c>
    </row>
    <row r="52" spans="1:17" ht="14.25" customHeight="1">
      <c r="A52" s="3228" t="s">
        <v>296</v>
      </c>
      <c r="B52" s="3229" t="s">
        <v>2937</v>
      </c>
      <c r="C52" s="3228">
        <v>26660</v>
      </c>
      <c r="D52" s="3228">
        <v>22350</v>
      </c>
      <c r="E52" s="3228">
        <v>22920</v>
      </c>
      <c r="F52" s="3228"/>
      <c r="G52" s="3241">
        <v>15640</v>
      </c>
      <c r="N52" s="3228" t="s">
        <v>3059</v>
      </c>
    </row>
    <row r="53" spans="1:17" ht="14.25" customHeight="1">
      <c r="A53" s="3228" t="s">
        <v>296</v>
      </c>
      <c r="B53" s="3229" t="s">
        <v>2942</v>
      </c>
      <c r="C53" s="3228">
        <v>23580</v>
      </c>
      <c r="D53" s="3228"/>
      <c r="E53" s="3228">
        <v>24280</v>
      </c>
      <c r="F53" s="3228"/>
      <c r="G53" s="3241"/>
      <c r="N53" s="3228" t="s">
        <v>3060</v>
      </c>
    </row>
    <row r="54" spans="1:17" ht="14.25" customHeight="1" thickBot="1">
      <c r="A54" s="3242" t="s">
        <v>296</v>
      </c>
      <c r="B54" s="3234" t="s">
        <v>2945</v>
      </c>
      <c r="C54" s="3235">
        <v>22460</v>
      </c>
      <c r="D54" s="3235"/>
      <c r="E54" s="3235"/>
      <c r="F54" s="3235"/>
      <c r="G54" s="3243"/>
      <c r="N54" s="3228" t="s">
        <v>3061</v>
      </c>
    </row>
    <row r="55" spans="1:17" ht="14.25" customHeight="1">
      <c r="A55" s="3233" t="s">
        <v>110</v>
      </c>
      <c r="B55" s="3224" t="s">
        <v>3062</v>
      </c>
      <c r="C55" s="3228">
        <v>21970</v>
      </c>
      <c r="D55" s="3228">
        <v>20370</v>
      </c>
      <c r="E55" s="3228">
        <v>20180</v>
      </c>
      <c r="F55" s="3228">
        <v>5730</v>
      </c>
      <c r="G55" s="3228">
        <v>13820</v>
      </c>
      <c r="N55" s="3228" t="s">
        <v>3063</v>
      </c>
    </row>
    <row r="56" spans="1:17" ht="14.25" customHeight="1">
      <c r="A56" s="3228" t="s">
        <v>110</v>
      </c>
      <c r="B56" s="3228" t="s">
        <v>130</v>
      </c>
      <c r="C56" s="3228">
        <v>20470</v>
      </c>
      <c r="D56" s="3228">
        <v>20700</v>
      </c>
      <c r="E56" s="3228">
        <v>20380</v>
      </c>
      <c r="F56" s="3228">
        <v>4760</v>
      </c>
      <c r="G56" s="3228">
        <v>14050</v>
      </c>
      <c r="N56" s="3228" t="s">
        <v>3064</v>
      </c>
    </row>
    <row r="57" spans="1:17" ht="14.25" customHeight="1">
      <c r="A57" s="3228" t="s">
        <v>110</v>
      </c>
      <c r="B57" s="3228" t="s">
        <v>139</v>
      </c>
      <c r="C57" s="3228">
        <v>20790</v>
      </c>
      <c r="D57" s="3228">
        <v>21370</v>
      </c>
      <c r="E57" s="3228">
        <v>20890</v>
      </c>
      <c r="F57" s="3228">
        <v>4910</v>
      </c>
      <c r="G57" s="3228">
        <v>14510</v>
      </c>
      <c r="N57" s="3228" t="s">
        <v>3065</v>
      </c>
    </row>
    <row r="58" spans="1:17" ht="14.25" customHeight="1">
      <c r="A58" s="3228" t="s">
        <v>110</v>
      </c>
      <c r="B58" s="3228" t="s">
        <v>148</v>
      </c>
      <c r="C58" s="3228">
        <v>21460</v>
      </c>
      <c r="D58" s="3228">
        <v>20920</v>
      </c>
      <c r="E58" s="3228">
        <v>23410</v>
      </c>
      <c r="F58" s="3228">
        <v>5100</v>
      </c>
      <c r="G58" s="3228">
        <v>14200</v>
      </c>
      <c r="N58" s="3228" t="s">
        <v>3066</v>
      </c>
    </row>
    <row r="59" spans="1:17" ht="14.25" customHeight="1">
      <c r="A59" s="3228" t="s">
        <v>110</v>
      </c>
      <c r="B59" s="3228" t="s">
        <v>157</v>
      </c>
      <c r="C59" s="3228">
        <v>21000</v>
      </c>
      <c r="D59" s="3228">
        <v>21550</v>
      </c>
      <c r="E59" s="3228">
        <v>21150</v>
      </c>
      <c r="F59" s="3228">
        <v>5250</v>
      </c>
      <c r="G59" s="3228">
        <v>14630</v>
      </c>
      <c r="N59" s="3228" t="s">
        <v>3067</v>
      </c>
    </row>
    <row r="60" spans="1:17" ht="14.25" customHeight="1">
      <c r="A60" s="3228" t="s">
        <v>110</v>
      </c>
      <c r="B60" s="3228" t="s">
        <v>164</v>
      </c>
      <c r="C60" s="3228">
        <v>21640</v>
      </c>
      <c r="D60" s="3228">
        <v>21260</v>
      </c>
      <c r="E60" s="3228">
        <v>24040</v>
      </c>
      <c r="F60" s="3228">
        <v>4470</v>
      </c>
      <c r="G60" s="3228">
        <v>14430</v>
      </c>
      <c r="N60" s="3228" t="s">
        <v>3068</v>
      </c>
    </row>
    <row r="61" spans="1:17" ht="14.25" customHeight="1">
      <c r="A61" s="3228" t="s">
        <v>110</v>
      </c>
      <c r="B61" s="3228" t="s">
        <v>170</v>
      </c>
      <c r="C61" s="3228">
        <v>21330</v>
      </c>
      <c r="D61" s="3228">
        <v>18640</v>
      </c>
      <c r="E61" s="3228">
        <v>21190</v>
      </c>
      <c r="F61" s="3228">
        <v>4180</v>
      </c>
      <c r="G61" s="3228">
        <v>12650</v>
      </c>
      <c r="N61" s="3228" t="s">
        <v>3069</v>
      </c>
    </row>
    <row r="62" spans="1:17" ht="14.25" customHeight="1">
      <c r="A62" s="3228" t="s">
        <v>110</v>
      </c>
      <c r="B62" s="3228" t="s">
        <v>177</v>
      </c>
      <c r="C62" s="3228">
        <v>18710</v>
      </c>
      <c r="D62" s="3228">
        <v>19400</v>
      </c>
      <c r="E62" s="3228">
        <v>23750</v>
      </c>
      <c r="F62" s="3228">
        <v>4860</v>
      </c>
      <c r="G62" s="3228">
        <v>13170</v>
      </c>
      <c r="N62" s="3228" t="s">
        <v>3070</v>
      </c>
    </row>
    <row r="63" spans="1:17" ht="14.25" customHeight="1">
      <c r="A63" s="3228" t="s">
        <v>110</v>
      </c>
      <c r="B63" s="3228" t="s">
        <v>187</v>
      </c>
      <c r="C63" s="3228">
        <v>19480</v>
      </c>
      <c r="D63" s="3228">
        <v>16830</v>
      </c>
      <c r="E63" s="3228">
        <v>21590</v>
      </c>
      <c r="F63" s="3228">
        <v>4560</v>
      </c>
      <c r="G63" s="3228">
        <v>11420</v>
      </c>
      <c r="N63" s="3228" t="s">
        <v>3071</v>
      </c>
    </row>
    <row r="64" spans="1:17" ht="14.25" customHeight="1" thickBot="1">
      <c r="A64" s="3228" t="s">
        <v>110</v>
      </c>
      <c r="B64" s="3228" t="s">
        <v>196</v>
      </c>
      <c r="C64" s="3228">
        <v>16920</v>
      </c>
      <c r="D64" s="3228">
        <v>19190</v>
      </c>
      <c r="E64" s="3228">
        <v>22200</v>
      </c>
      <c r="F64" s="3228">
        <v>4390</v>
      </c>
      <c r="G64" s="3228">
        <v>13030</v>
      </c>
      <c r="N64" s="3235" t="s">
        <v>3072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2943</v>
      </c>
      <c r="C78" s="3228">
        <v>19820</v>
      </c>
      <c r="D78" s="3228">
        <v>19780</v>
      </c>
      <c r="E78" s="3228">
        <v>18560</v>
      </c>
      <c r="F78" s="3228"/>
      <c r="G78" s="3228">
        <v>13430</v>
      </c>
    </row>
    <row r="79" spans="1:7" s="3217" customFormat="1" ht="14.25" customHeight="1">
      <c r="A79" s="3228" t="s">
        <v>110</v>
      </c>
      <c r="B79" s="3228" t="s">
        <v>2946</v>
      </c>
      <c r="C79" s="3228">
        <v>21660</v>
      </c>
      <c r="D79" s="3228">
        <v>18000</v>
      </c>
      <c r="E79" s="3228">
        <v>22570</v>
      </c>
      <c r="F79" s="3228"/>
      <c r="G79" s="3228">
        <v>12220</v>
      </c>
    </row>
    <row r="80" spans="1:7" s="3217" customFormat="1" ht="14.25" customHeight="1">
      <c r="A80" s="3228" t="s">
        <v>110</v>
      </c>
      <c r="B80" s="3228" t="s">
        <v>2950</v>
      </c>
      <c r="C80" s="3228">
        <v>19850</v>
      </c>
      <c r="D80" s="3228"/>
      <c r="E80" s="3228">
        <v>21700</v>
      </c>
      <c r="F80" s="3228"/>
      <c r="G80" s="3228"/>
    </row>
    <row r="81" spans="1:7" s="3217" customFormat="1" ht="14.25" customHeight="1">
      <c r="A81" s="3228" t="s">
        <v>110</v>
      </c>
      <c r="B81" s="3228" t="s">
        <v>2955</v>
      </c>
      <c r="C81" s="3228">
        <v>18080</v>
      </c>
      <c r="D81" s="3228"/>
      <c r="E81" s="3228">
        <v>20900</v>
      </c>
      <c r="F81" s="3228"/>
      <c r="G81" s="3228"/>
    </row>
    <row r="82" spans="1:7" s="3217" customFormat="1" ht="14.25" customHeight="1">
      <c r="A82" s="3228" t="s">
        <v>110</v>
      </c>
      <c r="B82" s="3228" t="s">
        <v>2962</v>
      </c>
      <c r="C82" s="3228"/>
      <c r="D82" s="3228"/>
      <c r="E82" s="3228">
        <v>20840</v>
      </c>
      <c r="F82" s="3228"/>
      <c r="G82" s="3228"/>
    </row>
    <row r="83" spans="1:7" s="3217" customFormat="1" ht="14.25" customHeight="1">
      <c r="A83" s="3228" t="s">
        <v>110</v>
      </c>
      <c r="B83" s="3228" t="s">
        <v>3073</v>
      </c>
      <c r="C83" s="3228"/>
      <c r="D83" s="3228"/>
      <c r="E83" s="3228"/>
      <c r="F83" s="3228">
        <v>4770</v>
      </c>
      <c r="G83" s="3228"/>
    </row>
    <row r="84" spans="1:7" s="3217" customFormat="1" ht="14.25" customHeight="1">
      <c r="A84" s="3228" t="s">
        <v>110</v>
      </c>
      <c r="B84" s="3228" t="s">
        <v>3074</v>
      </c>
      <c r="C84" s="3228"/>
      <c r="D84" s="3228"/>
      <c r="E84" s="3228"/>
      <c r="F84" s="3228">
        <v>4600</v>
      </c>
      <c r="G84" s="3228"/>
    </row>
    <row r="85" spans="1:7" s="3217" customFormat="1" ht="14.25" customHeight="1">
      <c r="A85" s="3228" t="s">
        <v>110</v>
      </c>
      <c r="B85" s="3228" t="s">
        <v>3075</v>
      </c>
      <c r="C85" s="3228"/>
      <c r="D85" s="3228"/>
      <c r="E85" s="3228"/>
      <c r="F85" s="3228">
        <v>4680</v>
      </c>
      <c r="G85" s="3228"/>
    </row>
    <row r="86" spans="1:7" s="3217" customFormat="1" ht="14.25" customHeight="1" thickBot="1">
      <c r="A86" s="3236" t="s">
        <v>110</v>
      </c>
      <c r="B86" s="3238" t="s">
        <v>3076</v>
      </c>
      <c r="C86" s="3239">
        <v>16610</v>
      </c>
      <c r="D86" s="3239">
        <v>16540</v>
      </c>
      <c r="E86" s="3239">
        <v>18850</v>
      </c>
      <c r="F86" s="3239"/>
      <c r="G86" s="3239">
        <v>11220</v>
      </c>
    </row>
    <row r="87" spans="1:7" s="3217" customFormat="1" ht="14.25" customHeight="1">
      <c r="A87" s="3233" t="s">
        <v>303</v>
      </c>
      <c r="B87" s="3224" t="s">
        <v>3077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2956</v>
      </c>
      <c r="C113" s="3228">
        <v>15520</v>
      </c>
      <c r="D113" s="3228">
        <v>15450</v>
      </c>
      <c r="E113" s="3228"/>
      <c r="F113" s="3228"/>
      <c r="G113" s="3241">
        <v>10210</v>
      </c>
    </row>
    <row r="114" spans="1:7" s="3217" customFormat="1" ht="14.25" customHeight="1">
      <c r="A114" s="3228" t="s">
        <v>303</v>
      </c>
      <c r="B114" s="3228" t="s">
        <v>2963</v>
      </c>
      <c r="C114" s="3228">
        <v>13110</v>
      </c>
      <c r="D114" s="3228">
        <v>13050</v>
      </c>
      <c r="E114" s="3228"/>
      <c r="F114" s="3228"/>
      <c r="G114" s="3241">
        <v>8620</v>
      </c>
    </row>
    <row r="115" spans="1:7" s="3217" customFormat="1" ht="14.25" customHeight="1">
      <c r="A115" s="3228" t="s">
        <v>303</v>
      </c>
      <c r="B115" s="3228" t="s">
        <v>2969</v>
      </c>
      <c r="C115" s="3228">
        <v>12460</v>
      </c>
      <c r="D115" s="3228">
        <v>12390</v>
      </c>
      <c r="E115" s="3228"/>
      <c r="F115" s="3228"/>
      <c r="G115" s="3241">
        <v>8190</v>
      </c>
    </row>
    <row r="116" spans="1:7" s="3217" customFormat="1" ht="14.25" customHeight="1">
      <c r="A116" s="3228" t="s">
        <v>303</v>
      </c>
      <c r="B116" s="3228" t="s">
        <v>2976</v>
      </c>
      <c r="C116" s="3228">
        <v>13580</v>
      </c>
      <c r="D116" s="3228">
        <v>13520</v>
      </c>
      <c r="E116" s="3228"/>
      <c r="F116" s="3228"/>
      <c r="G116" s="3241">
        <v>8930</v>
      </c>
    </row>
    <row r="117" spans="1:7" s="3217" customFormat="1" ht="14.25" customHeight="1">
      <c r="A117" s="3228" t="s">
        <v>303</v>
      </c>
      <c r="B117" s="3228" t="s">
        <v>2983</v>
      </c>
      <c r="C117" s="3228">
        <v>17120</v>
      </c>
      <c r="D117" s="3228">
        <v>17040</v>
      </c>
      <c r="E117" s="3228"/>
      <c r="F117" s="3228"/>
      <c r="G117" s="3241">
        <v>11260</v>
      </c>
    </row>
    <row r="118" spans="1:7" s="3217" customFormat="1" ht="14.25" customHeight="1">
      <c r="A118" s="3228" t="s">
        <v>303</v>
      </c>
      <c r="B118" s="3228" t="s">
        <v>2988</v>
      </c>
      <c r="C118" s="3228">
        <v>14860</v>
      </c>
      <c r="D118" s="3228">
        <v>14790</v>
      </c>
      <c r="E118" s="3228"/>
      <c r="F118" s="3228"/>
      <c r="G118" s="3241">
        <v>9780</v>
      </c>
    </row>
    <row r="119" spans="1:7" s="3217" customFormat="1" ht="14.25" customHeight="1">
      <c r="A119" s="3228" t="s">
        <v>303</v>
      </c>
      <c r="B119" s="3228" t="s">
        <v>2992</v>
      </c>
      <c r="C119" s="3228">
        <v>16470</v>
      </c>
      <c r="D119" s="3228">
        <v>16400</v>
      </c>
      <c r="E119" s="3228"/>
      <c r="F119" s="3228"/>
      <c r="G119" s="3241">
        <v>10840</v>
      </c>
    </row>
    <row r="120" spans="1:7" s="3217" customFormat="1" ht="14.25" customHeight="1">
      <c r="A120" s="3228" t="s">
        <v>303</v>
      </c>
      <c r="B120" s="3228" t="s">
        <v>3078</v>
      </c>
      <c r="C120" s="3228"/>
      <c r="D120" s="3228"/>
      <c r="E120" s="3228"/>
      <c r="F120" s="3228">
        <v>4160</v>
      </c>
      <c r="G120" s="3241"/>
    </row>
    <row r="121" spans="1:7" s="3217" customFormat="1" ht="14.25" customHeight="1">
      <c r="A121" s="3228" t="s">
        <v>303</v>
      </c>
      <c r="B121" s="3228" t="s">
        <v>3079</v>
      </c>
      <c r="C121" s="3228"/>
      <c r="D121" s="3228"/>
      <c r="E121" s="3228"/>
      <c r="F121" s="3228">
        <v>3880</v>
      </c>
      <c r="G121" s="3241"/>
    </row>
    <row r="122" spans="1:7" s="3217" customFormat="1" ht="14.25" customHeight="1">
      <c r="A122" s="3228" t="s">
        <v>303</v>
      </c>
      <c r="B122" s="3228" t="s">
        <v>3080</v>
      </c>
      <c r="C122" s="3228">
        <v>13750</v>
      </c>
      <c r="D122" s="3228">
        <v>13680</v>
      </c>
      <c r="E122" s="3228">
        <v>16460</v>
      </c>
      <c r="F122" s="3228">
        <v>2880</v>
      </c>
      <c r="G122" s="3241">
        <v>9040</v>
      </c>
    </row>
    <row r="123" spans="1:7" s="3217" customFormat="1" ht="14.25" customHeight="1">
      <c r="A123" s="3228" t="s">
        <v>303</v>
      </c>
      <c r="B123" s="3228" t="s">
        <v>3011</v>
      </c>
      <c r="C123" s="3228">
        <v>13590</v>
      </c>
      <c r="D123" s="3228">
        <v>13520</v>
      </c>
      <c r="E123" s="3228">
        <v>16290</v>
      </c>
      <c r="F123" s="3228">
        <v>2790</v>
      </c>
      <c r="G123" s="3241">
        <v>8930</v>
      </c>
    </row>
    <row r="124" spans="1:7" s="3217" customFormat="1" ht="14.25" customHeight="1">
      <c r="A124" s="3228" t="s">
        <v>303</v>
      </c>
      <c r="B124" s="3228" t="s">
        <v>3016</v>
      </c>
      <c r="C124" s="3228">
        <v>13400</v>
      </c>
      <c r="D124" s="3228">
        <v>13320</v>
      </c>
      <c r="E124" s="3228">
        <v>16100</v>
      </c>
      <c r="F124" s="3228">
        <v>2320</v>
      </c>
      <c r="G124" s="3241">
        <v>8800</v>
      </c>
    </row>
    <row r="125" spans="1:7" s="3217" customFormat="1" ht="14.25" customHeight="1">
      <c r="A125" s="3228" t="s">
        <v>303</v>
      </c>
      <c r="B125" s="3228" t="s">
        <v>3021</v>
      </c>
      <c r="C125" s="3228">
        <v>12860</v>
      </c>
      <c r="D125" s="3228">
        <v>12790</v>
      </c>
      <c r="E125" s="3228">
        <v>15370</v>
      </c>
      <c r="F125" s="3228">
        <v>2280</v>
      </c>
      <c r="G125" s="3241">
        <v>8450</v>
      </c>
    </row>
    <row r="126" spans="1:7" s="3217" customFormat="1" ht="14.25" customHeight="1" thickBot="1">
      <c r="A126" s="3242" t="s">
        <v>303</v>
      </c>
      <c r="B126" s="3235" t="s">
        <v>3026</v>
      </c>
      <c r="C126" s="3235">
        <v>12960</v>
      </c>
      <c r="D126" s="3235">
        <v>12890</v>
      </c>
      <c r="E126" s="3235">
        <v>15530</v>
      </c>
      <c r="F126" s="3235">
        <v>2910</v>
      </c>
      <c r="G126" s="3243">
        <v>8520</v>
      </c>
    </row>
    <row r="127" spans="1:7" s="3217" customFormat="1" ht="14.25" customHeight="1">
      <c r="A127" s="3233" t="s">
        <v>29</v>
      </c>
      <c r="B127" s="3224" t="s">
        <v>3081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3082</v>
      </c>
      <c r="C148" s="3228">
        <v>10370</v>
      </c>
      <c r="D148" s="3228">
        <v>10310</v>
      </c>
      <c r="E148" s="3228">
        <v>12970</v>
      </c>
      <c r="F148" s="3228"/>
      <c r="G148" s="3228">
        <v>6630</v>
      </c>
    </row>
    <row r="149" spans="1:7" s="3217" customFormat="1" ht="14.25" customHeight="1">
      <c r="A149" s="3228" t="s">
        <v>29</v>
      </c>
      <c r="B149" s="3228" t="s">
        <v>3083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2957</v>
      </c>
      <c r="C153" s="3228">
        <v>10880</v>
      </c>
      <c r="D153" s="3228">
        <v>10820</v>
      </c>
      <c r="E153" s="3228">
        <v>13660</v>
      </c>
      <c r="F153" s="3228">
        <v>2260</v>
      </c>
      <c r="G153" s="3228">
        <v>6970</v>
      </c>
    </row>
    <row r="154" spans="1:7" s="3217" customFormat="1" ht="14.25" customHeight="1">
      <c r="A154" s="3228" t="s">
        <v>29</v>
      </c>
      <c r="B154" s="3228" t="s">
        <v>3084</v>
      </c>
      <c r="C154" s="3228">
        <v>11220</v>
      </c>
      <c r="D154" s="3228">
        <v>11160</v>
      </c>
      <c r="E154" s="3228">
        <v>14130</v>
      </c>
      <c r="F154" s="3228">
        <v>2230</v>
      </c>
      <c r="G154" s="3228">
        <v>7180</v>
      </c>
    </row>
    <row r="155" spans="1:7" s="3217" customFormat="1" ht="14.25" customHeight="1">
      <c r="A155" s="3228" t="s">
        <v>29</v>
      </c>
      <c r="B155" s="3228" t="s">
        <v>2970</v>
      </c>
      <c r="C155" s="3228">
        <v>10430</v>
      </c>
      <c r="D155" s="3228">
        <v>10380</v>
      </c>
      <c r="E155" s="3228">
        <v>13140</v>
      </c>
      <c r="F155" s="3228">
        <v>2080</v>
      </c>
      <c r="G155" s="3228">
        <v>6650</v>
      </c>
    </row>
    <row r="156" spans="1:7" s="3217" customFormat="1" ht="14.25" customHeight="1">
      <c r="A156" s="3228" t="s">
        <v>29</v>
      </c>
      <c r="B156" s="3228" t="s">
        <v>3085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3086</v>
      </c>
      <c r="C160" s="3228">
        <v>11180</v>
      </c>
      <c r="D160" s="3228">
        <v>11140</v>
      </c>
      <c r="E160" s="3228">
        <v>14050</v>
      </c>
      <c r="F160" s="3228">
        <v>2270</v>
      </c>
      <c r="G160" s="3228">
        <v>7170</v>
      </c>
    </row>
    <row r="161" spans="1:7" s="3217" customFormat="1" ht="14.25" customHeight="1">
      <c r="A161" s="3228" t="s">
        <v>29</v>
      </c>
      <c r="B161" s="3228" t="s">
        <v>3002</v>
      </c>
      <c r="C161" s="3228">
        <v>11160</v>
      </c>
      <c r="D161" s="3228">
        <v>11120</v>
      </c>
      <c r="E161" s="3228">
        <v>14020</v>
      </c>
      <c r="F161" s="3228">
        <v>2150</v>
      </c>
      <c r="G161" s="3228">
        <v>7160</v>
      </c>
    </row>
    <row r="162" spans="1:7" s="3217" customFormat="1" ht="14.25" customHeight="1">
      <c r="A162" s="3228" t="s">
        <v>29</v>
      </c>
      <c r="B162" s="3228" t="s">
        <v>3007</v>
      </c>
      <c r="C162" s="3228">
        <v>9620</v>
      </c>
      <c r="D162" s="3228">
        <v>9570</v>
      </c>
      <c r="E162" s="3228">
        <v>12320</v>
      </c>
      <c r="F162" s="3228">
        <v>2010</v>
      </c>
      <c r="G162" s="3228">
        <v>6160</v>
      </c>
    </row>
    <row r="163" spans="1:7" s="3217" customFormat="1" ht="14.25" customHeight="1">
      <c r="A163" s="3228" t="s">
        <v>29</v>
      </c>
      <c r="B163" s="3228" t="s">
        <v>3012</v>
      </c>
      <c r="C163" s="3228">
        <v>9320</v>
      </c>
      <c r="D163" s="3228">
        <v>9270</v>
      </c>
      <c r="E163" s="3228">
        <v>11790</v>
      </c>
      <c r="F163" s="3228">
        <v>1920</v>
      </c>
      <c r="G163" s="3228">
        <v>5960</v>
      </c>
    </row>
    <row r="164" spans="1:7" s="3217" customFormat="1" ht="14.25" customHeight="1">
      <c r="A164" s="3228" t="s">
        <v>29</v>
      </c>
      <c r="B164" s="3228" t="s">
        <v>3017</v>
      </c>
      <c r="C164" s="3228"/>
      <c r="D164" s="3228"/>
      <c r="E164" s="3228"/>
      <c r="F164" s="3228">
        <v>1980</v>
      </c>
      <c r="G164" s="3228"/>
    </row>
    <row r="165" spans="1:7" s="3217" customFormat="1" ht="14.25" customHeight="1">
      <c r="A165" s="3228" t="s">
        <v>29</v>
      </c>
      <c r="B165" s="3228" t="s">
        <v>3087</v>
      </c>
      <c r="C165" s="3228">
        <v>11060</v>
      </c>
      <c r="D165" s="3228">
        <v>11030</v>
      </c>
      <c r="E165" s="3228">
        <v>13850</v>
      </c>
      <c r="F165" s="3228">
        <v>2170</v>
      </c>
      <c r="G165" s="3228">
        <v>7090</v>
      </c>
    </row>
    <row r="166" spans="1:7" s="3217" customFormat="1" ht="14.25" customHeight="1">
      <c r="A166" s="3228" t="s">
        <v>29</v>
      </c>
      <c r="B166" s="3228" t="s">
        <v>3027</v>
      </c>
      <c r="C166" s="3228">
        <v>11050</v>
      </c>
      <c r="D166" s="3228">
        <v>11010</v>
      </c>
      <c r="E166" s="3228">
        <v>13920</v>
      </c>
      <c r="F166" s="3228">
        <v>2140</v>
      </c>
      <c r="G166" s="3228">
        <v>7080</v>
      </c>
    </row>
    <row r="167" spans="1:7" s="3217" customFormat="1" ht="14.25" customHeight="1">
      <c r="A167" s="3228" t="s">
        <v>29</v>
      </c>
      <c r="B167" s="3228" t="s">
        <v>3031</v>
      </c>
      <c r="C167" s="3228">
        <v>10930</v>
      </c>
      <c r="D167" s="3228">
        <v>10890</v>
      </c>
      <c r="E167" s="3228">
        <v>13790</v>
      </c>
      <c r="F167" s="3228">
        <v>2010</v>
      </c>
      <c r="G167" s="3228">
        <v>7000</v>
      </c>
    </row>
    <row r="168" spans="1:7" s="3217" customFormat="1" ht="14.25" customHeight="1">
      <c r="A168" s="3228" t="s">
        <v>29</v>
      </c>
      <c r="B168" s="3228" t="s">
        <v>3036</v>
      </c>
      <c r="C168" s="3228">
        <v>9420</v>
      </c>
      <c r="D168" s="3228">
        <v>9380</v>
      </c>
      <c r="E168" s="3228">
        <v>11970</v>
      </c>
      <c r="F168" s="3228"/>
      <c r="G168" s="3228">
        <v>6040</v>
      </c>
    </row>
    <row r="169" spans="1:7" s="3217" customFormat="1" ht="14.25" customHeight="1">
      <c r="A169" s="3228" t="s">
        <v>29</v>
      </c>
      <c r="B169" s="3228" t="s">
        <v>3088</v>
      </c>
      <c r="C169" s="3228"/>
      <c r="D169" s="3228"/>
      <c r="E169" s="3228"/>
      <c r="F169" s="3228">
        <v>2880</v>
      </c>
      <c r="G169" s="3228"/>
    </row>
    <row r="170" spans="1:7" s="3217" customFormat="1" ht="14.25" customHeight="1">
      <c r="A170" s="3228" t="s">
        <v>29</v>
      </c>
      <c r="B170" s="3228" t="s">
        <v>3044</v>
      </c>
      <c r="C170" s="3228"/>
      <c r="D170" s="3228"/>
      <c r="E170" s="3228"/>
      <c r="F170" s="3228">
        <v>2880</v>
      </c>
      <c r="G170" s="3228"/>
    </row>
    <row r="171" spans="1:7" s="3217" customFormat="1" ht="14.25" customHeight="1">
      <c r="A171" s="3228" t="s">
        <v>29</v>
      </c>
      <c r="B171" s="3228" t="s">
        <v>3047</v>
      </c>
      <c r="C171" s="3228"/>
      <c r="D171" s="3228"/>
      <c r="E171" s="3228"/>
      <c r="F171" s="3228">
        <v>2880</v>
      </c>
      <c r="G171" s="3228"/>
    </row>
    <row r="172" spans="1:7" s="3217" customFormat="1" ht="14.25" customHeight="1">
      <c r="A172" s="3228" t="s">
        <v>29</v>
      </c>
      <c r="B172" s="3228" t="s">
        <v>3049</v>
      </c>
      <c r="C172" s="3228"/>
      <c r="D172" s="3228"/>
      <c r="E172" s="3228"/>
      <c r="F172" s="3228">
        <v>2880</v>
      </c>
      <c r="G172" s="3228"/>
    </row>
    <row r="173" spans="1:7" s="3217" customFormat="1" ht="14.25" customHeight="1">
      <c r="A173" s="3228" t="s">
        <v>29</v>
      </c>
      <c r="B173" s="3228" t="s">
        <v>3051</v>
      </c>
      <c r="C173" s="3228"/>
      <c r="D173" s="3228"/>
      <c r="E173" s="3228"/>
      <c r="F173" s="3228">
        <v>2150</v>
      </c>
      <c r="G173" s="3228"/>
    </row>
    <row r="174" spans="1:7" s="3217" customFormat="1" ht="14.25" customHeight="1">
      <c r="A174" s="3228" t="s">
        <v>29</v>
      </c>
      <c r="B174" s="3228" t="s">
        <v>3053</v>
      </c>
      <c r="C174" s="3228"/>
      <c r="D174" s="3228"/>
      <c r="E174" s="3228"/>
      <c r="F174" s="3228">
        <v>2030</v>
      </c>
      <c r="G174" s="3228"/>
    </row>
    <row r="175" spans="1:7" s="3217" customFormat="1" ht="14.25" customHeight="1">
      <c r="A175" s="3228" t="s">
        <v>29</v>
      </c>
      <c r="B175" s="3228" t="s">
        <v>3055</v>
      </c>
      <c r="C175" s="3228"/>
      <c r="D175" s="3228"/>
      <c r="E175" s="3228"/>
      <c r="F175" s="3228">
        <v>2780</v>
      </c>
      <c r="G175" s="3228"/>
    </row>
    <row r="176" spans="1:7" s="3217" customFormat="1" ht="14.25" customHeight="1">
      <c r="A176" s="3228" t="s">
        <v>29</v>
      </c>
      <c r="B176" s="3228" t="s">
        <v>3057</v>
      </c>
      <c r="C176" s="3228"/>
      <c r="D176" s="3228"/>
      <c r="E176" s="3228"/>
      <c r="F176" s="3228">
        <v>2780</v>
      </c>
      <c r="G176" s="3228"/>
    </row>
    <row r="177" spans="1:7" s="3217" customFormat="1" ht="14.25" customHeight="1">
      <c r="A177" s="3228" t="s">
        <v>29</v>
      </c>
      <c r="B177" s="3228" t="s">
        <v>3089</v>
      </c>
      <c r="C177" s="3228"/>
      <c r="D177" s="3228"/>
      <c r="E177" s="3228"/>
      <c r="F177" s="3228">
        <v>2780</v>
      </c>
      <c r="G177" s="3228"/>
    </row>
    <row r="178" spans="1:7" s="3217" customFormat="1" ht="14.25" customHeight="1">
      <c r="A178" s="3228" t="s">
        <v>29</v>
      </c>
      <c r="B178" s="3228" t="s">
        <v>3090</v>
      </c>
      <c r="C178" s="3228"/>
      <c r="D178" s="3228"/>
      <c r="E178" s="3228"/>
      <c r="F178" s="3228">
        <v>2060</v>
      </c>
      <c r="G178" s="3228"/>
    </row>
    <row r="179" spans="1:7" s="3217" customFormat="1" ht="14.25" customHeight="1">
      <c r="A179" s="3228" t="s">
        <v>29</v>
      </c>
      <c r="B179" s="3228" t="s">
        <v>3091</v>
      </c>
      <c r="C179" s="3228"/>
      <c r="D179" s="3228"/>
      <c r="E179" s="3228"/>
      <c r="F179" s="3228">
        <v>2120</v>
      </c>
      <c r="G179" s="3228"/>
    </row>
    <row r="180" spans="1:7" s="3217" customFormat="1" ht="14.25" customHeight="1">
      <c r="A180" s="3228" t="s">
        <v>29</v>
      </c>
      <c r="B180" s="3228" t="s">
        <v>3063</v>
      </c>
      <c r="C180" s="3228"/>
      <c r="D180" s="3228"/>
      <c r="E180" s="3228"/>
      <c r="F180" s="3228">
        <v>2340</v>
      </c>
      <c r="G180" s="3228"/>
    </row>
    <row r="181" spans="1:7" s="3217" customFormat="1" ht="14.25" customHeight="1">
      <c r="A181" s="3228" t="s">
        <v>29</v>
      </c>
      <c r="B181" s="3228" t="s">
        <v>3064</v>
      </c>
      <c r="C181" s="3228"/>
      <c r="D181" s="3228"/>
      <c r="E181" s="3228"/>
      <c r="F181" s="3228">
        <v>2340</v>
      </c>
      <c r="G181" s="3228"/>
    </row>
    <row r="182" spans="1:7" s="3217" customFormat="1" ht="14.25" customHeight="1">
      <c r="A182" s="3228" t="s">
        <v>29</v>
      </c>
      <c r="B182" s="3228" t="s">
        <v>3065</v>
      </c>
      <c r="C182" s="3228"/>
      <c r="D182" s="3228"/>
      <c r="E182" s="3228"/>
      <c r="F182" s="3228">
        <v>2340</v>
      </c>
      <c r="G182" s="3228"/>
    </row>
    <row r="183" spans="1:7" s="3217" customFormat="1" ht="14.25" customHeight="1">
      <c r="A183" s="3228" t="s">
        <v>29</v>
      </c>
      <c r="B183" s="3228" t="s">
        <v>3066</v>
      </c>
      <c r="C183" s="3228"/>
      <c r="D183" s="3228"/>
      <c r="E183" s="3228"/>
      <c r="F183" s="3228">
        <v>2340</v>
      </c>
      <c r="G183" s="3228"/>
    </row>
    <row r="184" spans="1:7" s="3217" customFormat="1" ht="14.25" customHeight="1">
      <c r="A184" s="3228" t="s">
        <v>29</v>
      </c>
      <c r="B184" s="3228" t="s">
        <v>3067</v>
      </c>
      <c r="C184" s="3228"/>
      <c r="D184" s="3228"/>
      <c r="E184" s="3228"/>
      <c r="F184" s="3228">
        <v>2340</v>
      </c>
      <c r="G184" s="3228"/>
    </row>
    <row r="185" spans="1:7" s="3217" customFormat="1" ht="14.25" customHeight="1">
      <c r="A185" s="3228" t="s">
        <v>29</v>
      </c>
      <c r="B185" s="3228" t="s">
        <v>3068</v>
      </c>
      <c r="C185" s="3228"/>
      <c r="D185" s="3228"/>
      <c r="E185" s="3228"/>
      <c r="F185" s="3228">
        <v>2530</v>
      </c>
      <c r="G185" s="3228"/>
    </row>
    <row r="186" spans="1:7" s="3217" customFormat="1" ht="14.25" customHeight="1">
      <c r="A186" s="3228" t="s">
        <v>29</v>
      </c>
      <c r="B186" s="3228" t="s">
        <v>3069</v>
      </c>
      <c r="C186" s="3228"/>
      <c r="D186" s="3228"/>
      <c r="E186" s="3228"/>
      <c r="F186" s="3228">
        <v>2550</v>
      </c>
      <c r="G186" s="3228"/>
    </row>
    <row r="187" spans="1:7" s="3217" customFormat="1" ht="14.25" customHeight="1">
      <c r="A187" s="3228" t="s">
        <v>29</v>
      </c>
      <c r="B187" s="3228" t="s">
        <v>3070</v>
      </c>
      <c r="C187" s="3228"/>
      <c r="D187" s="3228"/>
      <c r="E187" s="3228"/>
      <c r="F187" s="3228">
        <v>2070</v>
      </c>
      <c r="G187" s="3228"/>
    </row>
    <row r="188" spans="1:7" s="3217" customFormat="1" ht="14.25" customHeight="1">
      <c r="A188" s="3228" t="s">
        <v>29</v>
      </c>
      <c r="B188" s="3228" t="s">
        <v>3071</v>
      </c>
      <c r="C188" s="3228"/>
      <c r="D188" s="3228"/>
      <c r="E188" s="3228"/>
      <c r="F188" s="3228">
        <v>2340</v>
      </c>
      <c r="G188" s="3228"/>
    </row>
    <row r="189" spans="1:7" s="3217" customFormat="1" ht="14.25" customHeight="1" thickBot="1">
      <c r="A189" s="3236" t="s">
        <v>29</v>
      </c>
      <c r="B189" s="3239" t="s">
        <v>3072</v>
      </c>
      <c r="C189" s="3239"/>
      <c r="D189" s="3239"/>
      <c r="E189" s="3239"/>
      <c r="F189" s="3239">
        <v>2050</v>
      </c>
      <c r="G189" s="3239"/>
    </row>
    <row r="190" spans="1:7" s="3217" customFormat="1" ht="14.25" customHeight="1">
      <c r="A190" s="3233" t="s">
        <v>304</v>
      </c>
      <c r="B190" s="3224" t="s">
        <v>3092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3093</v>
      </c>
      <c r="C199" s="3228">
        <v>8690</v>
      </c>
      <c r="D199" s="3228">
        <v>8630</v>
      </c>
      <c r="E199" s="3228">
        <v>11350</v>
      </c>
      <c r="F199" s="3228">
        <v>1600</v>
      </c>
      <c r="G199" s="3241">
        <v>5450</v>
      </c>
    </row>
    <row r="200" spans="1:7" s="3217" customFormat="1" ht="14.25" customHeight="1">
      <c r="A200" s="3228" t="s">
        <v>304</v>
      </c>
      <c r="B200" s="3228" t="s">
        <v>2904</v>
      </c>
      <c r="C200" s="3228"/>
      <c r="D200" s="3228"/>
      <c r="E200" s="3228"/>
      <c r="F200" s="3228">
        <v>1510</v>
      </c>
      <c r="G200" s="3241"/>
    </row>
    <row r="201" spans="1:7" s="3217" customFormat="1" ht="14.25" customHeight="1">
      <c r="A201" s="3228" t="s">
        <v>304</v>
      </c>
      <c r="B201" s="3228" t="s">
        <v>3094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3095</v>
      </c>
      <c r="C203" s="3228">
        <v>8130</v>
      </c>
      <c r="D203" s="3228">
        <v>8070</v>
      </c>
      <c r="E203" s="3228">
        <v>10820</v>
      </c>
      <c r="F203" s="3228">
        <v>1690</v>
      </c>
      <c r="G203" s="3241">
        <v>5100</v>
      </c>
    </row>
    <row r="204" spans="1:7" s="3217" customFormat="1" ht="14.25" customHeight="1">
      <c r="A204" s="3228" t="s">
        <v>304</v>
      </c>
      <c r="B204" s="3228" t="s">
        <v>2915</v>
      </c>
      <c r="C204" s="3228">
        <v>8350</v>
      </c>
      <c r="D204" s="3228">
        <v>8290</v>
      </c>
      <c r="E204" s="3228">
        <v>11080</v>
      </c>
      <c r="F204" s="3228">
        <v>1450</v>
      </c>
      <c r="G204" s="3241">
        <v>5240</v>
      </c>
    </row>
    <row r="205" spans="1:7" s="3217" customFormat="1" ht="14.25" customHeight="1">
      <c r="A205" s="3228" t="s">
        <v>304</v>
      </c>
      <c r="B205" s="3228" t="s">
        <v>2917</v>
      </c>
      <c r="C205" s="3228">
        <v>7190</v>
      </c>
      <c r="D205" s="3228">
        <v>7130</v>
      </c>
      <c r="E205" s="3228">
        <v>9490</v>
      </c>
      <c r="F205" s="3228">
        <v>1470</v>
      </c>
      <c r="G205" s="3241">
        <v>4510</v>
      </c>
    </row>
    <row r="206" spans="1:7" s="3217" customFormat="1" ht="14.25" customHeight="1">
      <c r="A206" s="3228" t="s">
        <v>304</v>
      </c>
      <c r="B206" s="3228" t="s">
        <v>2920</v>
      </c>
      <c r="C206" s="3228">
        <v>7000</v>
      </c>
      <c r="D206" s="3228">
        <v>6950</v>
      </c>
      <c r="E206" s="3228">
        <v>9170</v>
      </c>
      <c r="F206" s="3228">
        <v>1400</v>
      </c>
      <c r="G206" s="3241">
        <v>4380</v>
      </c>
    </row>
    <row r="207" spans="1:7" s="3217" customFormat="1" ht="14.25" customHeight="1">
      <c r="A207" s="3228" t="s">
        <v>304</v>
      </c>
      <c r="B207" s="3228" t="s">
        <v>2922</v>
      </c>
      <c r="C207" s="3228">
        <v>6950</v>
      </c>
      <c r="D207" s="3228">
        <v>6900</v>
      </c>
      <c r="E207" s="3228">
        <v>9110</v>
      </c>
      <c r="F207" s="3228">
        <v>1790</v>
      </c>
      <c r="G207" s="3241">
        <v>4360</v>
      </c>
    </row>
    <row r="208" spans="1:7" s="3217" customFormat="1" ht="14.25" customHeight="1">
      <c r="A208" s="3228" t="s">
        <v>304</v>
      </c>
      <c r="B208" s="3228" t="s">
        <v>3096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2932</v>
      </c>
      <c r="C210" s="3228">
        <v>8710</v>
      </c>
      <c r="D210" s="3228">
        <v>8660</v>
      </c>
      <c r="E210" s="3228">
        <v>11440</v>
      </c>
      <c r="F210" s="3228">
        <v>1740</v>
      </c>
      <c r="G210" s="3241">
        <v>5470</v>
      </c>
    </row>
    <row r="211" spans="1:7" s="3217" customFormat="1" ht="14.25" customHeight="1">
      <c r="A211" s="3228" t="s">
        <v>304</v>
      </c>
      <c r="B211" s="3228" t="s">
        <v>3097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3098</v>
      </c>
      <c r="C214" s="3228">
        <v>8090</v>
      </c>
      <c r="D214" s="3228">
        <v>8030</v>
      </c>
      <c r="E214" s="3228">
        <v>10780</v>
      </c>
      <c r="F214" s="3228">
        <v>1570</v>
      </c>
      <c r="G214" s="3241">
        <v>5070</v>
      </c>
    </row>
    <row r="215" spans="1:7" s="3217" customFormat="1" ht="14.25" customHeight="1">
      <c r="A215" s="3228" t="s">
        <v>304</v>
      </c>
      <c r="B215" s="3228" t="s">
        <v>3099</v>
      </c>
      <c r="C215" s="3228">
        <v>7950</v>
      </c>
      <c r="D215" s="3228">
        <v>7900</v>
      </c>
      <c r="E215" s="3228">
        <v>10560</v>
      </c>
      <c r="F215" s="3228">
        <v>1630</v>
      </c>
      <c r="G215" s="3241">
        <v>4990</v>
      </c>
    </row>
    <row r="216" spans="1:7" s="3217" customFormat="1" ht="14.25" customHeight="1">
      <c r="A216" s="3228" t="s">
        <v>304</v>
      </c>
      <c r="B216" s="3228" t="s">
        <v>3100</v>
      </c>
      <c r="C216" s="3228">
        <v>8490</v>
      </c>
      <c r="D216" s="3228">
        <v>8440</v>
      </c>
      <c r="E216" s="3228">
        <v>11260</v>
      </c>
      <c r="F216" s="3228">
        <v>1690</v>
      </c>
      <c r="G216" s="3241">
        <v>5330</v>
      </c>
    </row>
    <row r="217" spans="1:7" s="3217" customFormat="1" ht="14.25" customHeight="1">
      <c r="A217" s="3228" t="s">
        <v>304</v>
      </c>
      <c r="B217" s="3228" t="s">
        <v>2965</v>
      </c>
      <c r="C217" s="3228">
        <v>8200</v>
      </c>
      <c r="D217" s="3228">
        <v>8150</v>
      </c>
      <c r="E217" s="3228">
        <v>10910</v>
      </c>
      <c r="F217" s="3228">
        <v>1670</v>
      </c>
      <c r="G217" s="3241">
        <v>5150</v>
      </c>
    </row>
    <row r="218" spans="1:7" s="3217" customFormat="1" ht="14.25" customHeight="1">
      <c r="A218" s="3228" t="s">
        <v>304</v>
      </c>
      <c r="B218" s="3228" t="s">
        <v>3101</v>
      </c>
      <c r="C218" s="3228"/>
      <c r="D218" s="3228"/>
      <c r="E218" s="3228"/>
      <c r="F218" s="3228">
        <v>2040</v>
      </c>
      <c r="G218" s="3241"/>
    </row>
    <row r="219" spans="1:7" s="3217" customFormat="1" ht="14.25" customHeight="1">
      <c r="A219" s="3228" t="s">
        <v>304</v>
      </c>
      <c r="B219" s="3228" t="s">
        <v>3102</v>
      </c>
      <c r="C219" s="3228"/>
      <c r="D219" s="3228"/>
      <c r="E219" s="3228"/>
      <c r="F219" s="3228">
        <v>2040</v>
      </c>
      <c r="G219" s="3241"/>
    </row>
    <row r="220" spans="1:7" s="3217" customFormat="1" ht="14.25" customHeight="1">
      <c r="A220" s="3228" t="s">
        <v>304</v>
      </c>
      <c r="B220" s="3228" t="s">
        <v>3103</v>
      </c>
      <c r="C220" s="3228"/>
      <c r="D220" s="3228"/>
      <c r="E220" s="3228"/>
      <c r="F220" s="3228">
        <v>2040</v>
      </c>
      <c r="G220" s="3241"/>
    </row>
    <row r="221" spans="1:7" s="3217" customFormat="1" ht="14.25" customHeight="1">
      <c r="A221" s="3228" t="s">
        <v>304</v>
      </c>
      <c r="B221" s="3228" t="s">
        <v>3104</v>
      </c>
      <c r="C221" s="3228"/>
      <c r="D221" s="3228"/>
      <c r="E221" s="3228"/>
      <c r="F221" s="3228">
        <v>2040</v>
      </c>
      <c r="G221" s="3241"/>
    </row>
    <row r="222" spans="1:7" s="3217" customFormat="1" ht="14.25" customHeight="1">
      <c r="A222" s="3228" t="s">
        <v>304</v>
      </c>
      <c r="B222" s="3228" t="s">
        <v>3105</v>
      </c>
      <c r="C222" s="3228"/>
      <c r="D222" s="3228"/>
      <c r="E222" s="3228"/>
      <c r="F222" s="3228">
        <v>2040</v>
      </c>
      <c r="G222" s="3241"/>
    </row>
    <row r="223" spans="1:7" s="3217" customFormat="1" ht="14.25" customHeight="1">
      <c r="A223" s="3228" t="s">
        <v>304</v>
      </c>
      <c r="B223" s="3228" t="s">
        <v>3106</v>
      </c>
      <c r="C223" s="3228"/>
      <c r="D223" s="3228"/>
      <c r="E223" s="3228"/>
      <c r="F223" s="3228">
        <v>1930</v>
      </c>
      <c r="G223" s="3241"/>
    </row>
    <row r="224" spans="1:7" s="3217" customFormat="1" ht="14.25" customHeight="1">
      <c r="A224" s="3228" t="s">
        <v>304</v>
      </c>
      <c r="B224" s="3228" t="s">
        <v>3107</v>
      </c>
      <c r="C224" s="3228"/>
      <c r="D224" s="3228"/>
      <c r="E224" s="3228"/>
      <c r="F224" s="3228">
        <v>1930</v>
      </c>
      <c r="G224" s="3241"/>
    </row>
    <row r="225" spans="1:7" s="3217" customFormat="1" ht="14.25" customHeight="1">
      <c r="A225" s="3228" t="s">
        <v>304</v>
      </c>
      <c r="B225" s="3228" t="s">
        <v>3108</v>
      </c>
      <c r="C225" s="3228"/>
      <c r="D225" s="3228"/>
      <c r="E225" s="3228"/>
      <c r="F225" s="3228">
        <v>1930</v>
      </c>
      <c r="G225" s="3241"/>
    </row>
    <row r="226" spans="1:7" s="3217" customFormat="1" ht="14.25" customHeight="1">
      <c r="A226" s="3228" t="s">
        <v>304</v>
      </c>
      <c r="B226" s="3228" t="s">
        <v>3109</v>
      </c>
      <c r="C226" s="3228"/>
      <c r="D226" s="3228"/>
      <c r="E226" s="3228"/>
      <c r="F226" s="3228">
        <v>1700</v>
      </c>
      <c r="G226" s="3241"/>
    </row>
    <row r="227" spans="1:7" s="3217" customFormat="1" ht="14.25" customHeight="1">
      <c r="A227" s="3228" t="s">
        <v>304</v>
      </c>
      <c r="B227" s="3228" t="s">
        <v>3110</v>
      </c>
      <c r="C227" s="3228"/>
      <c r="D227" s="3228"/>
      <c r="E227" s="3228"/>
      <c r="F227" s="3228">
        <v>1520</v>
      </c>
      <c r="G227" s="3241"/>
    </row>
    <row r="228" spans="1:7" s="3217" customFormat="1" ht="14.25" customHeight="1">
      <c r="A228" s="3228" t="s">
        <v>304</v>
      </c>
      <c r="B228" s="3228" t="s">
        <v>3111</v>
      </c>
      <c r="C228" s="3228"/>
      <c r="D228" s="3228"/>
      <c r="E228" s="3228"/>
      <c r="F228" s="3228">
        <v>1520</v>
      </c>
      <c r="G228" s="3241"/>
    </row>
    <row r="229" spans="1:7" s="3217" customFormat="1" ht="14.25" customHeight="1">
      <c r="A229" s="3228" t="s">
        <v>304</v>
      </c>
      <c r="B229" s="3228" t="s">
        <v>3028</v>
      </c>
      <c r="C229" s="3228"/>
      <c r="D229" s="3228"/>
      <c r="E229" s="3228"/>
      <c r="F229" s="3228">
        <v>1520</v>
      </c>
      <c r="G229" s="3241"/>
    </row>
    <row r="230" spans="1:7" s="3217" customFormat="1" ht="14.25" customHeight="1">
      <c r="A230" s="3228" t="s">
        <v>304</v>
      </c>
      <c r="B230" s="3228" t="s">
        <v>3112</v>
      </c>
      <c r="C230" s="3228"/>
      <c r="D230" s="3228"/>
      <c r="E230" s="3228"/>
      <c r="F230" s="3228">
        <v>1820</v>
      </c>
      <c r="G230" s="3241"/>
    </row>
    <row r="231" spans="1:7" s="3217" customFormat="1" ht="14.25" customHeight="1">
      <c r="A231" s="3228" t="s">
        <v>304</v>
      </c>
      <c r="B231" s="3228" t="s">
        <v>3113</v>
      </c>
      <c r="C231" s="3228"/>
      <c r="D231" s="3228"/>
      <c r="E231" s="3228"/>
      <c r="F231" s="3228">
        <v>1760</v>
      </c>
      <c r="G231" s="3241"/>
    </row>
    <row r="232" spans="1:7" s="3217" customFormat="1" ht="14.25" customHeight="1">
      <c r="A232" s="3228" t="s">
        <v>304</v>
      </c>
      <c r="B232" s="3228" t="s">
        <v>3114</v>
      </c>
      <c r="C232" s="3228"/>
      <c r="D232" s="3228"/>
      <c r="E232" s="3228"/>
      <c r="F232" s="3228">
        <v>1840</v>
      </c>
      <c r="G232" s="3241"/>
    </row>
    <row r="233" spans="1:7" s="3217" customFormat="1" ht="14.25" customHeight="1" thickBot="1">
      <c r="A233" s="3242" t="s">
        <v>304</v>
      </c>
      <c r="B233" s="3235" t="s">
        <v>3045</v>
      </c>
      <c r="C233" s="3235"/>
      <c r="D233" s="3235"/>
      <c r="E233" s="3235"/>
      <c r="F233" s="3235">
        <v>1770</v>
      </c>
      <c r="G233" s="3243"/>
    </row>
    <row r="234" spans="1:7" s="3217" customFormat="1" ht="14.25" customHeight="1">
      <c r="A234" s="3233" t="s">
        <v>305</v>
      </c>
      <c r="B234" s="3224" t="s">
        <v>3115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2886</v>
      </c>
      <c r="C238" s="3228">
        <v>6920</v>
      </c>
      <c r="D238" s="3228">
        <v>6890</v>
      </c>
      <c r="E238" s="3228">
        <v>8640</v>
      </c>
      <c r="F238" s="3228">
        <v>1310</v>
      </c>
      <c r="G238" s="3228">
        <v>4230</v>
      </c>
    </row>
    <row r="239" spans="1:7" s="3217" customFormat="1" ht="14.25" customHeight="1">
      <c r="A239" s="3228" t="s">
        <v>305</v>
      </c>
      <c r="B239" s="3228" t="s">
        <v>3116</v>
      </c>
      <c r="C239" s="3228">
        <v>6780</v>
      </c>
      <c r="D239" s="3228">
        <v>6750</v>
      </c>
      <c r="E239" s="3228">
        <v>8440</v>
      </c>
      <c r="F239" s="3228">
        <v>1160</v>
      </c>
      <c r="G239" s="3228">
        <v>4140</v>
      </c>
    </row>
    <row r="240" spans="1:7" s="3217" customFormat="1" ht="14.25" customHeight="1">
      <c r="A240" s="3228" t="s">
        <v>305</v>
      </c>
      <c r="B240" s="3228" t="s">
        <v>3117</v>
      </c>
      <c r="C240" s="3228">
        <v>5420</v>
      </c>
      <c r="D240" s="3228">
        <v>5380</v>
      </c>
      <c r="E240" s="3228">
        <v>6640</v>
      </c>
      <c r="F240" s="3228">
        <v>1020</v>
      </c>
      <c r="G240" s="3228">
        <v>3300</v>
      </c>
    </row>
    <row r="241" spans="1:7" s="3217" customFormat="1" ht="14.25" customHeight="1">
      <c r="A241" s="3228" t="s">
        <v>305</v>
      </c>
      <c r="B241" s="3228" t="s">
        <v>3118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2948</v>
      </c>
      <c r="C258" s="3228">
        <v>6190</v>
      </c>
      <c r="D258" s="3228">
        <v>6160</v>
      </c>
      <c r="E258" s="3228">
        <v>7680</v>
      </c>
      <c r="F258" s="3228">
        <v>1170</v>
      </c>
      <c r="G258" s="3228">
        <v>3780</v>
      </c>
    </row>
    <row r="259" spans="1:7" s="3217" customFormat="1" ht="14.25" customHeight="1">
      <c r="A259" s="3228" t="s">
        <v>305</v>
      </c>
      <c r="B259" s="3228" t="s">
        <v>3124</v>
      </c>
      <c r="C259" s="3228">
        <v>7610</v>
      </c>
      <c r="D259" s="3228">
        <v>7570</v>
      </c>
      <c r="E259" s="3228">
        <v>9350</v>
      </c>
      <c r="F259" s="3228">
        <v>1350</v>
      </c>
      <c r="G259" s="3228">
        <v>4650</v>
      </c>
    </row>
    <row r="260" spans="1:7" s="3217" customFormat="1" ht="14.25" customHeight="1">
      <c r="A260" s="3228" t="s">
        <v>305</v>
      </c>
      <c r="B260" s="3228" t="s">
        <v>3125</v>
      </c>
      <c r="C260" s="3228">
        <v>6920</v>
      </c>
      <c r="D260" s="3228">
        <v>6880</v>
      </c>
      <c r="E260" s="3228">
        <v>8380</v>
      </c>
      <c r="F260" s="3228">
        <v>1160</v>
      </c>
      <c r="G260" s="3228">
        <v>4220</v>
      </c>
    </row>
    <row r="261" spans="1:7" s="3217" customFormat="1" ht="14.25" customHeight="1">
      <c r="A261" s="3228" t="s">
        <v>305</v>
      </c>
      <c r="B261" s="3228" t="s">
        <v>3126</v>
      </c>
      <c r="C261" s="3228">
        <v>6850</v>
      </c>
      <c r="D261" s="3228">
        <v>6810</v>
      </c>
      <c r="E261" s="3228">
        <v>8290</v>
      </c>
      <c r="F261" s="3228">
        <v>1130</v>
      </c>
      <c r="G261" s="3228">
        <v>4180</v>
      </c>
    </row>
    <row r="262" spans="1:7" s="3217" customFormat="1" ht="14.25" customHeight="1">
      <c r="A262" s="3228" t="s">
        <v>305</v>
      </c>
      <c r="B262" s="3228" t="s">
        <v>3127</v>
      </c>
      <c r="C262" s="3228">
        <v>5860</v>
      </c>
      <c r="D262" s="3228">
        <v>5820</v>
      </c>
      <c r="E262" s="3228">
        <v>7640</v>
      </c>
      <c r="F262" s="3228">
        <v>1070</v>
      </c>
      <c r="G262" s="3228">
        <v>3570</v>
      </c>
    </row>
    <row r="263" spans="1:7" s="3217" customFormat="1" ht="14.25" customHeight="1">
      <c r="A263" s="3228" t="s">
        <v>305</v>
      </c>
      <c r="B263" s="3228" t="s">
        <v>3128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3129</v>
      </c>
      <c r="C265" s="3228"/>
      <c r="D265" s="3228"/>
      <c r="E265" s="3228"/>
      <c r="F265" s="3228">
        <v>1500</v>
      </c>
      <c r="G265" s="3228"/>
    </row>
    <row r="266" spans="1:7" s="3217" customFormat="1" ht="14.25" customHeight="1">
      <c r="A266" s="3228" t="s">
        <v>305</v>
      </c>
      <c r="B266" s="3228" t="s">
        <v>3130</v>
      </c>
      <c r="C266" s="3228"/>
      <c r="D266" s="3228"/>
      <c r="E266" s="3228"/>
      <c r="F266" s="3228">
        <v>1500</v>
      </c>
      <c r="G266" s="3228"/>
    </row>
    <row r="267" spans="1:7" s="3217" customFormat="1" ht="14.25" customHeight="1">
      <c r="A267" s="3228" t="s">
        <v>305</v>
      </c>
      <c r="B267" s="3228" t="s">
        <v>3131</v>
      </c>
      <c r="C267" s="3228"/>
      <c r="D267" s="3228"/>
      <c r="E267" s="3228"/>
      <c r="F267" s="3228">
        <v>1500</v>
      </c>
      <c r="G267" s="3228"/>
    </row>
    <row r="268" spans="1:7" s="3217" customFormat="1" ht="14.25" customHeight="1">
      <c r="A268" s="3228" t="s">
        <v>305</v>
      </c>
      <c r="B268" s="3228" t="s">
        <v>3132</v>
      </c>
      <c r="C268" s="3228"/>
      <c r="D268" s="3228"/>
      <c r="E268" s="3228"/>
      <c r="F268" s="3228">
        <v>1290</v>
      </c>
      <c r="G268" s="3228"/>
    </row>
    <row r="269" spans="1:7" s="3217" customFormat="1" ht="14.25" customHeight="1">
      <c r="A269" s="3228" t="s">
        <v>305</v>
      </c>
      <c r="B269" s="3228" t="s">
        <v>3133</v>
      </c>
      <c r="C269" s="3228"/>
      <c r="D269" s="3228"/>
      <c r="E269" s="3228"/>
      <c r="F269" s="3228">
        <v>1150</v>
      </c>
      <c r="G269" s="3228"/>
    </row>
    <row r="270" spans="1:7" s="3217" customFormat="1" ht="14.25" customHeight="1">
      <c r="A270" s="3228" t="s">
        <v>305</v>
      </c>
      <c r="B270" s="3228" t="s">
        <v>3134</v>
      </c>
      <c r="C270" s="3228"/>
      <c r="D270" s="3228"/>
      <c r="E270" s="3228"/>
      <c r="F270" s="3228">
        <v>1380</v>
      </c>
      <c r="G270" s="3228"/>
    </row>
    <row r="271" spans="1:7" s="3217" customFormat="1" ht="14.25" customHeight="1">
      <c r="A271" s="3228" t="s">
        <v>305</v>
      </c>
      <c r="B271" s="3228" t="s">
        <v>3135</v>
      </c>
      <c r="C271" s="3228"/>
      <c r="D271" s="3228"/>
      <c r="E271" s="3228"/>
      <c r="F271" s="3228">
        <v>1460</v>
      </c>
      <c r="G271" s="3228"/>
    </row>
    <row r="272" spans="1:7" s="3217" customFormat="1" ht="14.25" customHeight="1">
      <c r="A272" s="3228" t="s">
        <v>305</v>
      </c>
      <c r="B272" s="3228" t="s">
        <v>3136</v>
      </c>
      <c r="C272" s="3228"/>
      <c r="D272" s="3228"/>
      <c r="E272" s="3228"/>
      <c r="F272" s="3228">
        <v>1460</v>
      </c>
      <c r="G272" s="3228"/>
    </row>
    <row r="273" spans="1:7" s="3217" customFormat="1" ht="14.25" customHeight="1">
      <c r="A273" s="3228" t="s">
        <v>305</v>
      </c>
      <c r="B273" s="3228" t="s">
        <v>3029</v>
      </c>
      <c r="C273" s="3228"/>
      <c r="D273" s="3228"/>
      <c r="E273" s="3228"/>
      <c r="F273" s="3228">
        <v>1490</v>
      </c>
      <c r="G273" s="3228"/>
    </row>
    <row r="274" spans="1:7" s="3217" customFormat="1" ht="14.25" customHeight="1">
      <c r="A274" s="3228" t="s">
        <v>305</v>
      </c>
      <c r="B274" s="3228" t="s">
        <v>3137</v>
      </c>
      <c r="C274" s="3228"/>
      <c r="D274" s="3228"/>
      <c r="E274" s="3228"/>
      <c r="F274" s="3228">
        <v>1490</v>
      </c>
      <c r="G274" s="3228"/>
    </row>
    <row r="275" spans="1:7" s="3217" customFormat="1" ht="14.25" customHeight="1">
      <c r="A275" s="3228" t="s">
        <v>305</v>
      </c>
      <c r="B275" s="3228" t="s">
        <v>3138</v>
      </c>
      <c r="C275" s="3228"/>
      <c r="D275" s="3228"/>
      <c r="E275" s="3228"/>
      <c r="F275" s="3228">
        <v>1220</v>
      </c>
      <c r="G275" s="3228"/>
    </row>
    <row r="276" spans="1:7" s="3217" customFormat="1" ht="14.25" customHeight="1" thickBot="1">
      <c r="A276" s="3236" t="s">
        <v>305</v>
      </c>
      <c r="B276" s="3238" t="s">
        <v>3139</v>
      </c>
      <c r="C276" s="3239"/>
      <c r="D276" s="3239"/>
      <c r="E276" s="3239"/>
      <c r="F276" s="3239">
        <v>1380</v>
      </c>
      <c r="G276" s="3239"/>
    </row>
    <row r="277" spans="1:7" s="3217" customFormat="1" ht="14.25" customHeight="1">
      <c r="A277" s="3233" t="s">
        <v>306</v>
      </c>
      <c r="B277" s="3224" t="s">
        <v>3140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3141</v>
      </c>
      <c r="C279" s="3228">
        <v>4760</v>
      </c>
      <c r="D279" s="3228">
        <v>4720</v>
      </c>
      <c r="E279" s="3228">
        <v>5540</v>
      </c>
      <c r="F279" s="3228">
        <v>810</v>
      </c>
      <c r="G279" s="3241">
        <v>2850</v>
      </c>
    </row>
    <row r="280" spans="1:7" s="3217" customFormat="1" ht="14.25" customHeight="1">
      <c r="A280" s="3228" t="s">
        <v>306</v>
      </c>
      <c r="B280" s="3228" t="s">
        <v>3142</v>
      </c>
      <c r="C280" s="3228">
        <v>4010</v>
      </c>
      <c r="D280" s="3228">
        <v>3950</v>
      </c>
      <c r="E280" s="3228">
        <v>4710</v>
      </c>
      <c r="F280" s="3228">
        <v>800</v>
      </c>
      <c r="G280" s="3241">
        <v>2390</v>
      </c>
    </row>
    <row r="281" spans="1:7" s="3217" customFormat="1" ht="14.25" customHeight="1">
      <c r="A281" s="3228" t="s">
        <v>306</v>
      </c>
      <c r="B281" s="3228" t="s">
        <v>3143</v>
      </c>
      <c r="C281" s="3228">
        <v>4480</v>
      </c>
      <c r="D281" s="3228">
        <v>4420</v>
      </c>
      <c r="E281" s="3228">
        <v>5230</v>
      </c>
      <c r="F281" s="3228">
        <v>870</v>
      </c>
      <c r="G281" s="3241">
        <v>2660</v>
      </c>
    </row>
    <row r="282" spans="1:7" s="3217" customFormat="1" ht="14.25" customHeight="1">
      <c r="A282" s="3228" t="s">
        <v>306</v>
      </c>
      <c r="B282" s="3228" t="s">
        <v>3144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2921</v>
      </c>
      <c r="C293" s="3228">
        <v>5320</v>
      </c>
      <c r="D293" s="3228">
        <v>5270</v>
      </c>
      <c r="E293" s="3228">
        <v>6160</v>
      </c>
      <c r="F293" s="3228">
        <v>990</v>
      </c>
      <c r="G293" s="3241">
        <v>3170</v>
      </c>
    </row>
    <row r="294" spans="1:7" s="3217" customFormat="1" ht="14.25" customHeight="1">
      <c r="A294" s="3228" t="s">
        <v>306</v>
      </c>
      <c r="B294" s="3228" t="s">
        <v>3147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3148</v>
      </c>
      <c r="C302" s="3228">
        <v>5520</v>
      </c>
      <c r="D302" s="3228">
        <v>5470</v>
      </c>
      <c r="E302" s="3228">
        <v>6410</v>
      </c>
      <c r="F302" s="3228">
        <v>950</v>
      </c>
      <c r="G302" s="3241">
        <v>3300</v>
      </c>
    </row>
    <row r="303" spans="1:7" s="3217" customFormat="1" ht="14.25" customHeight="1">
      <c r="A303" s="3228" t="s">
        <v>306</v>
      </c>
      <c r="B303" s="3228" t="s">
        <v>2960</v>
      </c>
      <c r="C303" s="3228">
        <v>5630</v>
      </c>
      <c r="D303" s="3228">
        <v>5590</v>
      </c>
      <c r="E303" s="3228">
        <v>6550</v>
      </c>
      <c r="F303" s="3228">
        <v>1010</v>
      </c>
      <c r="G303" s="3241">
        <v>3370</v>
      </c>
    </row>
    <row r="304" spans="1:7" s="3217" customFormat="1" ht="14.25" customHeight="1">
      <c r="A304" s="3228" t="s">
        <v>306</v>
      </c>
      <c r="B304" s="3228" t="s">
        <v>2967</v>
      </c>
      <c r="C304" s="3228">
        <v>5680</v>
      </c>
      <c r="D304" s="3228">
        <v>5620</v>
      </c>
      <c r="E304" s="3228">
        <v>6620</v>
      </c>
      <c r="F304" s="3228">
        <v>1050</v>
      </c>
      <c r="G304" s="3241">
        <v>3390</v>
      </c>
    </row>
    <row r="305" spans="1:7" s="3217" customFormat="1" ht="14.25" customHeight="1">
      <c r="A305" s="3228" t="s">
        <v>306</v>
      </c>
      <c r="B305" s="3228" t="s">
        <v>2973</v>
      </c>
      <c r="C305" s="3228">
        <v>5590</v>
      </c>
      <c r="D305" s="3228">
        <v>5530</v>
      </c>
      <c r="E305" s="3228">
        <v>6460</v>
      </c>
      <c r="F305" s="3228">
        <v>900</v>
      </c>
      <c r="G305" s="3241">
        <v>3340</v>
      </c>
    </row>
    <row r="306" spans="1:7" s="3217" customFormat="1" ht="14.25" customHeight="1">
      <c r="A306" s="3228" t="s">
        <v>306</v>
      </c>
      <c r="B306" s="3228" t="s">
        <v>3149</v>
      </c>
      <c r="C306" s="3228">
        <v>5560</v>
      </c>
      <c r="D306" s="3228">
        <v>5510</v>
      </c>
      <c r="E306" s="3228">
        <v>6440</v>
      </c>
      <c r="F306" s="3228">
        <v>900</v>
      </c>
      <c r="G306" s="3241">
        <v>3320</v>
      </c>
    </row>
    <row r="307" spans="1:7" s="3217" customFormat="1" ht="14.25" customHeight="1">
      <c r="A307" s="3228" t="s">
        <v>306</v>
      </c>
      <c r="B307" s="3228" t="s">
        <v>2985</v>
      </c>
      <c r="C307" s="3228">
        <v>5650</v>
      </c>
      <c r="D307" s="3228">
        <v>5600</v>
      </c>
      <c r="E307" s="3228">
        <v>6590</v>
      </c>
      <c r="F307" s="3228">
        <v>930</v>
      </c>
      <c r="G307" s="3241">
        <v>3380</v>
      </c>
    </row>
    <row r="308" spans="1:7" s="3217" customFormat="1" ht="14.25" customHeight="1">
      <c r="A308" s="3228" t="s">
        <v>306</v>
      </c>
      <c r="B308" s="3228" t="s">
        <v>3150</v>
      </c>
      <c r="C308" s="3228">
        <v>5620</v>
      </c>
      <c r="D308" s="3228">
        <v>5580</v>
      </c>
      <c r="E308" s="3228">
        <v>6540</v>
      </c>
      <c r="F308" s="3228">
        <v>910</v>
      </c>
      <c r="G308" s="3241">
        <v>3370</v>
      </c>
    </row>
    <row r="309" spans="1:7" s="3217" customFormat="1" ht="14.25" customHeight="1">
      <c r="A309" s="3228" t="s">
        <v>306</v>
      </c>
      <c r="B309" s="3228" t="s">
        <v>3151</v>
      </c>
      <c r="C309" s="3228">
        <v>5060</v>
      </c>
      <c r="D309" s="3228">
        <v>5020</v>
      </c>
      <c r="E309" s="3228">
        <v>6370</v>
      </c>
      <c r="F309" s="3228">
        <v>800</v>
      </c>
      <c r="G309" s="3241">
        <v>3020</v>
      </c>
    </row>
    <row r="310" spans="1:7" s="3217" customFormat="1" ht="14.25" customHeight="1">
      <c r="A310" s="3228" t="s">
        <v>306</v>
      </c>
      <c r="B310" s="3228" t="s">
        <v>3000</v>
      </c>
      <c r="C310" s="3228">
        <v>5150</v>
      </c>
      <c r="D310" s="3228">
        <v>5110</v>
      </c>
      <c r="E310" s="3228">
        <v>6500</v>
      </c>
      <c r="F310" s="3228">
        <v>880</v>
      </c>
      <c r="G310" s="3241">
        <v>3080</v>
      </c>
    </row>
    <row r="311" spans="1:7" s="3217" customFormat="1" ht="14.25" customHeight="1">
      <c r="A311" s="3228" t="s">
        <v>306</v>
      </c>
      <c r="B311" s="3228" t="s">
        <v>3152</v>
      </c>
      <c r="C311" s="3228">
        <v>4750</v>
      </c>
      <c r="D311" s="3228">
        <v>4710</v>
      </c>
      <c r="E311" s="3228">
        <v>5510</v>
      </c>
      <c r="F311" s="3228">
        <v>880</v>
      </c>
      <c r="G311" s="3241">
        <v>2840</v>
      </c>
    </row>
    <row r="312" spans="1:7" s="3217" customFormat="1" ht="14.25" customHeight="1">
      <c r="A312" s="3228" t="s">
        <v>306</v>
      </c>
      <c r="B312" s="3228" t="s">
        <v>3010</v>
      </c>
      <c r="C312" s="3228">
        <v>4690</v>
      </c>
      <c r="D312" s="3228">
        <v>4640</v>
      </c>
      <c r="E312" s="3228">
        <v>5420</v>
      </c>
      <c r="F312" s="3228">
        <v>800</v>
      </c>
      <c r="G312" s="3241">
        <v>2800</v>
      </c>
    </row>
    <row r="313" spans="1:7" s="3217" customFormat="1" ht="14.25" customHeight="1">
      <c r="A313" s="3228" t="s">
        <v>306</v>
      </c>
      <c r="B313" s="3228" t="s">
        <v>3015</v>
      </c>
      <c r="C313" s="3228">
        <v>4810</v>
      </c>
      <c r="D313" s="3228">
        <v>4760</v>
      </c>
      <c r="E313" s="3228">
        <v>5550</v>
      </c>
      <c r="F313" s="3228">
        <v>920</v>
      </c>
      <c r="G313" s="3241">
        <v>2870</v>
      </c>
    </row>
    <row r="314" spans="1:7" s="3217" customFormat="1" ht="14.25" customHeight="1">
      <c r="A314" s="3228" t="s">
        <v>306</v>
      </c>
      <c r="B314" s="3228" t="s">
        <v>3153</v>
      </c>
      <c r="C314" s="3228"/>
      <c r="D314" s="3228"/>
      <c r="E314" s="3228"/>
      <c r="F314" s="3228">
        <v>1020</v>
      </c>
      <c r="G314" s="3241"/>
    </row>
    <row r="315" spans="1:7" s="3217" customFormat="1" ht="14.25" customHeight="1">
      <c r="A315" s="3228" t="s">
        <v>306</v>
      </c>
      <c r="B315" s="3228" t="s">
        <v>3154</v>
      </c>
      <c r="C315" s="3228"/>
      <c r="D315" s="3228"/>
      <c r="E315" s="3228"/>
      <c r="F315" s="3228">
        <v>1050</v>
      </c>
      <c r="G315" s="3241"/>
    </row>
    <row r="316" spans="1:7" s="3217" customFormat="1" ht="14.25" customHeight="1">
      <c r="A316" s="3228" t="s">
        <v>306</v>
      </c>
      <c r="B316" s="3228" t="s">
        <v>3030</v>
      </c>
      <c r="C316" s="3228"/>
      <c r="D316" s="3228"/>
      <c r="E316" s="3228"/>
      <c r="F316" s="3228">
        <v>900</v>
      </c>
      <c r="G316" s="3241"/>
    </row>
    <row r="317" spans="1:7" s="3217" customFormat="1" ht="14.25" customHeight="1">
      <c r="A317" s="3228" t="s">
        <v>306</v>
      </c>
      <c r="B317" s="3228" t="s">
        <v>3155</v>
      </c>
      <c r="C317" s="3228"/>
      <c r="D317" s="3228"/>
      <c r="E317" s="3228"/>
      <c r="F317" s="3228">
        <v>920</v>
      </c>
      <c r="G317" s="3241"/>
    </row>
    <row r="318" spans="1:7" s="3217" customFormat="1" ht="14.25" customHeight="1">
      <c r="A318" s="3228" t="s">
        <v>306</v>
      </c>
      <c r="B318" s="3228" t="s">
        <v>3156</v>
      </c>
      <c r="C318" s="3228"/>
      <c r="D318" s="3228"/>
      <c r="E318" s="3228"/>
      <c r="F318" s="3228">
        <v>1080</v>
      </c>
      <c r="G318" s="3241"/>
    </row>
    <row r="319" spans="1:7" s="3217" customFormat="1" ht="14.25" customHeight="1">
      <c r="A319" s="3228" t="s">
        <v>306</v>
      </c>
      <c r="B319" s="3228" t="s">
        <v>3043</v>
      </c>
      <c r="C319" s="3228"/>
      <c r="D319" s="3228"/>
      <c r="E319" s="3228"/>
      <c r="F319" s="3228">
        <v>1020</v>
      </c>
      <c r="G319" s="3241"/>
    </row>
    <row r="320" spans="1:7" s="3217" customFormat="1" ht="14.25" customHeight="1">
      <c r="A320" s="3228" t="s">
        <v>306</v>
      </c>
      <c r="B320" s="3228" t="s">
        <v>3046</v>
      </c>
      <c r="C320" s="3228"/>
      <c r="D320" s="3228"/>
      <c r="E320" s="3228"/>
      <c r="F320" s="3228">
        <v>1050</v>
      </c>
      <c r="G320" s="3241"/>
    </row>
    <row r="321" spans="1:7" s="3217" customFormat="1" ht="14.25" customHeight="1">
      <c r="A321" s="3228" t="s">
        <v>306</v>
      </c>
      <c r="B321" s="3228" t="s">
        <v>3048</v>
      </c>
      <c r="C321" s="3228"/>
      <c r="D321" s="3228"/>
      <c r="E321" s="3228"/>
      <c r="F321" s="3228">
        <v>960</v>
      </c>
      <c r="G321" s="3241"/>
    </row>
    <row r="322" spans="1:7" s="3217" customFormat="1" ht="14.25" customHeight="1">
      <c r="A322" s="3228" t="s">
        <v>306</v>
      </c>
      <c r="B322" s="3228" t="s">
        <v>3050</v>
      </c>
      <c r="C322" s="3228"/>
      <c r="D322" s="3228"/>
      <c r="E322" s="3228"/>
      <c r="F322" s="3228">
        <v>960</v>
      </c>
      <c r="G322" s="3241"/>
    </row>
    <row r="323" spans="1:7" s="3217" customFormat="1" ht="14.25" customHeight="1">
      <c r="A323" s="3228" t="s">
        <v>306</v>
      </c>
      <c r="B323" s="3228" t="s">
        <v>3052</v>
      </c>
      <c r="C323" s="3228"/>
      <c r="D323" s="3228"/>
      <c r="E323" s="3228"/>
      <c r="F323" s="3228">
        <v>880</v>
      </c>
      <c r="G323" s="3241"/>
    </row>
    <row r="324" spans="1:7" s="3217" customFormat="1" ht="14.25" customHeight="1">
      <c r="A324" s="3228" t="s">
        <v>306</v>
      </c>
      <c r="B324" s="3228" t="s">
        <v>3054</v>
      </c>
      <c r="C324" s="3228"/>
      <c r="D324" s="3228"/>
      <c r="E324" s="3228"/>
      <c r="F324" s="3228">
        <v>930</v>
      </c>
      <c r="G324" s="3241"/>
    </row>
    <row r="325" spans="1:7" s="3217" customFormat="1" ht="14.25" customHeight="1">
      <c r="A325" s="3228" t="s">
        <v>306</v>
      </c>
      <c r="B325" s="3229" t="s">
        <v>3056</v>
      </c>
      <c r="C325" s="3228"/>
      <c r="D325" s="3228"/>
      <c r="E325" s="3228"/>
      <c r="F325" s="3228">
        <v>900</v>
      </c>
      <c r="G325" s="3241"/>
    </row>
    <row r="326" spans="1:7" s="3217" customFormat="1" ht="14.25" customHeight="1" thickBot="1">
      <c r="A326" s="3242" t="s">
        <v>306</v>
      </c>
      <c r="B326" s="3235" t="s">
        <v>3058</v>
      </c>
      <c r="C326" s="3235"/>
      <c r="D326" s="3235"/>
      <c r="E326" s="3235"/>
      <c r="F326" s="3235">
        <v>790</v>
      </c>
      <c r="G326" s="3243"/>
    </row>
    <row r="327" spans="1:7" s="3217" customFormat="1" ht="14.25" customHeight="1">
      <c r="A327" s="3233" t="s">
        <v>307</v>
      </c>
      <c r="B327" s="3224" t="s">
        <v>3157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3158</v>
      </c>
      <c r="C329" s="3228">
        <v>2730</v>
      </c>
      <c r="D329" s="3228">
        <v>2690</v>
      </c>
      <c r="E329" s="3228">
        <v>3100</v>
      </c>
      <c r="F329" s="3228">
        <v>660</v>
      </c>
      <c r="G329" s="3228">
        <v>1610</v>
      </c>
    </row>
    <row r="330" spans="1:7" s="3217" customFormat="1" ht="14.25" customHeight="1">
      <c r="A330" s="3228" t="s">
        <v>307</v>
      </c>
      <c r="B330" s="3228" t="s">
        <v>3159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2892</v>
      </c>
      <c r="C332" s="3228">
        <v>3520</v>
      </c>
      <c r="D332" s="3228">
        <v>3480</v>
      </c>
      <c r="E332" s="3228">
        <v>3830</v>
      </c>
      <c r="F332" s="3228">
        <v>720</v>
      </c>
      <c r="G332" s="3228">
        <v>2090</v>
      </c>
    </row>
    <row r="333" spans="1:7" s="3217" customFormat="1" ht="14.25" customHeight="1">
      <c r="A333" s="3228" t="s">
        <v>307</v>
      </c>
      <c r="B333" s="3228" t="s">
        <v>3160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2902</v>
      </c>
      <c r="C336" s="3228">
        <v>3570</v>
      </c>
      <c r="D336" s="3228">
        <v>3530</v>
      </c>
      <c r="E336" s="3228">
        <v>3880</v>
      </c>
      <c r="F336" s="3228">
        <v>770</v>
      </c>
      <c r="G336" s="3228">
        <v>2110</v>
      </c>
    </row>
    <row r="337" spans="1:10" s="3217" customFormat="1" ht="14.25" customHeight="1">
      <c r="A337" s="3228" t="s">
        <v>307</v>
      </c>
      <c r="B337" s="3228" t="s">
        <v>3161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2927</v>
      </c>
      <c r="C345" s="3228">
        <v>3190</v>
      </c>
      <c r="D345" s="3228">
        <v>3140</v>
      </c>
      <c r="E345" s="3228">
        <v>3450</v>
      </c>
      <c r="F345" s="3228">
        <v>720</v>
      </c>
      <c r="G345" s="3228">
        <v>1880</v>
      </c>
      <c r="J345" s="3217"/>
    </row>
    <row r="346" spans="1:10">
      <c r="A346" s="3228" t="s">
        <v>307</v>
      </c>
      <c r="B346" s="3228" t="s">
        <v>3164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2936</v>
      </c>
      <c r="C348" s="3228">
        <v>4000</v>
      </c>
      <c r="D348" s="3228">
        <v>3950</v>
      </c>
      <c r="E348" s="3228">
        <v>4430</v>
      </c>
      <c r="F348" s="3228">
        <v>760</v>
      </c>
      <c r="G348" s="3228">
        <v>2360</v>
      </c>
      <c r="J348" s="3217"/>
    </row>
    <row r="349" spans="1:10">
      <c r="A349" s="3228" t="s">
        <v>307</v>
      </c>
      <c r="B349" s="3228" t="s">
        <v>2941</v>
      </c>
      <c r="C349" s="3228">
        <v>3820</v>
      </c>
      <c r="D349" s="3228">
        <v>3780</v>
      </c>
      <c r="E349" s="3228">
        <v>4170</v>
      </c>
      <c r="F349" s="3228">
        <v>710</v>
      </c>
      <c r="G349" s="3228">
        <v>2260</v>
      </c>
      <c r="J349" s="3217"/>
    </row>
    <row r="350" spans="1:10">
      <c r="A350" s="3228" t="s">
        <v>307</v>
      </c>
      <c r="B350" s="3228" t="s">
        <v>3165</v>
      </c>
      <c r="C350" s="3228">
        <v>3760</v>
      </c>
      <c r="D350" s="3228">
        <v>3730</v>
      </c>
      <c r="E350" s="3228">
        <v>4100</v>
      </c>
      <c r="F350" s="3228">
        <v>800</v>
      </c>
      <c r="G350" s="3228">
        <v>2230</v>
      </c>
      <c r="J350" s="3217"/>
    </row>
    <row r="351" spans="1:10">
      <c r="A351" s="3228" t="s">
        <v>307</v>
      </c>
      <c r="B351" s="3228" t="s">
        <v>2949</v>
      </c>
      <c r="C351" s="3228">
        <v>3610</v>
      </c>
      <c r="D351" s="3228">
        <v>3580</v>
      </c>
      <c r="E351" s="3228">
        <v>3930</v>
      </c>
      <c r="F351" s="3228">
        <v>700</v>
      </c>
      <c r="G351" s="3228">
        <v>2140</v>
      </c>
      <c r="J351" s="3217"/>
    </row>
    <row r="352" spans="1:10">
      <c r="A352" s="3228" t="s">
        <v>307</v>
      </c>
      <c r="B352" s="3228" t="s">
        <v>2954</v>
      </c>
      <c r="C352" s="3228">
        <v>3670</v>
      </c>
      <c r="D352" s="3228">
        <v>3630</v>
      </c>
      <c r="E352" s="3228">
        <v>4000</v>
      </c>
      <c r="F352" s="3228">
        <v>750</v>
      </c>
      <c r="G352" s="3228">
        <v>2180</v>
      </c>
    </row>
    <row r="353" spans="1:7" s="3221" customFormat="1">
      <c r="A353" s="3228" t="s">
        <v>307</v>
      </c>
      <c r="B353" s="3228" t="s">
        <v>3166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2974</v>
      </c>
      <c r="C355" s="3228">
        <v>3650</v>
      </c>
      <c r="D355" s="3228">
        <v>3610</v>
      </c>
      <c r="E355" s="3228">
        <v>4200</v>
      </c>
      <c r="F355" s="3228">
        <v>640</v>
      </c>
      <c r="G355" s="3228">
        <v>2160</v>
      </c>
    </row>
    <row r="356" spans="1:7" s="3221" customFormat="1">
      <c r="A356" s="3228" t="s">
        <v>307</v>
      </c>
      <c r="B356" s="3228" t="s">
        <v>2981</v>
      </c>
      <c r="C356" s="3228">
        <v>3260</v>
      </c>
      <c r="D356" s="3228">
        <v>3230</v>
      </c>
      <c r="E356" s="3228">
        <v>3740</v>
      </c>
      <c r="F356" s="3228">
        <v>600</v>
      </c>
      <c r="G356" s="3228">
        <v>1930</v>
      </c>
    </row>
    <row r="357" spans="1:7" s="3221" customFormat="1" ht="11.4" thickBot="1">
      <c r="A357" s="3236" t="s">
        <v>307</v>
      </c>
      <c r="B357" s="3239" t="s">
        <v>3167</v>
      </c>
      <c r="C357" s="3239">
        <v>3690</v>
      </c>
      <c r="D357" s="3239">
        <v>3650</v>
      </c>
      <c r="E357" s="3239">
        <v>4020</v>
      </c>
      <c r="F357" s="3239">
        <v>700</v>
      </c>
      <c r="G357" s="3239">
        <v>2190</v>
      </c>
    </row>
    <row r="358" spans="1:7" s="3221" customFormat="1">
      <c r="A358" s="3233" t="s">
        <v>3168</v>
      </c>
      <c r="B358" s="3224" t="s">
        <v>3169</v>
      </c>
      <c r="C358" s="3224">
        <v>2080</v>
      </c>
      <c r="D358" s="3224">
        <v>2040</v>
      </c>
      <c r="E358" s="3224">
        <v>2010</v>
      </c>
      <c r="F358" s="3224">
        <v>530</v>
      </c>
      <c r="G358" s="3240">
        <v>1230</v>
      </c>
    </row>
    <row r="359" spans="1:7" s="3221" customFormat="1">
      <c r="A359" s="3228" t="s">
        <v>3168</v>
      </c>
      <c r="B359" s="3228" t="s">
        <v>3170</v>
      </c>
      <c r="C359" s="3228">
        <v>1850</v>
      </c>
      <c r="D359" s="3228">
        <v>1820</v>
      </c>
      <c r="E359" s="3228">
        <v>1780</v>
      </c>
      <c r="F359" s="3228">
        <v>520</v>
      </c>
      <c r="G359" s="3241">
        <v>1100</v>
      </c>
    </row>
    <row r="360" spans="1:7" s="3221" customFormat="1">
      <c r="A360" s="3228" t="s">
        <v>3168</v>
      </c>
      <c r="B360" s="3228" t="s">
        <v>3171</v>
      </c>
      <c r="C360" s="3228">
        <v>2020</v>
      </c>
      <c r="D360" s="3228">
        <v>1990</v>
      </c>
      <c r="E360" s="3228">
        <v>1950</v>
      </c>
      <c r="F360" s="3228">
        <v>500</v>
      </c>
      <c r="G360" s="3241">
        <v>1200</v>
      </c>
    </row>
    <row r="361" spans="1:7" s="3221" customFormat="1">
      <c r="A361" s="3228" t="s">
        <v>3168</v>
      </c>
      <c r="B361" s="3228" t="s">
        <v>153</v>
      </c>
      <c r="C361" s="3228">
        <v>2260</v>
      </c>
      <c r="D361" s="3228">
        <v>2220</v>
      </c>
      <c r="E361" s="3228">
        <v>2180</v>
      </c>
      <c r="F361" s="3228">
        <v>580</v>
      </c>
      <c r="G361" s="3241">
        <v>1340</v>
      </c>
    </row>
    <row r="362" spans="1:7" s="3221" customFormat="1">
      <c r="A362" s="3228" t="s">
        <v>3168</v>
      </c>
      <c r="B362" s="3228" t="s">
        <v>3172</v>
      </c>
      <c r="C362" s="3228">
        <v>2650</v>
      </c>
      <c r="D362" s="3228">
        <v>2610</v>
      </c>
      <c r="E362" s="3228">
        <v>2570</v>
      </c>
      <c r="F362" s="3228">
        <v>630</v>
      </c>
      <c r="G362" s="3241">
        <v>1570</v>
      </c>
    </row>
    <row r="363" spans="1:7" s="3221" customFormat="1">
      <c r="A363" s="3228" t="s">
        <v>3168</v>
      </c>
      <c r="B363" s="3228" t="s">
        <v>2893</v>
      </c>
      <c r="C363" s="3228">
        <v>2390</v>
      </c>
      <c r="D363" s="3228">
        <v>2360</v>
      </c>
      <c r="E363" s="3228">
        <v>2320</v>
      </c>
      <c r="F363" s="3228">
        <v>600</v>
      </c>
      <c r="G363" s="3241">
        <v>1420</v>
      </c>
    </row>
    <row r="364" spans="1:7" s="3221" customFormat="1">
      <c r="A364" s="3228" t="s">
        <v>3168</v>
      </c>
      <c r="B364" s="3228" t="s">
        <v>3173</v>
      </c>
      <c r="C364" s="3228">
        <v>2050</v>
      </c>
      <c r="D364" s="3228">
        <v>2030</v>
      </c>
      <c r="E364" s="3228">
        <v>1990</v>
      </c>
      <c r="F364" s="3228">
        <v>550</v>
      </c>
      <c r="G364" s="3241">
        <v>1220</v>
      </c>
    </row>
    <row r="365" spans="1:7" s="3221" customFormat="1">
      <c r="A365" s="3228" t="s">
        <v>3168</v>
      </c>
      <c r="B365" s="3228" t="s">
        <v>200</v>
      </c>
      <c r="C365" s="3228">
        <v>2140</v>
      </c>
      <c r="D365" s="3228">
        <v>2100</v>
      </c>
      <c r="E365" s="3228">
        <v>2060</v>
      </c>
      <c r="F365" s="3228">
        <v>540</v>
      </c>
      <c r="G365" s="3241">
        <v>1270</v>
      </c>
    </row>
    <row r="366" spans="1:7" s="3221" customFormat="1">
      <c r="A366" s="3228" t="s">
        <v>3168</v>
      </c>
      <c r="B366" s="3228" t="s">
        <v>2900</v>
      </c>
      <c r="C366" s="3228">
        <v>2410</v>
      </c>
      <c r="D366" s="3228">
        <v>2370</v>
      </c>
      <c r="E366" s="3228">
        <v>2330</v>
      </c>
      <c r="F366" s="3228">
        <v>570</v>
      </c>
      <c r="G366" s="3241">
        <v>1440</v>
      </c>
    </row>
    <row r="367" spans="1:7" s="3221" customFormat="1">
      <c r="A367" s="3228" t="s">
        <v>3168</v>
      </c>
      <c r="B367" s="3228" t="s">
        <v>3174</v>
      </c>
      <c r="C367" s="3228">
        <v>2300</v>
      </c>
      <c r="D367" s="3228">
        <v>2260</v>
      </c>
      <c r="E367" s="3228">
        <v>2220</v>
      </c>
      <c r="F367" s="3228">
        <v>560</v>
      </c>
      <c r="G367" s="3241">
        <v>1370</v>
      </c>
    </row>
    <row r="368" spans="1:7" s="3221" customFormat="1">
      <c r="A368" s="3228" t="s">
        <v>3168</v>
      </c>
      <c r="B368" s="3228" t="s">
        <v>3175</v>
      </c>
      <c r="C368" s="3228">
        <v>2430</v>
      </c>
      <c r="D368" s="3228">
        <v>2390</v>
      </c>
      <c r="E368" s="3228">
        <v>2350</v>
      </c>
      <c r="F368" s="3228">
        <v>570</v>
      </c>
      <c r="G368" s="3241">
        <v>1450</v>
      </c>
    </row>
    <row r="369" spans="1:7" s="3221" customFormat="1">
      <c r="A369" s="3228" t="s">
        <v>3168</v>
      </c>
      <c r="B369" s="3228" t="s">
        <v>214</v>
      </c>
      <c r="C369" s="3228">
        <v>2320</v>
      </c>
      <c r="D369" s="3228">
        <v>2290</v>
      </c>
      <c r="E369" s="3228">
        <v>2250</v>
      </c>
      <c r="F369" s="3228">
        <v>550</v>
      </c>
      <c r="G369" s="3241">
        <v>1380</v>
      </c>
    </row>
    <row r="370" spans="1:7" s="3221" customFormat="1">
      <c r="A370" s="3228" t="s">
        <v>3168</v>
      </c>
      <c r="B370" s="3228" t="s">
        <v>221</v>
      </c>
      <c r="C370" s="3228">
        <v>2190</v>
      </c>
      <c r="D370" s="3228">
        <v>2170</v>
      </c>
      <c r="E370" s="3228">
        <v>2130</v>
      </c>
      <c r="F370" s="3228">
        <v>530</v>
      </c>
      <c r="G370" s="3241">
        <v>1310</v>
      </c>
    </row>
    <row r="371" spans="1:7" s="3221" customFormat="1">
      <c r="A371" s="3228" t="s">
        <v>3168</v>
      </c>
      <c r="B371" s="3228" t="s">
        <v>229</v>
      </c>
      <c r="C371" s="3228">
        <v>2460</v>
      </c>
      <c r="D371" s="3228">
        <v>2420</v>
      </c>
      <c r="E371" s="3228">
        <v>2370</v>
      </c>
      <c r="F371" s="3228">
        <v>560</v>
      </c>
      <c r="G371" s="3241">
        <v>1470</v>
      </c>
    </row>
    <row r="372" spans="1:7" s="3221" customFormat="1">
      <c r="A372" s="3228" t="s">
        <v>3168</v>
      </c>
      <c r="B372" s="3228" t="s">
        <v>3176</v>
      </c>
      <c r="C372" s="3228">
        <v>2250</v>
      </c>
      <c r="D372" s="3228">
        <v>2210</v>
      </c>
      <c r="E372" s="3228">
        <v>2180</v>
      </c>
      <c r="F372" s="3228">
        <v>550</v>
      </c>
      <c r="G372" s="3241">
        <v>1340</v>
      </c>
    </row>
    <row r="373" spans="1:7" s="3221" customFormat="1">
      <c r="A373" s="3228" t="s">
        <v>3168</v>
      </c>
      <c r="B373" s="3228" t="s">
        <v>258</v>
      </c>
      <c r="C373" s="3228">
        <v>2210</v>
      </c>
      <c r="D373" s="3228">
        <v>2190</v>
      </c>
      <c r="E373" s="3228">
        <v>2150</v>
      </c>
      <c r="F373" s="3228">
        <v>530</v>
      </c>
      <c r="G373" s="3241">
        <v>1320</v>
      </c>
    </row>
    <row r="374" spans="1:7" s="3221" customFormat="1">
      <c r="A374" s="3228" t="s">
        <v>3168</v>
      </c>
      <c r="B374" s="3228" t="s">
        <v>266</v>
      </c>
      <c r="C374" s="3228">
        <v>2320</v>
      </c>
      <c r="D374" s="3228">
        <v>2280</v>
      </c>
      <c r="E374" s="3228">
        <v>2230</v>
      </c>
      <c r="F374" s="3228">
        <v>580</v>
      </c>
      <c r="G374" s="3241">
        <v>1380</v>
      </c>
    </row>
    <row r="375" spans="1:7" s="3221" customFormat="1">
      <c r="A375" s="3228" t="s">
        <v>3168</v>
      </c>
      <c r="B375" s="3228" t="s">
        <v>3177</v>
      </c>
      <c r="C375" s="3228">
        <v>2090</v>
      </c>
      <c r="D375" s="3228">
        <v>2050</v>
      </c>
      <c r="E375" s="3228">
        <v>2020</v>
      </c>
      <c r="F375" s="3228">
        <v>520</v>
      </c>
      <c r="G375" s="3241">
        <v>1240</v>
      </c>
    </row>
    <row r="376" spans="1:7" s="3221" customFormat="1">
      <c r="A376" s="3228" t="s">
        <v>3168</v>
      </c>
      <c r="B376" s="3228" t="s">
        <v>277</v>
      </c>
      <c r="C376" s="3228">
        <v>2010</v>
      </c>
      <c r="D376" s="3228">
        <v>1980</v>
      </c>
      <c r="E376" s="3228">
        <v>1940</v>
      </c>
      <c r="F376" s="3228">
        <v>540</v>
      </c>
      <c r="G376" s="3241">
        <v>1190</v>
      </c>
    </row>
    <row r="377" spans="1:7" s="3221" customFormat="1" ht="11.4" thickBot="1">
      <c r="A377" s="3236" t="s">
        <v>3168</v>
      </c>
      <c r="B377" s="3239" t="s">
        <v>2930</v>
      </c>
      <c r="C377" s="3239">
        <v>1930</v>
      </c>
      <c r="D377" s="3239">
        <v>1890</v>
      </c>
      <c r="E377" s="3239">
        <v>1860</v>
      </c>
      <c r="F377" s="3239">
        <v>530</v>
      </c>
      <c r="G377" s="3244">
        <v>1150</v>
      </c>
    </row>
    <row r="378" spans="1:7" s="3221" customFormat="1">
      <c r="A378" s="3245" t="s">
        <v>3178</v>
      </c>
      <c r="B378" s="3224" t="s">
        <v>3179</v>
      </c>
      <c r="C378" s="3224">
        <v>1520</v>
      </c>
      <c r="D378" s="3224">
        <v>1490</v>
      </c>
      <c r="E378" s="3224">
        <v>1460</v>
      </c>
      <c r="F378" s="3224">
        <v>460</v>
      </c>
      <c r="G378" s="3240">
        <v>940</v>
      </c>
    </row>
    <row r="379" spans="1:7" s="3221" customFormat="1">
      <c r="A379" s="3246" t="s">
        <v>3178</v>
      </c>
      <c r="B379" s="3228" t="s">
        <v>3180</v>
      </c>
      <c r="C379" s="3228">
        <v>1500</v>
      </c>
      <c r="D379" s="3228">
        <v>1470</v>
      </c>
      <c r="E379" s="3228">
        <v>1430</v>
      </c>
      <c r="F379" s="3228">
        <v>460</v>
      </c>
      <c r="G379" s="3241">
        <v>920</v>
      </c>
    </row>
    <row r="380" spans="1:7" s="3221" customFormat="1">
      <c r="A380" s="3246" t="s">
        <v>3178</v>
      </c>
      <c r="B380" s="3228" t="s">
        <v>3181</v>
      </c>
      <c r="C380" s="3228">
        <v>1620</v>
      </c>
      <c r="D380" s="3228">
        <v>1590</v>
      </c>
      <c r="E380" s="3228">
        <v>1560</v>
      </c>
      <c r="F380" s="3228">
        <v>480</v>
      </c>
      <c r="G380" s="3241">
        <v>1000</v>
      </c>
    </row>
    <row r="381" spans="1:7" s="3221" customFormat="1">
      <c r="A381" s="3246" t="s">
        <v>3178</v>
      </c>
      <c r="B381" s="3228" t="s">
        <v>3182</v>
      </c>
      <c r="C381" s="3228">
        <v>1460</v>
      </c>
      <c r="D381" s="3228">
        <v>1430</v>
      </c>
      <c r="E381" s="3228">
        <v>1390</v>
      </c>
      <c r="F381" s="3228">
        <v>450</v>
      </c>
      <c r="G381" s="3241">
        <v>900</v>
      </c>
    </row>
    <row r="382" spans="1:7" s="3221" customFormat="1">
      <c r="A382" s="3246" t="s">
        <v>3178</v>
      </c>
      <c r="B382" s="3228" t="s">
        <v>3183</v>
      </c>
      <c r="C382" s="3228">
        <v>1310</v>
      </c>
      <c r="D382" s="3228">
        <v>1280</v>
      </c>
      <c r="E382" s="3228">
        <v>1250</v>
      </c>
      <c r="F382" s="3228">
        <v>440</v>
      </c>
      <c r="G382" s="3241">
        <v>800</v>
      </c>
    </row>
    <row r="383" spans="1:7" s="3221" customFormat="1">
      <c r="A383" s="3246" t="s">
        <v>3178</v>
      </c>
      <c r="B383" s="3228" t="s">
        <v>3184</v>
      </c>
      <c r="C383" s="3228">
        <v>1260</v>
      </c>
      <c r="D383" s="3228">
        <v>1230</v>
      </c>
      <c r="E383" s="3228">
        <v>1200</v>
      </c>
      <c r="F383" s="3228">
        <v>420</v>
      </c>
      <c r="G383" s="3241">
        <v>770</v>
      </c>
    </row>
    <row r="384" spans="1:7" s="3221" customFormat="1" ht="11.4" thickBot="1">
      <c r="A384" s="3247" t="s">
        <v>3178</v>
      </c>
      <c r="B384" s="3235" t="s">
        <v>3185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4" customWidth="1"/>
    <col min="2" max="2" width="20" style="3284" customWidth="1"/>
    <col min="3" max="7" width="8.88671875" style="3248"/>
    <col min="8" max="16384" width="8.88671875" style="3249"/>
  </cols>
  <sheetData>
    <row r="1" spans="1:7">
      <c r="A1" s="3780" t="s">
        <v>3186</v>
      </c>
      <c r="B1" s="3780"/>
    </row>
    <row r="2" spans="1:7" ht="15" thickBot="1">
      <c r="A2" s="3250"/>
      <c r="B2" s="3250"/>
    </row>
    <row r="3" spans="1:7" ht="15" thickBot="1">
      <c r="A3" s="3250"/>
      <c r="B3" s="3250"/>
      <c r="C3" s="3251" t="s">
        <v>2814</v>
      </c>
      <c r="D3" s="3251" t="s">
        <v>2872</v>
      </c>
      <c r="E3" s="3251" t="s">
        <v>2816</v>
      </c>
      <c r="F3" s="3251" t="s">
        <v>2873</v>
      </c>
      <c r="G3" s="3251" t="s">
        <v>2634</v>
      </c>
    </row>
    <row r="4" spans="1:7" ht="15" thickBot="1">
      <c r="A4" s="3252" t="s">
        <v>2871</v>
      </c>
      <c r="B4" s="3253" t="s">
        <v>2877</v>
      </c>
      <c r="C4" s="3251"/>
      <c r="D4" s="3251"/>
      <c r="E4" s="3251"/>
      <c r="F4" s="3251"/>
      <c r="G4" s="3251"/>
    </row>
    <row r="5" spans="1:7">
      <c r="A5" s="3254" t="s">
        <v>2845</v>
      </c>
      <c r="B5" s="3255" t="s">
        <v>2859</v>
      </c>
      <c r="C5" s="3256">
        <v>9.8000000000000004E-2</v>
      </c>
      <c r="D5" s="3256">
        <v>8.6999999999999994E-2</v>
      </c>
      <c r="E5" s="3256">
        <v>8.6999999999999994E-2</v>
      </c>
      <c r="F5" s="3256">
        <v>9.8000000000000004E-2</v>
      </c>
      <c r="G5" s="3257">
        <v>9.5000000000000001E-2</v>
      </c>
    </row>
    <row r="6" spans="1:7">
      <c r="A6" s="3258" t="s">
        <v>144</v>
      </c>
      <c r="B6" s="3259" t="s">
        <v>2874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5" thickBot="1">
      <c r="A9" s="3262" t="s">
        <v>144</v>
      </c>
      <c r="B9" s="3263" t="s">
        <v>154</v>
      </c>
      <c r="C9" s="3264">
        <v>0.1</v>
      </c>
      <c r="D9" s="3264">
        <v>0.1</v>
      </c>
      <c r="E9" s="3264">
        <v>0.1</v>
      </c>
      <c r="F9" s="3265"/>
      <c r="G9" s="3266">
        <v>0.1</v>
      </c>
    </row>
    <row r="10" spans="1:7">
      <c r="A10" s="3254" t="s">
        <v>184</v>
      </c>
      <c r="B10" s="3255" t="s">
        <v>2860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5" thickBot="1">
      <c r="A29" s="3262" t="s">
        <v>184</v>
      </c>
      <c r="B29" s="3263" t="s">
        <v>2928</v>
      </c>
      <c r="C29" s="3268"/>
      <c r="D29" s="3264">
        <v>5.1999999999999998E-2</v>
      </c>
      <c r="E29" s="3264">
        <v>7.0000000000000007E-2</v>
      </c>
      <c r="F29" s="3268"/>
      <c r="G29" s="3266">
        <v>7.0999999999999994E-2</v>
      </c>
    </row>
    <row r="30" spans="1:7">
      <c r="A30" s="3269" t="s">
        <v>296</v>
      </c>
      <c r="B30" s="3255" t="s">
        <v>2861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2931</v>
      </c>
      <c r="C50" s="3260">
        <v>9.8000000000000004E-2</v>
      </c>
      <c r="D50" s="3260">
        <v>7.2999999999999995E-2</v>
      </c>
      <c r="E50" s="3260">
        <v>7.0999999999999994E-2</v>
      </c>
      <c r="F50" s="3271"/>
      <c r="G50" s="3261">
        <v>7.2999999999999995E-2</v>
      </c>
    </row>
    <row r="51" spans="1:7">
      <c r="A51" s="3270" t="s">
        <v>296</v>
      </c>
      <c r="B51" s="3259" t="s">
        <v>2933</v>
      </c>
      <c r="C51" s="3260">
        <v>9.9000000000000005E-2</v>
      </c>
      <c r="D51" s="3260">
        <v>8.5000000000000006E-2</v>
      </c>
      <c r="E51" s="3260">
        <v>6.3E-2</v>
      </c>
      <c r="F51" s="3271"/>
      <c r="G51" s="3261">
        <v>9.6000000000000002E-2</v>
      </c>
    </row>
    <row r="52" spans="1:7">
      <c r="A52" s="3270" t="s">
        <v>296</v>
      </c>
      <c r="B52" s="3259" t="s">
        <v>2937</v>
      </c>
      <c r="C52" s="3260">
        <v>7.3999999999999996E-2</v>
      </c>
      <c r="D52" s="3260">
        <v>9.6000000000000002E-2</v>
      </c>
      <c r="E52" s="3260">
        <v>0.05</v>
      </c>
      <c r="F52" s="3271"/>
      <c r="G52" s="3261">
        <v>9.8000000000000004E-2</v>
      </c>
    </row>
    <row r="53" spans="1:7">
      <c r="A53" s="3270" t="s">
        <v>296</v>
      </c>
      <c r="B53" s="3259" t="s">
        <v>2942</v>
      </c>
      <c r="C53" s="3260">
        <v>8.5999999999999993E-2</v>
      </c>
      <c r="D53" s="3271"/>
      <c r="E53" s="3260">
        <v>9.1999999999999998E-2</v>
      </c>
      <c r="F53" s="3271"/>
      <c r="G53" s="3272"/>
    </row>
    <row r="54" spans="1:7" ht="15" thickBot="1">
      <c r="A54" s="3273" t="s">
        <v>296</v>
      </c>
      <c r="B54" s="3263" t="s">
        <v>2945</v>
      </c>
      <c r="C54" s="3264">
        <v>9.6000000000000002E-2</v>
      </c>
      <c r="D54" s="3265"/>
      <c r="E54" s="3274"/>
      <c r="F54" s="3265"/>
      <c r="G54" s="3275"/>
    </row>
    <row r="55" spans="1:7">
      <c r="A55" s="3269" t="s">
        <v>110</v>
      </c>
      <c r="B55" s="3255" t="s">
        <v>2862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2943</v>
      </c>
      <c r="C78" s="3260">
        <v>0.1</v>
      </c>
      <c r="D78" s="3260">
        <v>8.5000000000000006E-2</v>
      </c>
      <c r="E78" s="3260">
        <v>9.6000000000000002E-2</v>
      </c>
      <c r="F78" s="3271"/>
      <c r="G78" s="3261">
        <v>9.6000000000000002E-2</v>
      </c>
    </row>
    <row r="79" spans="1:7">
      <c r="A79" s="3270" t="s">
        <v>110</v>
      </c>
      <c r="B79" s="3259" t="s">
        <v>2946</v>
      </c>
      <c r="C79" s="3260">
        <v>0.05</v>
      </c>
      <c r="D79" s="3260">
        <v>9.6000000000000002E-2</v>
      </c>
      <c r="E79" s="3260">
        <v>9.5000000000000001E-2</v>
      </c>
      <c r="F79" s="3271"/>
      <c r="G79" s="3261">
        <v>9.8000000000000004E-2</v>
      </c>
    </row>
    <row r="80" spans="1:7">
      <c r="A80" s="3270" t="s">
        <v>110</v>
      </c>
      <c r="B80" s="3259" t="s">
        <v>2950</v>
      </c>
      <c r="C80" s="3260">
        <v>8.5999999999999993E-2</v>
      </c>
      <c r="D80" s="3276"/>
      <c r="E80" s="3260">
        <v>0.1</v>
      </c>
      <c r="F80" s="3271"/>
      <c r="G80" s="3272"/>
    </row>
    <row r="81" spans="1:7">
      <c r="A81" s="3270" t="s">
        <v>110</v>
      </c>
      <c r="B81" s="3259" t="s">
        <v>2955</v>
      </c>
      <c r="C81" s="3260">
        <v>9.6000000000000002E-2</v>
      </c>
      <c r="D81" s="3271"/>
      <c r="E81" s="3260">
        <v>9.8000000000000004E-2</v>
      </c>
      <c r="F81" s="3271"/>
      <c r="G81" s="3272"/>
    </row>
    <row r="82" spans="1:7">
      <c r="A82" s="3270" t="s">
        <v>110</v>
      </c>
      <c r="B82" s="3259" t="s">
        <v>2962</v>
      </c>
      <c r="C82" s="3276"/>
      <c r="D82" s="3271"/>
      <c r="E82" s="3260">
        <v>7.6999999999999999E-2</v>
      </c>
      <c r="F82" s="3271"/>
      <c r="G82" s="3272"/>
    </row>
    <row r="83" spans="1:7">
      <c r="A83" s="3270" t="s">
        <v>110</v>
      </c>
      <c r="B83" s="3259" t="s">
        <v>2968</v>
      </c>
      <c r="C83" s="3271"/>
      <c r="D83" s="3271"/>
      <c r="E83" s="3271"/>
      <c r="F83" s="3260">
        <v>0.1</v>
      </c>
      <c r="G83" s="3277"/>
    </row>
    <row r="84" spans="1:7">
      <c r="A84" s="3270" t="s">
        <v>110</v>
      </c>
      <c r="B84" s="3259" t="s">
        <v>2975</v>
      </c>
      <c r="C84" s="3271"/>
      <c r="D84" s="3271"/>
      <c r="E84" s="3271"/>
      <c r="F84" s="3260">
        <v>0.1</v>
      </c>
      <c r="G84" s="3277"/>
    </row>
    <row r="85" spans="1:7">
      <c r="A85" s="3270" t="s">
        <v>110</v>
      </c>
      <c r="B85" s="3259" t="s">
        <v>2982</v>
      </c>
      <c r="C85" s="3271"/>
      <c r="D85" s="3271"/>
      <c r="E85" s="3271"/>
      <c r="F85" s="3260">
        <v>0.1</v>
      </c>
      <c r="G85" s="3277"/>
    </row>
    <row r="86" spans="1:7" ht="15" thickBot="1">
      <c r="A86" s="3273" t="s">
        <v>110</v>
      </c>
      <c r="B86" s="3263" t="s">
        <v>2987</v>
      </c>
      <c r="C86" s="3264">
        <v>9.8000000000000004E-2</v>
      </c>
      <c r="D86" s="3264">
        <v>9.8000000000000004E-2</v>
      </c>
      <c r="E86" s="3264">
        <v>9.6000000000000002E-2</v>
      </c>
      <c r="F86" s="3274"/>
      <c r="G86" s="3266">
        <v>0.1</v>
      </c>
    </row>
    <row r="87" spans="1:7">
      <c r="A87" s="3269" t="s">
        <v>303</v>
      </c>
      <c r="B87" s="3255" t="s">
        <v>2863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2956</v>
      </c>
      <c r="C113" s="3260">
        <v>0.1</v>
      </c>
      <c r="D113" s="3260">
        <v>0.1</v>
      </c>
      <c r="E113" s="3271"/>
      <c r="F113" s="3271"/>
      <c r="G113" s="3261">
        <v>0.1</v>
      </c>
    </row>
    <row r="114" spans="1:7">
      <c r="A114" s="3270" t="s">
        <v>303</v>
      </c>
      <c r="B114" s="3259" t="s">
        <v>2963</v>
      </c>
      <c r="C114" s="3260">
        <v>9.7000000000000003E-2</v>
      </c>
      <c r="D114" s="3260">
        <v>9.7000000000000003E-2</v>
      </c>
      <c r="E114" s="3271"/>
      <c r="F114" s="3271"/>
      <c r="G114" s="3261">
        <v>9.9000000000000005E-2</v>
      </c>
    </row>
    <row r="115" spans="1:7">
      <c r="A115" s="3270" t="s">
        <v>303</v>
      </c>
      <c r="B115" s="3259" t="s">
        <v>2969</v>
      </c>
      <c r="C115" s="3260">
        <v>0.1</v>
      </c>
      <c r="D115" s="3260">
        <v>0.1</v>
      </c>
      <c r="E115" s="3271"/>
      <c r="F115" s="3271"/>
      <c r="G115" s="3261">
        <v>0.1</v>
      </c>
    </row>
    <row r="116" spans="1:7">
      <c r="A116" s="3270" t="s">
        <v>303</v>
      </c>
      <c r="B116" s="3259" t="s">
        <v>2976</v>
      </c>
      <c r="C116" s="3260">
        <v>0.1</v>
      </c>
      <c r="D116" s="3260">
        <v>0.1</v>
      </c>
      <c r="E116" s="3271"/>
      <c r="F116" s="3271"/>
      <c r="G116" s="3261">
        <v>0.1</v>
      </c>
    </row>
    <row r="117" spans="1:7">
      <c r="A117" s="3270" t="s">
        <v>303</v>
      </c>
      <c r="B117" s="3259" t="s">
        <v>2983</v>
      </c>
      <c r="C117" s="3260">
        <v>9.7000000000000003E-2</v>
      </c>
      <c r="D117" s="3260">
        <v>9.7000000000000003E-2</v>
      </c>
      <c r="E117" s="3271"/>
      <c r="F117" s="3271"/>
      <c r="G117" s="3261">
        <v>9.7000000000000003E-2</v>
      </c>
    </row>
    <row r="118" spans="1:7">
      <c r="A118" s="3270" t="s">
        <v>303</v>
      </c>
      <c r="B118" s="3259" t="s">
        <v>2988</v>
      </c>
      <c r="C118" s="3260">
        <v>0.1</v>
      </c>
      <c r="D118" s="3260">
        <v>0.1</v>
      </c>
      <c r="E118" s="3271"/>
      <c r="F118" s="3271"/>
      <c r="G118" s="3261">
        <v>0.1</v>
      </c>
    </row>
    <row r="119" spans="1:7">
      <c r="A119" s="3270" t="s">
        <v>303</v>
      </c>
      <c r="B119" s="3259" t="s">
        <v>2992</v>
      </c>
      <c r="C119" s="3260">
        <v>5.0999999999999997E-2</v>
      </c>
      <c r="D119" s="3260">
        <v>5.1999999999999998E-2</v>
      </c>
      <c r="E119" s="3271"/>
      <c r="F119" s="3276"/>
      <c r="G119" s="3261">
        <v>0.06</v>
      </c>
    </row>
    <row r="120" spans="1:7">
      <c r="A120" s="3270" t="s">
        <v>303</v>
      </c>
      <c r="B120" s="3259" t="s">
        <v>2996</v>
      </c>
      <c r="C120" s="3271"/>
      <c r="D120" s="3271"/>
      <c r="E120" s="3271"/>
      <c r="F120" s="3260">
        <v>0.1</v>
      </c>
      <c r="G120" s="3277"/>
    </row>
    <row r="121" spans="1:7">
      <c r="A121" s="3270" t="s">
        <v>303</v>
      </c>
      <c r="B121" s="3259" t="s">
        <v>3001</v>
      </c>
      <c r="C121" s="3271"/>
      <c r="D121" s="3271"/>
      <c r="E121" s="3271"/>
      <c r="F121" s="3260">
        <v>0.1</v>
      </c>
      <c r="G121" s="3277"/>
    </row>
    <row r="122" spans="1:7">
      <c r="A122" s="3270" t="s">
        <v>303</v>
      </c>
      <c r="B122" s="3259" t="s">
        <v>3006</v>
      </c>
      <c r="C122" s="3260">
        <v>0.1</v>
      </c>
      <c r="D122" s="3260">
        <v>0.1</v>
      </c>
      <c r="E122" s="3260">
        <v>9.8000000000000004E-2</v>
      </c>
      <c r="F122" s="3260">
        <v>0.1</v>
      </c>
      <c r="G122" s="3261">
        <v>0.1</v>
      </c>
    </row>
    <row r="123" spans="1:7">
      <c r="A123" s="3270" t="s">
        <v>303</v>
      </c>
      <c r="B123" s="3259" t="s">
        <v>3011</v>
      </c>
      <c r="C123" s="3260">
        <v>0.1</v>
      </c>
      <c r="D123" s="3260">
        <v>0.1</v>
      </c>
      <c r="E123" s="3260">
        <v>9.8000000000000004E-2</v>
      </c>
      <c r="F123" s="3260">
        <v>0.1</v>
      </c>
      <c r="G123" s="3261">
        <v>0.1</v>
      </c>
    </row>
    <row r="124" spans="1:7">
      <c r="A124" s="3270" t="s">
        <v>303</v>
      </c>
      <c r="B124" s="3259" t="s">
        <v>3016</v>
      </c>
      <c r="C124" s="3260">
        <v>0.1</v>
      </c>
      <c r="D124" s="3260">
        <v>0.1</v>
      </c>
      <c r="E124" s="3260">
        <v>9.8000000000000004E-2</v>
      </c>
      <c r="F124" s="3276"/>
      <c r="G124" s="3261">
        <v>0.1</v>
      </c>
    </row>
    <row r="125" spans="1:7">
      <c r="A125" s="3270" t="s">
        <v>303</v>
      </c>
      <c r="B125" s="3259" t="s">
        <v>3021</v>
      </c>
      <c r="C125" s="3260">
        <v>9.8000000000000004E-2</v>
      </c>
      <c r="D125" s="3260">
        <v>9.8000000000000004E-2</v>
      </c>
      <c r="E125" s="3260">
        <v>9.6000000000000002E-2</v>
      </c>
      <c r="F125" s="3276"/>
      <c r="G125" s="3261">
        <v>0.1</v>
      </c>
    </row>
    <row r="126" spans="1:7" ht="15" thickBot="1">
      <c r="A126" s="3273" t="s">
        <v>303</v>
      </c>
      <c r="B126" s="3263" t="s">
        <v>3187</v>
      </c>
      <c r="C126" s="3264">
        <v>0.1</v>
      </c>
      <c r="D126" s="3264">
        <v>0.1</v>
      </c>
      <c r="E126" s="3264">
        <v>9.8000000000000004E-2</v>
      </c>
      <c r="F126" s="3264">
        <v>0.1</v>
      </c>
      <c r="G126" s="3266">
        <v>0.1</v>
      </c>
    </row>
    <row r="127" spans="1:7">
      <c r="A127" s="3269" t="s">
        <v>29</v>
      </c>
      <c r="B127" s="3255" t="s">
        <v>2864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2934</v>
      </c>
      <c r="C148" s="3260">
        <v>0.13</v>
      </c>
      <c r="D148" s="3260">
        <v>0.13</v>
      </c>
      <c r="E148" s="3260">
        <v>0.13</v>
      </c>
      <c r="F148" s="3271"/>
      <c r="G148" s="3261">
        <v>0.13</v>
      </c>
    </row>
    <row r="149" spans="1:7">
      <c r="A149" s="3270" t="s">
        <v>29</v>
      </c>
      <c r="B149" s="3259" t="s">
        <v>2938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2957</v>
      </c>
      <c r="C153" s="3260">
        <v>0.13</v>
      </c>
      <c r="D153" s="3260">
        <v>0.13</v>
      </c>
      <c r="E153" s="3260">
        <v>0.13</v>
      </c>
      <c r="F153" s="3260">
        <v>0.13</v>
      </c>
      <c r="G153" s="3261">
        <v>0.13</v>
      </c>
    </row>
    <row r="154" spans="1:7">
      <c r="A154" s="3270" t="s">
        <v>29</v>
      </c>
      <c r="B154" s="3259" t="s">
        <v>2964</v>
      </c>
      <c r="C154" s="3260">
        <v>0.121</v>
      </c>
      <c r="D154" s="3260">
        <v>0.121</v>
      </c>
      <c r="E154" s="3260">
        <v>0.105</v>
      </c>
      <c r="F154" s="3260">
        <v>0.121</v>
      </c>
      <c r="G154" s="3261">
        <v>0.123</v>
      </c>
    </row>
    <row r="155" spans="1:7">
      <c r="A155" s="3270" t="s">
        <v>29</v>
      </c>
      <c r="B155" s="3259" t="s">
        <v>2970</v>
      </c>
      <c r="C155" s="3260">
        <v>0.1</v>
      </c>
      <c r="D155" s="3260">
        <v>0.1</v>
      </c>
      <c r="E155" s="3260">
        <v>0.1</v>
      </c>
      <c r="F155" s="3260">
        <v>0.1</v>
      </c>
      <c r="G155" s="3261">
        <v>0.1</v>
      </c>
    </row>
    <row r="156" spans="1:7">
      <c r="A156" s="3270" t="s">
        <v>29</v>
      </c>
      <c r="B156" s="3259" t="s">
        <v>2977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2997</v>
      </c>
      <c r="C160" s="3260">
        <v>0.13</v>
      </c>
      <c r="D160" s="3260">
        <v>0.13</v>
      </c>
      <c r="E160" s="3260">
        <v>0.124</v>
      </c>
      <c r="F160" s="3260">
        <v>0.126</v>
      </c>
      <c r="G160" s="3261">
        <v>0.13</v>
      </c>
    </row>
    <row r="161" spans="1:7">
      <c r="A161" s="3270" t="s">
        <v>29</v>
      </c>
      <c r="B161" s="3259" t="s">
        <v>3002</v>
      </c>
      <c r="C161" s="3260">
        <v>0.13</v>
      </c>
      <c r="D161" s="3260">
        <v>0.13</v>
      </c>
      <c r="E161" s="3260">
        <v>0.124</v>
      </c>
      <c r="F161" s="3260">
        <v>0.127</v>
      </c>
      <c r="G161" s="3261">
        <v>0.13</v>
      </c>
    </row>
    <row r="162" spans="1:7">
      <c r="A162" s="3270" t="s">
        <v>29</v>
      </c>
      <c r="B162" s="3259" t="s">
        <v>3007</v>
      </c>
      <c r="C162" s="3260">
        <v>0.1</v>
      </c>
      <c r="D162" s="3260">
        <v>0.1</v>
      </c>
      <c r="E162" s="3260">
        <v>0.1</v>
      </c>
      <c r="F162" s="3260">
        <v>0.121</v>
      </c>
      <c r="G162" s="3261">
        <v>0.105</v>
      </c>
    </row>
    <row r="163" spans="1:7">
      <c r="A163" s="3270" t="s">
        <v>29</v>
      </c>
      <c r="B163" s="3259" t="s">
        <v>3012</v>
      </c>
      <c r="C163" s="3260">
        <v>0.1</v>
      </c>
      <c r="D163" s="3260">
        <v>0.1</v>
      </c>
      <c r="E163" s="3260">
        <v>0.1</v>
      </c>
      <c r="F163" s="3260">
        <v>0.1</v>
      </c>
      <c r="G163" s="3261">
        <v>0.1</v>
      </c>
    </row>
    <row r="164" spans="1:7">
      <c r="A164" s="3270" t="s">
        <v>29</v>
      </c>
      <c r="B164" s="3259" t="s">
        <v>3017</v>
      </c>
      <c r="C164" s="3276"/>
      <c r="D164" s="3276"/>
      <c r="E164" s="3276"/>
      <c r="F164" s="3260">
        <v>0.1</v>
      </c>
      <c r="G164" s="3272"/>
    </row>
    <row r="165" spans="1:7">
      <c r="A165" s="3270" t="s">
        <v>29</v>
      </c>
      <c r="B165" s="3259" t="s">
        <v>3188</v>
      </c>
      <c r="C165" s="3260">
        <v>0.126</v>
      </c>
      <c r="D165" s="3260">
        <v>0.126</v>
      </c>
      <c r="E165" s="3260">
        <v>0.11899999999999999</v>
      </c>
      <c r="F165" s="3260">
        <v>0.13</v>
      </c>
      <c r="G165" s="3261">
        <v>0.128</v>
      </c>
    </row>
    <row r="166" spans="1:7">
      <c r="A166" s="3270" t="s">
        <v>29</v>
      </c>
      <c r="B166" s="3259" t="s">
        <v>3027</v>
      </c>
      <c r="C166" s="3260">
        <v>0.129</v>
      </c>
      <c r="D166" s="3260">
        <v>0.129</v>
      </c>
      <c r="E166" s="3260">
        <v>0.123</v>
      </c>
      <c r="F166" s="3260">
        <v>0.128</v>
      </c>
      <c r="G166" s="3261">
        <v>0.13</v>
      </c>
    </row>
    <row r="167" spans="1:7">
      <c r="A167" s="3270" t="s">
        <v>29</v>
      </c>
      <c r="B167" s="3259" t="s">
        <v>3031</v>
      </c>
      <c r="C167" s="3260">
        <v>0.125</v>
      </c>
      <c r="D167" s="3260">
        <v>0.125</v>
      </c>
      <c r="E167" s="3260">
        <v>0.11700000000000001</v>
      </c>
      <c r="F167" s="3260">
        <v>0.13</v>
      </c>
      <c r="G167" s="3261">
        <v>0.126</v>
      </c>
    </row>
    <row r="168" spans="1:7">
      <c r="A168" s="3270" t="s">
        <v>29</v>
      </c>
      <c r="B168" s="3259" t="s">
        <v>3036</v>
      </c>
      <c r="C168" s="3260">
        <v>0.128</v>
      </c>
      <c r="D168" s="3260">
        <v>0.128</v>
      </c>
      <c r="E168" s="3260">
        <v>0.123</v>
      </c>
      <c r="F168" s="3271"/>
      <c r="G168" s="3261">
        <v>0.13</v>
      </c>
    </row>
    <row r="169" spans="1:7">
      <c r="A169" s="3270" t="s">
        <v>29</v>
      </c>
      <c r="B169" s="3259" t="s">
        <v>3189</v>
      </c>
      <c r="C169" s="3276"/>
      <c r="D169" s="3276"/>
      <c r="E169" s="3276"/>
      <c r="F169" s="3260">
        <v>0.05</v>
      </c>
      <c r="G169" s="3272"/>
    </row>
    <row r="170" spans="1:7">
      <c r="A170" s="3270" t="s">
        <v>29</v>
      </c>
      <c r="B170" s="3259" t="s">
        <v>3190</v>
      </c>
      <c r="C170" s="3276"/>
      <c r="D170" s="3276"/>
      <c r="E170" s="3276"/>
      <c r="F170" s="3260">
        <v>0.05</v>
      </c>
      <c r="G170" s="3272"/>
    </row>
    <row r="171" spans="1:7">
      <c r="A171" s="3270" t="s">
        <v>29</v>
      </c>
      <c r="B171" s="3259" t="s">
        <v>3191</v>
      </c>
      <c r="C171" s="3276"/>
      <c r="D171" s="3276"/>
      <c r="E171" s="3276"/>
      <c r="F171" s="3260">
        <v>0.05</v>
      </c>
      <c r="G171" s="3277"/>
    </row>
    <row r="172" spans="1:7">
      <c r="A172" s="3270" t="s">
        <v>29</v>
      </c>
      <c r="B172" s="3259" t="s">
        <v>3192</v>
      </c>
      <c r="C172" s="3276"/>
      <c r="D172" s="3276"/>
      <c r="E172" s="3276"/>
      <c r="F172" s="3260">
        <v>0.05</v>
      </c>
      <c r="G172" s="3277"/>
    </row>
    <row r="173" spans="1:7">
      <c r="A173" s="3270" t="s">
        <v>29</v>
      </c>
      <c r="B173" s="3259" t="s">
        <v>3193</v>
      </c>
      <c r="C173" s="3276"/>
      <c r="D173" s="3276"/>
      <c r="E173" s="3276"/>
      <c r="F173" s="3260">
        <v>0.05</v>
      </c>
      <c r="G173" s="3272"/>
    </row>
    <row r="174" spans="1:7">
      <c r="A174" s="3270" t="s">
        <v>29</v>
      </c>
      <c r="B174" s="3259" t="s">
        <v>3194</v>
      </c>
      <c r="C174" s="3276"/>
      <c r="D174" s="3276"/>
      <c r="E174" s="3276"/>
      <c r="F174" s="3260">
        <v>0.05</v>
      </c>
      <c r="G174" s="3272"/>
    </row>
    <row r="175" spans="1:7">
      <c r="A175" s="3270" t="s">
        <v>29</v>
      </c>
      <c r="B175" s="3259" t="s">
        <v>3195</v>
      </c>
      <c r="C175" s="3276"/>
      <c r="D175" s="3276"/>
      <c r="E175" s="3276"/>
      <c r="F175" s="3260">
        <v>0.05</v>
      </c>
      <c r="G175" s="3272"/>
    </row>
    <row r="176" spans="1:7">
      <c r="A176" s="3270" t="s">
        <v>29</v>
      </c>
      <c r="B176" s="3259" t="s">
        <v>3196</v>
      </c>
      <c r="C176" s="3276"/>
      <c r="D176" s="3276"/>
      <c r="E176" s="3276"/>
      <c r="F176" s="3260">
        <v>0.05</v>
      </c>
      <c r="G176" s="3272"/>
    </row>
    <row r="177" spans="1:7">
      <c r="A177" s="3270" t="s">
        <v>29</v>
      </c>
      <c r="B177" s="3259" t="s">
        <v>3197</v>
      </c>
      <c r="C177" s="3271"/>
      <c r="D177" s="3271"/>
      <c r="E177" s="3271"/>
      <c r="F177" s="3260">
        <v>0.05</v>
      </c>
      <c r="G177" s="3277"/>
    </row>
    <row r="178" spans="1:7">
      <c r="A178" s="3270" t="s">
        <v>29</v>
      </c>
      <c r="B178" s="3259" t="s">
        <v>3198</v>
      </c>
      <c r="C178" s="3271"/>
      <c r="D178" s="3271"/>
      <c r="E178" s="3271"/>
      <c r="F178" s="3260">
        <v>0.05</v>
      </c>
      <c r="G178" s="3277"/>
    </row>
    <row r="179" spans="1:7">
      <c r="A179" s="3270" t="s">
        <v>29</v>
      </c>
      <c r="B179" s="3259" t="s">
        <v>3199</v>
      </c>
      <c r="C179" s="3271"/>
      <c r="D179" s="3271"/>
      <c r="E179" s="3271"/>
      <c r="F179" s="3260">
        <v>0.05</v>
      </c>
      <c r="G179" s="3277"/>
    </row>
    <row r="180" spans="1:7">
      <c r="A180" s="3270" t="s">
        <v>29</v>
      </c>
      <c r="B180" s="3259" t="s">
        <v>3200</v>
      </c>
      <c r="C180" s="3271"/>
      <c r="D180" s="3271"/>
      <c r="E180" s="3271"/>
      <c r="F180" s="3260">
        <v>0.05</v>
      </c>
      <c r="G180" s="3277"/>
    </row>
    <row r="181" spans="1:7">
      <c r="A181" s="3270" t="s">
        <v>29</v>
      </c>
      <c r="B181" s="3259" t="s">
        <v>3201</v>
      </c>
      <c r="C181" s="3271"/>
      <c r="D181" s="3271"/>
      <c r="E181" s="3271"/>
      <c r="F181" s="3260">
        <v>0.05</v>
      </c>
      <c r="G181" s="3277"/>
    </row>
    <row r="182" spans="1:7">
      <c r="A182" s="3270" t="s">
        <v>29</v>
      </c>
      <c r="B182" s="3259" t="s">
        <v>3202</v>
      </c>
      <c r="C182" s="3271"/>
      <c r="D182" s="3271"/>
      <c r="E182" s="3271"/>
      <c r="F182" s="3260">
        <v>0.05</v>
      </c>
      <c r="G182" s="3277"/>
    </row>
    <row r="183" spans="1:7">
      <c r="A183" s="3270" t="s">
        <v>29</v>
      </c>
      <c r="B183" s="3259" t="s">
        <v>3203</v>
      </c>
      <c r="C183" s="3271"/>
      <c r="D183" s="3271"/>
      <c r="E183" s="3271"/>
      <c r="F183" s="3260">
        <v>0.05</v>
      </c>
      <c r="G183" s="3277"/>
    </row>
    <row r="184" spans="1:7">
      <c r="A184" s="3270" t="s">
        <v>29</v>
      </c>
      <c r="B184" s="3259" t="s">
        <v>3204</v>
      </c>
      <c r="C184" s="3271"/>
      <c r="D184" s="3271"/>
      <c r="E184" s="3271"/>
      <c r="F184" s="3260">
        <v>0.05</v>
      </c>
      <c r="G184" s="3277"/>
    </row>
    <row r="185" spans="1:7">
      <c r="A185" s="3270" t="s">
        <v>29</v>
      </c>
      <c r="B185" s="3259" t="s">
        <v>3205</v>
      </c>
      <c r="C185" s="3271"/>
      <c r="D185" s="3271"/>
      <c r="E185" s="3271"/>
      <c r="F185" s="3260">
        <v>0.05</v>
      </c>
      <c r="G185" s="3277"/>
    </row>
    <row r="186" spans="1:7">
      <c r="A186" s="3270" t="s">
        <v>29</v>
      </c>
      <c r="B186" s="3259" t="s">
        <v>3206</v>
      </c>
      <c r="C186" s="3271"/>
      <c r="D186" s="3271"/>
      <c r="E186" s="3271"/>
      <c r="F186" s="3260">
        <v>0.05</v>
      </c>
      <c r="G186" s="3277"/>
    </row>
    <row r="187" spans="1:7">
      <c r="A187" s="3270" t="s">
        <v>29</v>
      </c>
      <c r="B187" s="3259" t="s">
        <v>3207</v>
      </c>
      <c r="C187" s="3271"/>
      <c r="D187" s="3271"/>
      <c r="E187" s="3271"/>
      <c r="F187" s="3260">
        <v>0.05</v>
      </c>
      <c r="G187" s="3277"/>
    </row>
    <row r="188" spans="1:7">
      <c r="A188" s="3270" t="s">
        <v>29</v>
      </c>
      <c r="B188" s="3259" t="s">
        <v>3208</v>
      </c>
      <c r="C188" s="3271"/>
      <c r="D188" s="3271"/>
      <c r="E188" s="3271"/>
      <c r="F188" s="3260">
        <v>0.05</v>
      </c>
      <c r="G188" s="3277"/>
    </row>
    <row r="189" spans="1:7" ht="15" thickBot="1">
      <c r="A189" s="3273" t="s">
        <v>29</v>
      </c>
      <c r="B189" s="3263" t="s">
        <v>3209</v>
      </c>
      <c r="C189" s="3265"/>
      <c r="D189" s="3265"/>
      <c r="E189" s="3265"/>
      <c r="F189" s="3264">
        <v>0.05</v>
      </c>
      <c r="G189" s="3278"/>
    </row>
    <row r="190" spans="1:7">
      <c r="A190" s="3269" t="s">
        <v>304</v>
      </c>
      <c r="B190" s="3255" t="s">
        <v>2865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2901</v>
      </c>
      <c r="C199" s="3260">
        <v>0.13</v>
      </c>
      <c r="D199" s="3260">
        <v>0.13</v>
      </c>
      <c r="E199" s="3260">
        <v>0.13</v>
      </c>
      <c r="F199" s="3260">
        <v>0.13</v>
      </c>
      <c r="G199" s="3261">
        <v>0.13</v>
      </c>
    </row>
    <row r="200" spans="1:7">
      <c r="A200" s="3270" t="s">
        <v>304</v>
      </c>
      <c r="B200" s="3259" t="s">
        <v>2904</v>
      </c>
      <c r="C200" s="3276"/>
      <c r="D200" s="3276"/>
      <c r="E200" s="3276"/>
      <c r="F200" s="3260">
        <v>0.13</v>
      </c>
      <c r="G200" s="3272"/>
    </row>
    <row r="201" spans="1:7">
      <c r="A201" s="3270" t="s">
        <v>304</v>
      </c>
      <c r="B201" s="3259" t="s">
        <v>2909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2912</v>
      </c>
      <c r="C203" s="3260">
        <v>0.129</v>
      </c>
      <c r="D203" s="3260">
        <v>0.129</v>
      </c>
      <c r="E203" s="3260">
        <v>0.13</v>
      </c>
      <c r="F203" s="3260">
        <v>0.13</v>
      </c>
      <c r="G203" s="3261">
        <v>0.13</v>
      </c>
    </row>
    <row r="204" spans="1:7">
      <c r="A204" s="3270" t="s">
        <v>304</v>
      </c>
      <c r="B204" s="3259" t="s">
        <v>2915</v>
      </c>
      <c r="C204" s="3260">
        <v>0.129</v>
      </c>
      <c r="D204" s="3260">
        <v>0.129</v>
      </c>
      <c r="E204" s="3260">
        <v>0.123</v>
      </c>
      <c r="F204" s="3260">
        <v>0.13</v>
      </c>
      <c r="G204" s="3261">
        <v>0.13</v>
      </c>
    </row>
    <row r="205" spans="1:7">
      <c r="A205" s="3270" t="s">
        <v>304</v>
      </c>
      <c r="B205" s="3259" t="s">
        <v>2917</v>
      </c>
      <c r="C205" s="3260">
        <v>0.13</v>
      </c>
      <c r="D205" s="3260">
        <v>0.13</v>
      </c>
      <c r="E205" s="3260">
        <v>0.13</v>
      </c>
      <c r="F205" s="3260">
        <v>0.13</v>
      </c>
      <c r="G205" s="3261">
        <v>0.13</v>
      </c>
    </row>
    <row r="206" spans="1:7">
      <c r="A206" s="3270" t="s">
        <v>304</v>
      </c>
      <c r="B206" s="3259" t="s">
        <v>2920</v>
      </c>
      <c r="C206" s="3260">
        <v>0.13</v>
      </c>
      <c r="D206" s="3260">
        <v>0.13</v>
      </c>
      <c r="E206" s="3260">
        <v>0.13</v>
      </c>
      <c r="F206" s="3260">
        <v>0.128</v>
      </c>
      <c r="G206" s="3261">
        <v>0.13</v>
      </c>
    </row>
    <row r="207" spans="1:7">
      <c r="A207" s="3270" t="s">
        <v>304</v>
      </c>
      <c r="B207" s="3259" t="s">
        <v>2922</v>
      </c>
      <c r="C207" s="3260">
        <v>0.13</v>
      </c>
      <c r="D207" s="3260">
        <v>0.13</v>
      </c>
      <c r="E207" s="3260">
        <v>0.13</v>
      </c>
      <c r="F207" s="3260">
        <v>0.13</v>
      </c>
      <c r="G207" s="3261">
        <v>0.13</v>
      </c>
    </row>
    <row r="208" spans="1:7">
      <c r="A208" s="3270" t="s">
        <v>304</v>
      </c>
      <c r="B208" s="3259" t="s">
        <v>2925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2932</v>
      </c>
      <c r="C210" s="3260">
        <v>0.121</v>
      </c>
      <c r="D210" s="3260">
        <v>0.121</v>
      </c>
      <c r="E210" s="3260">
        <v>0.125</v>
      </c>
      <c r="F210" s="3260">
        <v>0.13</v>
      </c>
      <c r="G210" s="3261">
        <v>0.123</v>
      </c>
    </row>
    <row r="211" spans="1:7">
      <c r="A211" s="3270" t="s">
        <v>304</v>
      </c>
      <c r="B211" s="3259" t="s">
        <v>2935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2947</v>
      </c>
      <c r="C214" s="3260">
        <v>0.128</v>
      </c>
      <c r="D214" s="3260">
        <v>0.128</v>
      </c>
      <c r="E214" s="3260">
        <v>0.13</v>
      </c>
      <c r="F214" s="3260">
        <v>0.13</v>
      </c>
      <c r="G214" s="3261">
        <v>0.13</v>
      </c>
    </row>
    <row r="215" spans="1:7">
      <c r="A215" s="3270" t="s">
        <v>304</v>
      </c>
      <c r="B215" s="3259" t="s">
        <v>2951</v>
      </c>
      <c r="C215" s="3260">
        <v>0.13</v>
      </c>
      <c r="D215" s="3260">
        <v>0.13</v>
      </c>
      <c r="E215" s="3260">
        <v>0.13</v>
      </c>
      <c r="F215" s="3260">
        <v>0.129</v>
      </c>
      <c r="G215" s="3261">
        <v>0.13</v>
      </c>
    </row>
    <row r="216" spans="1:7">
      <c r="A216" s="3270" t="s">
        <v>304</v>
      </c>
      <c r="B216" s="3259" t="s">
        <v>2958</v>
      </c>
      <c r="C216" s="3260">
        <v>0.13</v>
      </c>
      <c r="D216" s="3260">
        <v>0.13</v>
      </c>
      <c r="E216" s="3260">
        <v>0.13</v>
      </c>
      <c r="F216" s="3260">
        <v>0.13</v>
      </c>
      <c r="G216" s="3261">
        <v>0.13</v>
      </c>
    </row>
    <row r="217" spans="1:7">
      <c r="A217" s="3270" t="s">
        <v>304</v>
      </c>
      <c r="B217" s="3259" t="s">
        <v>2965</v>
      </c>
      <c r="C217" s="3260">
        <v>0.129</v>
      </c>
      <c r="D217" s="3260">
        <v>0.129</v>
      </c>
      <c r="E217" s="3260">
        <v>0.13</v>
      </c>
      <c r="F217" s="3260">
        <v>0.13</v>
      </c>
      <c r="G217" s="3261">
        <v>0.13</v>
      </c>
    </row>
    <row r="218" spans="1:7">
      <c r="A218" s="3270" t="s">
        <v>304</v>
      </c>
      <c r="B218" s="3259" t="s">
        <v>2971</v>
      </c>
      <c r="C218" s="3271"/>
      <c r="D218" s="3271"/>
      <c r="E218" s="3271"/>
      <c r="F218" s="3260">
        <v>0.05</v>
      </c>
      <c r="G218" s="3277"/>
    </row>
    <row r="219" spans="1:7">
      <c r="A219" s="3270" t="s">
        <v>304</v>
      </c>
      <c r="B219" s="3259" t="s">
        <v>2978</v>
      </c>
      <c r="C219" s="3271"/>
      <c r="D219" s="3271"/>
      <c r="E219" s="3271"/>
      <c r="F219" s="3260">
        <v>0.05</v>
      </c>
      <c r="G219" s="3277"/>
    </row>
    <row r="220" spans="1:7">
      <c r="A220" s="3270" t="s">
        <v>304</v>
      </c>
      <c r="B220" s="3259" t="s">
        <v>2984</v>
      </c>
      <c r="C220" s="3271"/>
      <c r="D220" s="3271"/>
      <c r="E220" s="3271"/>
      <c r="F220" s="3260">
        <v>0.05</v>
      </c>
      <c r="G220" s="3277"/>
    </row>
    <row r="221" spans="1:7">
      <c r="A221" s="3270" t="s">
        <v>304</v>
      </c>
      <c r="B221" s="3259" t="s">
        <v>2989</v>
      </c>
      <c r="C221" s="3271"/>
      <c r="D221" s="3271"/>
      <c r="E221" s="3271"/>
      <c r="F221" s="3260">
        <v>0.05</v>
      </c>
      <c r="G221" s="3277"/>
    </row>
    <row r="222" spans="1:7">
      <c r="A222" s="3270" t="s">
        <v>304</v>
      </c>
      <c r="B222" s="3259" t="s">
        <v>2993</v>
      </c>
      <c r="C222" s="3271"/>
      <c r="D222" s="3271"/>
      <c r="E222" s="3271"/>
      <c r="F222" s="3260">
        <v>0.05</v>
      </c>
      <c r="G222" s="3277"/>
    </row>
    <row r="223" spans="1:7">
      <c r="A223" s="3270" t="s">
        <v>304</v>
      </c>
      <c r="B223" s="3259" t="s">
        <v>2998</v>
      </c>
      <c r="C223" s="3271"/>
      <c r="D223" s="3271"/>
      <c r="E223" s="3271"/>
      <c r="F223" s="3260">
        <v>0.05</v>
      </c>
      <c r="G223" s="3277"/>
    </row>
    <row r="224" spans="1:7">
      <c r="A224" s="3270" t="s">
        <v>304</v>
      </c>
      <c r="B224" s="3259" t="s">
        <v>3003</v>
      </c>
      <c r="C224" s="3271"/>
      <c r="D224" s="3271"/>
      <c r="E224" s="3271"/>
      <c r="F224" s="3260">
        <v>0.05</v>
      </c>
      <c r="G224" s="3277"/>
    </row>
    <row r="225" spans="1:7">
      <c r="A225" s="3270" t="s">
        <v>304</v>
      </c>
      <c r="B225" s="3259" t="s">
        <v>3008</v>
      </c>
      <c r="C225" s="3271"/>
      <c r="D225" s="3271"/>
      <c r="E225" s="3271"/>
      <c r="F225" s="3260">
        <v>0.05</v>
      </c>
      <c r="G225" s="3277"/>
    </row>
    <row r="226" spans="1:7">
      <c r="A226" s="3270" t="s">
        <v>304</v>
      </c>
      <c r="B226" s="3259" t="s">
        <v>3210</v>
      </c>
      <c r="C226" s="3271"/>
      <c r="D226" s="3271"/>
      <c r="E226" s="3271"/>
      <c r="F226" s="3260">
        <v>0.05</v>
      </c>
      <c r="G226" s="3277"/>
    </row>
    <row r="227" spans="1:7">
      <c r="A227" s="3270" t="s">
        <v>304</v>
      </c>
      <c r="B227" s="3259" t="s">
        <v>3211</v>
      </c>
      <c r="C227" s="3271"/>
      <c r="D227" s="3271"/>
      <c r="E227" s="3271"/>
      <c r="F227" s="3260">
        <v>0.05</v>
      </c>
      <c r="G227" s="3277"/>
    </row>
    <row r="228" spans="1:7">
      <c r="A228" s="3270" t="s">
        <v>304</v>
      </c>
      <c r="B228" s="3259" t="s">
        <v>3212</v>
      </c>
      <c r="C228" s="3271"/>
      <c r="D228" s="3271"/>
      <c r="E228" s="3271"/>
      <c r="F228" s="3260">
        <v>0.05</v>
      </c>
      <c r="G228" s="3277"/>
    </row>
    <row r="229" spans="1:7">
      <c r="A229" s="3270" t="s">
        <v>304</v>
      </c>
      <c r="B229" s="3259" t="s">
        <v>3213</v>
      </c>
      <c r="C229" s="3271"/>
      <c r="D229" s="3271"/>
      <c r="E229" s="3271"/>
      <c r="F229" s="3260">
        <v>0.05</v>
      </c>
      <c r="G229" s="3277"/>
    </row>
    <row r="230" spans="1:7">
      <c r="A230" s="3270" t="s">
        <v>304</v>
      </c>
      <c r="B230" s="3259" t="s">
        <v>3214</v>
      </c>
      <c r="C230" s="3271"/>
      <c r="D230" s="3271"/>
      <c r="E230" s="3271"/>
      <c r="F230" s="3260">
        <v>0.05</v>
      </c>
      <c r="G230" s="3277"/>
    </row>
    <row r="231" spans="1:7">
      <c r="A231" s="3270" t="s">
        <v>304</v>
      </c>
      <c r="B231" s="3259" t="s">
        <v>3215</v>
      </c>
      <c r="C231" s="3271"/>
      <c r="D231" s="3271"/>
      <c r="E231" s="3271"/>
      <c r="F231" s="3260">
        <v>0.05</v>
      </c>
      <c r="G231" s="3277"/>
    </row>
    <row r="232" spans="1:7">
      <c r="A232" s="3270" t="s">
        <v>304</v>
      </c>
      <c r="B232" s="3259" t="s">
        <v>3216</v>
      </c>
      <c r="C232" s="3271"/>
      <c r="D232" s="3271"/>
      <c r="E232" s="3271"/>
      <c r="F232" s="3260">
        <v>0.05</v>
      </c>
      <c r="G232" s="3277"/>
    </row>
    <row r="233" spans="1:7" ht="15" thickBot="1">
      <c r="A233" s="3273" t="s">
        <v>304</v>
      </c>
      <c r="B233" s="3263" t="s">
        <v>3217</v>
      </c>
      <c r="C233" s="3265"/>
      <c r="D233" s="3265"/>
      <c r="E233" s="3265"/>
      <c r="F233" s="3264">
        <v>0.05</v>
      </c>
      <c r="G233" s="3278"/>
    </row>
    <row r="234" spans="1:7">
      <c r="A234" s="3269" t="s">
        <v>305</v>
      </c>
      <c r="B234" s="3255" t="s">
        <v>2866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2886</v>
      </c>
      <c r="C238" s="3260">
        <v>0.14899999999999999</v>
      </c>
      <c r="D238" s="3260">
        <v>0.14899999999999999</v>
      </c>
      <c r="E238" s="3260">
        <v>0.15</v>
      </c>
      <c r="F238" s="3260">
        <v>0.15</v>
      </c>
      <c r="G238" s="3261">
        <v>0.15</v>
      </c>
    </row>
    <row r="239" spans="1:7">
      <c r="A239" s="3270" t="s">
        <v>305</v>
      </c>
      <c r="B239" s="3259" t="s">
        <v>2890</v>
      </c>
      <c r="C239" s="3260">
        <v>0.15</v>
      </c>
      <c r="D239" s="3260">
        <v>0.15</v>
      </c>
      <c r="E239" s="3260">
        <v>0.15</v>
      </c>
      <c r="F239" s="3260">
        <v>0.15</v>
      </c>
      <c r="G239" s="3261">
        <v>0.15</v>
      </c>
    </row>
    <row r="240" spans="1:7">
      <c r="A240" s="3270" t="s">
        <v>305</v>
      </c>
      <c r="B240" s="3259" t="s">
        <v>2895</v>
      </c>
      <c r="C240" s="3260">
        <v>0.15</v>
      </c>
      <c r="D240" s="3260">
        <v>0.15</v>
      </c>
      <c r="E240" s="3260">
        <v>0.15</v>
      </c>
      <c r="F240" s="3260">
        <v>0.15</v>
      </c>
      <c r="G240" s="3261">
        <v>0.15</v>
      </c>
    </row>
    <row r="241" spans="1:7">
      <c r="A241" s="3270" t="s">
        <v>305</v>
      </c>
      <c r="B241" s="3259" t="s">
        <v>2899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2948</v>
      </c>
      <c r="C258" s="3260">
        <v>0.14299999999999999</v>
      </c>
      <c r="D258" s="3260">
        <v>0.14299999999999999</v>
      </c>
      <c r="E258" s="3260">
        <v>0.15</v>
      </c>
      <c r="F258" s="3260">
        <v>0.14799999999999999</v>
      </c>
      <c r="G258" s="3261">
        <v>0.14599999999999999</v>
      </c>
    </row>
    <row r="259" spans="1:7">
      <c r="A259" s="3270" t="s">
        <v>305</v>
      </c>
      <c r="B259" s="3259" t="s">
        <v>2952</v>
      </c>
      <c r="C259" s="3260">
        <v>0.14399999999999999</v>
      </c>
      <c r="D259" s="3260">
        <v>0.14399999999999999</v>
      </c>
      <c r="E259" s="3260">
        <v>0.14899999999999999</v>
      </c>
      <c r="F259" s="3260">
        <v>0.14699999999999999</v>
      </c>
      <c r="G259" s="3261">
        <v>0.14599999999999999</v>
      </c>
    </row>
    <row r="260" spans="1:7">
      <c r="A260" s="3270" t="s">
        <v>305</v>
      </c>
      <c r="B260" s="3259" t="s">
        <v>2959</v>
      </c>
      <c r="C260" s="3260">
        <v>0.109</v>
      </c>
      <c r="D260" s="3260">
        <v>0.111</v>
      </c>
      <c r="E260" s="3260">
        <v>0.13100000000000001</v>
      </c>
      <c r="F260" s="3260">
        <v>0.126</v>
      </c>
      <c r="G260" s="3261">
        <v>0.11899999999999999</v>
      </c>
    </row>
    <row r="261" spans="1:7">
      <c r="A261" s="3270" t="s">
        <v>305</v>
      </c>
      <c r="B261" s="3259" t="s">
        <v>2966</v>
      </c>
      <c r="C261" s="3260">
        <v>0.1</v>
      </c>
      <c r="D261" s="3260">
        <v>0.1</v>
      </c>
      <c r="E261" s="3260">
        <v>0.11799999999999999</v>
      </c>
      <c r="F261" s="3260">
        <v>0.108</v>
      </c>
      <c r="G261" s="3261">
        <v>0.107</v>
      </c>
    </row>
    <row r="262" spans="1:7">
      <c r="A262" s="3270" t="s">
        <v>305</v>
      </c>
      <c r="B262" s="3259" t="s">
        <v>2972</v>
      </c>
      <c r="C262" s="3260">
        <v>0.1</v>
      </c>
      <c r="D262" s="3260">
        <v>0.1</v>
      </c>
      <c r="E262" s="3260">
        <v>0.1</v>
      </c>
      <c r="F262" s="3260">
        <v>0.14099999999999999</v>
      </c>
      <c r="G262" s="3261">
        <v>0.1</v>
      </c>
    </row>
    <row r="263" spans="1:7">
      <c r="A263" s="3270" t="s">
        <v>305</v>
      </c>
      <c r="B263" s="3259" t="s">
        <v>2979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2990</v>
      </c>
      <c r="C265" s="3271"/>
      <c r="D265" s="3271"/>
      <c r="E265" s="3271"/>
      <c r="F265" s="3260">
        <v>0.05</v>
      </c>
      <c r="G265" s="3277"/>
    </row>
    <row r="266" spans="1:7">
      <c r="A266" s="3270" t="s">
        <v>305</v>
      </c>
      <c r="B266" s="3259" t="s">
        <v>2994</v>
      </c>
      <c r="C266" s="3271"/>
      <c r="D266" s="3271"/>
      <c r="E266" s="3271"/>
      <c r="F266" s="3260">
        <v>0.05</v>
      </c>
      <c r="G266" s="3277"/>
    </row>
    <row r="267" spans="1:7">
      <c r="A267" s="3270" t="s">
        <v>305</v>
      </c>
      <c r="B267" s="3259" t="s">
        <v>2999</v>
      </c>
      <c r="C267" s="3271"/>
      <c r="D267" s="3271"/>
      <c r="E267" s="3271"/>
      <c r="F267" s="3260">
        <v>0.05</v>
      </c>
      <c r="G267" s="3277"/>
    </row>
    <row r="268" spans="1:7">
      <c r="A268" s="3270" t="s">
        <v>305</v>
      </c>
      <c r="B268" s="3259" t="s">
        <v>3004</v>
      </c>
      <c r="C268" s="3271"/>
      <c r="D268" s="3271"/>
      <c r="E268" s="3271"/>
      <c r="F268" s="3260">
        <v>0.05</v>
      </c>
      <c r="G268" s="3277"/>
    </row>
    <row r="269" spans="1:7">
      <c r="A269" s="3270" t="s">
        <v>305</v>
      </c>
      <c r="B269" s="3259" t="s">
        <v>3009</v>
      </c>
      <c r="C269" s="3271"/>
      <c r="D269" s="3271"/>
      <c r="E269" s="3271"/>
      <c r="F269" s="3260">
        <v>0.05</v>
      </c>
      <c r="G269" s="3277"/>
    </row>
    <row r="270" spans="1:7">
      <c r="A270" s="3270" t="s">
        <v>305</v>
      </c>
      <c r="B270" s="3259" t="s">
        <v>3014</v>
      </c>
      <c r="C270" s="3271"/>
      <c r="D270" s="3271"/>
      <c r="E270" s="3271"/>
      <c r="F270" s="3260">
        <v>0.05</v>
      </c>
      <c r="G270" s="3277"/>
    </row>
    <row r="271" spans="1:7">
      <c r="A271" s="3270" t="s">
        <v>305</v>
      </c>
      <c r="B271" s="3259" t="s">
        <v>3218</v>
      </c>
      <c r="C271" s="3271"/>
      <c r="D271" s="3271"/>
      <c r="E271" s="3271"/>
      <c r="F271" s="3260">
        <v>0.05</v>
      </c>
      <c r="G271" s="3277"/>
    </row>
    <row r="272" spans="1:7">
      <c r="A272" s="3270" t="s">
        <v>305</v>
      </c>
      <c r="B272" s="3259" t="s">
        <v>3219</v>
      </c>
      <c r="C272" s="3271"/>
      <c r="D272" s="3271"/>
      <c r="E272" s="3271"/>
      <c r="F272" s="3260">
        <v>0.05</v>
      </c>
      <c r="G272" s="3277"/>
    </row>
    <row r="273" spans="1:7">
      <c r="A273" s="3270" t="s">
        <v>305</v>
      </c>
      <c r="B273" s="3259" t="s">
        <v>3220</v>
      </c>
      <c r="C273" s="3271"/>
      <c r="D273" s="3271"/>
      <c r="E273" s="3271"/>
      <c r="F273" s="3260">
        <v>0.05</v>
      </c>
      <c r="G273" s="3277"/>
    </row>
    <row r="274" spans="1:7">
      <c r="A274" s="3270" t="s">
        <v>305</v>
      </c>
      <c r="B274" s="3259" t="s">
        <v>3221</v>
      </c>
      <c r="C274" s="3271"/>
      <c r="D274" s="3271"/>
      <c r="E274" s="3271"/>
      <c r="F274" s="3260">
        <v>0.05</v>
      </c>
      <c r="G274" s="3277"/>
    </row>
    <row r="275" spans="1:7">
      <c r="A275" s="3270" t="s">
        <v>305</v>
      </c>
      <c r="B275" s="3259" t="s">
        <v>3222</v>
      </c>
      <c r="C275" s="3271"/>
      <c r="D275" s="3271"/>
      <c r="E275" s="3271"/>
      <c r="F275" s="3260">
        <v>0.05</v>
      </c>
      <c r="G275" s="3277"/>
    </row>
    <row r="276" spans="1:7" ht="15" thickBot="1">
      <c r="A276" s="3273" t="s">
        <v>305</v>
      </c>
      <c r="B276" s="3263" t="s">
        <v>3223</v>
      </c>
      <c r="C276" s="3265"/>
      <c r="D276" s="3265"/>
      <c r="E276" s="3265"/>
      <c r="F276" s="3264">
        <v>0.05</v>
      </c>
      <c r="G276" s="3278"/>
    </row>
    <row r="277" spans="1:7">
      <c r="A277" s="3269" t="s">
        <v>306</v>
      </c>
      <c r="B277" s="3255" t="s">
        <v>2867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2879</v>
      </c>
      <c r="C279" s="3260">
        <v>0.15</v>
      </c>
      <c r="D279" s="3260">
        <v>0.15</v>
      </c>
      <c r="E279" s="3260">
        <v>0.15</v>
      </c>
      <c r="F279" s="3260">
        <v>0.15</v>
      </c>
      <c r="G279" s="3261">
        <v>0.15</v>
      </c>
    </row>
    <row r="280" spans="1:7">
      <c r="A280" s="3270" t="s">
        <v>306</v>
      </c>
      <c r="B280" s="3259" t="s">
        <v>2883</v>
      </c>
      <c r="C280" s="3260">
        <v>0.15</v>
      </c>
      <c r="D280" s="3260">
        <v>0.15</v>
      </c>
      <c r="E280" s="3260">
        <v>0.15</v>
      </c>
      <c r="F280" s="3260">
        <v>0.15</v>
      </c>
      <c r="G280" s="3261">
        <v>0.15</v>
      </c>
    </row>
    <row r="281" spans="1:7">
      <c r="A281" s="3270" t="s">
        <v>306</v>
      </c>
      <c r="B281" s="3259" t="s">
        <v>2887</v>
      </c>
      <c r="C281" s="3260">
        <v>0.15</v>
      </c>
      <c r="D281" s="3260">
        <v>0.15</v>
      </c>
      <c r="E281" s="3260">
        <v>0.15</v>
      </c>
      <c r="F281" s="3260">
        <v>0.15</v>
      </c>
      <c r="G281" s="3261">
        <v>0.15</v>
      </c>
    </row>
    <row r="282" spans="1:7">
      <c r="A282" s="3270" t="s">
        <v>306</v>
      </c>
      <c r="B282" s="3259" t="s">
        <v>2891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2921</v>
      </c>
      <c r="C293" s="3260">
        <v>0.15</v>
      </c>
      <c r="D293" s="3260">
        <v>0.15</v>
      </c>
      <c r="E293" s="3260">
        <v>0.15</v>
      </c>
      <c r="F293" s="3260">
        <v>0.14499999999999999</v>
      </c>
      <c r="G293" s="3261">
        <v>0.15</v>
      </c>
    </row>
    <row r="294" spans="1:7">
      <c r="A294" s="3270" t="s">
        <v>306</v>
      </c>
      <c r="B294" s="3259" t="s">
        <v>2923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2953</v>
      </c>
      <c r="C302" s="3260">
        <v>0.15</v>
      </c>
      <c r="D302" s="3260">
        <v>0.15</v>
      </c>
      <c r="E302" s="3260">
        <v>0.15</v>
      </c>
      <c r="F302" s="3260">
        <v>0.14699999999999999</v>
      </c>
      <c r="G302" s="3261">
        <v>0.15</v>
      </c>
    </row>
    <row r="303" spans="1:7">
      <c r="A303" s="3270" t="s">
        <v>306</v>
      </c>
      <c r="B303" s="3259" t="s">
        <v>2960</v>
      </c>
      <c r="C303" s="3260">
        <v>0.15</v>
      </c>
      <c r="D303" s="3260">
        <v>0.15</v>
      </c>
      <c r="E303" s="3260">
        <v>0.15</v>
      </c>
      <c r="F303" s="3260">
        <v>0.14199999999999999</v>
      </c>
      <c r="G303" s="3261">
        <v>0.15</v>
      </c>
    </row>
    <row r="304" spans="1:7">
      <c r="A304" s="3270" t="s">
        <v>306</v>
      </c>
      <c r="B304" s="3259" t="s">
        <v>2967</v>
      </c>
      <c r="C304" s="3260">
        <v>0.15</v>
      </c>
      <c r="D304" s="3260">
        <v>0.15</v>
      </c>
      <c r="E304" s="3260">
        <v>0.15</v>
      </c>
      <c r="F304" s="3260">
        <v>0.14499999999999999</v>
      </c>
      <c r="G304" s="3261">
        <v>0.15</v>
      </c>
    </row>
    <row r="305" spans="1:7">
      <c r="A305" s="3270" t="s">
        <v>306</v>
      </c>
      <c r="B305" s="3259" t="s">
        <v>2973</v>
      </c>
      <c r="C305" s="3260">
        <v>0.15</v>
      </c>
      <c r="D305" s="3260">
        <v>0.15</v>
      </c>
      <c r="E305" s="3260">
        <v>0.15</v>
      </c>
      <c r="F305" s="3260">
        <v>0.111</v>
      </c>
      <c r="G305" s="3261">
        <v>0.15</v>
      </c>
    </row>
    <row r="306" spans="1:7">
      <c r="A306" s="3270" t="s">
        <v>306</v>
      </c>
      <c r="B306" s="3259" t="s">
        <v>2980</v>
      </c>
      <c r="C306" s="3260">
        <v>0.15</v>
      </c>
      <c r="D306" s="3260">
        <v>0.15</v>
      </c>
      <c r="E306" s="3260">
        <v>0.15</v>
      </c>
      <c r="F306" s="3260">
        <v>0.126</v>
      </c>
      <c r="G306" s="3261">
        <v>0.15</v>
      </c>
    </row>
    <row r="307" spans="1:7">
      <c r="A307" s="3270" t="s">
        <v>306</v>
      </c>
      <c r="B307" s="3259" t="s">
        <v>2985</v>
      </c>
      <c r="C307" s="3260">
        <v>0.15</v>
      </c>
      <c r="D307" s="3260">
        <v>0.15</v>
      </c>
      <c r="E307" s="3260">
        <v>0.15</v>
      </c>
      <c r="F307" s="3260">
        <v>0.12</v>
      </c>
      <c r="G307" s="3261">
        <v>0.15</v>
      </c>
    </row>
    <row r="308" spans="1:7">
      <c r="A308" s="3270" t="s">
        <v>306</v>
      </c>
      <c r="B308" s="3259" t="s">
        <v>2991</v>
      </c>
      <c r="C308" s="3260">
        <v>0.15</v>
      </c>
      <c r="D308" s="3260">
        <v>0.15</v>
      </c>
      <c r="E308" s="3260">
        <v>0.15</v>
      </c>
      <c r="F308" s="3260">
        <v>0.13</v>
      </c>
      <c r="G308" s="3261">
        <v>0.15</v>
      </c>
    </row>
    <row r="309" spans="1:7">
      <c r="A309" s="3270" t="s">
        <v>306</v>
      </c>
      <c r="B309" s="3259" t="s">
        <v>2995</v>
      </c>
      <c r="C309" s="3260">
        <v>0.15</v>
      </c>
      <c r="D309" s="3260">
        <v>0.15</v>
      </c>
      <c r="E309" s="3260">
        <v>0.15</v>
      </c>
      <c r="F309" s="3260">
        <v>0.14099999999999999</v>
      </c>
      <c r="G309" s="3261">
        <v>0.15</v>
      </c>
    </row>
    <row r="310" spans="1:7">
      <c r="A310" s="3270" t="s">
        <v>306</v>
      </c>
      <c r="B310" s="3259" t="s">
        <v>3000</v>
      </c>
      <c r="C310" s="3260">
        <v>0.15</v>
      </c>
      <c r="D310" s="3260">
        <v>0.15</v>
      </c>
      <c r="E310" s="3260">
        <v>0.15</v>
      </c>
      <c r="F310" s="3260">
        <v>0.15</v>
      </c>
      <c r="G310" s="3261">
        <v>0.15</v>
      </c>
    </row>
    <row r="311" spans="1:7">
      <c r="A311" s="3270" t="s">
        <v>306</v>
      </c>
      <c r="B311" s="3259" t="s">
        <v>3005</v>
      </c>
      <c r="C311" s="3260">
        <v>0.13200000000000001</v>
      </c>
      <c r="D311" s="3260">
        <v>0.13300000000000001</v>
      </c>
      <c r="E311" s="3260">
        <v>0.14499999999999999</v>
      </c>
      <c r="F311" s="3260">
        <v>0.14199999999999999</v>
      </c>
      <c r="G311" s="3261">
        <v>0.14000000000000001</v>
      </c>
    </row>
    <row r="312" spans="1:7">
      <c r="A312" s="3270" t="s">
        <v>306</v>
      </c>
      <c r="B312" s="3259" t="s">
        <v>3010</v>
      </c>
      <c r="C312" s="3260">
        <v>0.13800000000000001</v>
      </c>
      <c r="D312" s="3260">
        <v>0.14000000000000001</v>
      </c>
      <c r="E312" s="3260">
        <v>0.14599999999999999</v>
      </c>
      <c r="F312" s="3260">
        <v>0.14899999999999999</v>
      </c>
      <c r="G312" s="3261">
        <v>0.14199999999999999</v>
      </c>
    </row>
    <row r="313" spans="1:7">
      <c r="A313" s="3270" t="s">
        <v>306</v>
      </c>
      <c r="B313" s="3259" t="s">
        <v>3015</v>
      </c>
      <c r="C313" s="3260">
        <v>0.125</v>
      </c>
      <c r="D313" s="3260">
        <v>0.127</v>
      </c>
      <c r="E313" s="3260">
        <v>0.14399999999999999</v>
      </c>
      <c r="F313" s="3260">
        <v>0.115</v>
      </c>
      <c r="G313" s="3261">
        <v>0.13600000000000001</v>
      </c>
    </row>
    <row r="314" spans="1:7">
      <c r="A314" s="3270" t="s">
        <v>306</v>
      </c>
      <c r="B314" s="3259" t="s">
        <v>3224</v>
      </c>
      <c r="C314" s="3276"/>
      <c r="D314" s="3276"/>
      <c r="E314" s="3276"/>
      <c r="F314" s="3260">
        <v>0.05</v>
      </c>
      <c r="G314" s="3277"/>
    </row>
    <row r="315" spans="1:7">
      <c r="A315" s="3270" t="s">
        <v>306</v>
      </c>
      <c r="B315" s="3259" t="s">
        <v>3225</v>
      </c>
      <c r="C315" s="3276"/>
      <c r="D315" s="3276"/>
      <c r="E315" s="3276"/>
      <c r="F315" s="3260">
        <v>0.05</v>
      </c>
      <c r="G315" s="3277"/>
    </row>
    <row r="316" spans="1:7">
      <c r="A316" s="3270" t="s">
        <v>306</v>
      </c>
      <c r="B316" s="3259" t="s">
        <v>3226</v>
      </c>
      <c r="C316" s="3271"/>
      <c r="D316" s="3271"/>
      <c r="E316" s="3271"/>
      <c r="F316" s="3260">
        <v>0.05</v>
      </c>
      <c r="G316" s="3277"/>
    </row>
    <row r="317" spans="1:7">
      <c r="A317" s="3270" t="s">
        <v>306</v>
      </c>
      <c r="B317" s="3259" t="s">
        <v>3227</v>
      </c>
      <c r="C317" s="3271"/>
      <c r="D317" s="3271"/>
      <c r="E317" s="3271"/>
      <c r="F317" s="3260">
        <v>0.05</v>
      </c>
      <c r="G317" s="3277"/>
    </row>
    <row r="318" spans="1:7">
      <c r="A318" s="3270" t="s">
        <v>306</v>
      </c>
      <c r="B318" s="3259" t="s">
        <v>3228</v>
      </c>
      <c r="C318" s="3271"/>
      <c r="D318" s="3271"/>
      <c r="E318" s="3271"/>
      <c r="F318" s="3260">
        <v>0.05</v>
      </c>
      <c r="G318" s="3277"/>
    </row>
    <row r="319" spans="1:7">
      <c r="A319" s="3270" t="s">
        <v>306</v>
      </c>
      <c r="B319" s="3259" t="s">
        <v>3229</v>
      </c>
      <c r="C319" s="3271"/>
      <c r="D319" s="3271"/>
      <c r="E319" s="3271"/>
      <c r="F319" s="3260">
        <v>0.05</v>
      </c>
      <c r="G319" s="3277"/>
    </row>
    <row r="320" spans="1:7">
      <c r="A320" s="3270" t="s">
        <v>306</v>
      </c>
      <c r="B320" s="3259" t="s">
        <v>3230</v>
      </c>
      <c r="C320" s="3271"/>
      <c r="D320" s="3271"/>
      <c r="E320" s="3271"/>
      <c r="F320" s="3260">
        <v>0.05</v>
      </c>
      <c r="G320" s="3277"/>
    </row>
    <row r="321" spans="1:7">
      <c r="A321" s="3270" t="s">
        <v>306</v>
      </c>
      <c r="B321" s="3259" t="s">
        <v>3231</v>
      </c>
      <c r="C321" s="3271"/>
      <c r="D321" s="3271"/>
      <c r="E321" s="3271"/>
      <c r="F321" s="3260">
        <v>0.05</v>
      </c>
      <c r="G321" s="3277"/>
    </row>
    <row r="322" spans="1:7">
      <c r="A322" s="3270" t="s">
        <v>306</v>
      </c>
      <c r="B322" s="3259" t="s">
        <v>3232</v>
      </c>
      <c r="C322" s="3271"/>
      <c r="D322" s="3271"/>
      <c r="E322" s="3271"/>
      <c r="F322" s="3260">
        <v>0.05</v>
      </c>
      <c r="G322" s="3277"/>
    </row>
    <row r="323" spans="1:7">
      <c r="A323" s="3270" t="s">
        <v>306</v>
      </c>
      <c r="B323" s="3259" t="s">
        <v>3233</v>
      </c>
      <c r="C323" s="3271"/>
      <c r="D323" s="3271"/>
      <c r="E323" s="3271"/>
      <c r="F323" s="3260">
        <v>0.05</v>
      </c>
      <c r="G323" s="3277"/>
    </row>
    <row r="324" spans="1:7">
      <c r="A324" s="3270" t="s">
        <v>306</v>
      </c>
      <c r="B324" s="3259" t="s">
        <v>3234</v>
      </c>
      <c r="C324" s="3271"/>
      <c r="D324" s="3271"/>
      <c r="E324" s="3271"/>
      <c r="F324" s="3260">
        <v>0.05</v>
      </c>
      <c r="G324" s="3277"/>
    </row>
    <row r="325" spans="1:7">
      <c r="A325" s="3270" t="s">
        <v>306</v>
      </c>
      <c r="B325" s="3259" t="s">
        <v>3235</v>
      </c>
      <c r="C325" s="3271"/>
      <c r="D325" s="3271"/>
      <c r="E325" s="3271"/>
      <c r="F325" s="3260">
        <v>0.05</v>
      </c>
      <c r="G325" s="3277"/>
    </row>
    <row r="326" spans="1:7" ht="15" thickBot="1">
      <c r="A326" s="3273" t="s">
        <v>306</v>
      </c>
      <c r="B326" s="3263" t="s">
        <v>3236</v>
      </c>
      <c r="C326" s="3265"/>
      <c r="D326" s="3265"/>
      <c r="E326" s="3265"/>
      <c r="F326" s="3264">
        <v>0.05</v>
      </c>
      <c r="G326" s="3278"/>
    </row>
    <row r="327" spans="1:7">
      <c r="A327" s="3269" t="s">
        <v>307</v>
      </c>
      <c r="B327" s="3255" t="s">
        <v>2868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2880</v>
      </c>
      <c r="C329" s="3260">
        <v>0.15</v>
      </c>
      <c r="D329" s="3260">
        <v>0.15</v>
      </c>
      <c r="E329" s="3260">
        <v>0.15</v>
      </c>
      <c r="F329" s="3260">
        <v>0.15</v>
      </c>
      <c r="G329" s="3261">
        <v>0.15</v>
      </c>
    </row>
    <row r="330" spans="1:7">
      <c r="A330" s="3270" t="s">
        <v>307</v>
      </c>
      <c r="B330" s="3259" t="s">
        <v>2884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2892</v>
      </c>
      <c r="C332" s="3260">
        <v>0.15</v>
      </c>
      <c r="D332" s="3260">
        <v>0.15</v>
      </c>
      <c r="E332" s="3260">
        <v>0.15</v>
      </c>
      <c r="F332" s="3260">
        <v>0.15</v>
      </c>
      <c r="G332" s="3261">
        <v>0.15</v>
      </c>
    </row>
    <row r="333" spans="1:7">
      <c r="A333" s="3270" t="s">
        <v>307</v>
      </c>
      <c r="B333" s="3259" t="s">
        <v>2896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2902</v>
      </c>
      <c r="C336" s="3260">
        <v>0.15</v>
      </c>
      <c r="D336" s="3260">
        <v>0.15</v>
      </c>
      <c r="E336" s="3260">
        <v>0.15</v>
      </c>
      <c r="F336" s="3260">
        <v>0.14199999999999999</v>
      </c>
      <c r="G336" s="3261">
        <v>0.15</v>
      </c>
    </row>
    <row r="337" spans="1:7">
      <c r="A337" s="3270" t="s">
        <v>307</v>
      </c>
      <c r="B337" s="3259" t="s">
        <v>2907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2927</v>
      </c>
      <c r="C345" s="3260">
        <v>0.15</v>
      </c>
      <c r="D345" s="3260">
        <v>0.15</v>
      </c>
      <c r="E345" s="3260">
        <v>0.15</v>
      </c>
      <c r="F345" s="3260">
        <v>0.13800000000000001</v>
      </c>
      <c r="G345" s="3261">
        <v>0.15</v>
      </c>
    </row>
    <row r="346" spans="1:7">
      <c r="A346" s="3270" t="s">
        <v>307</v>
      </c>
      <c r="B346" s="3259" t="s">
        <v>2929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2936</v>
      </c>
      <c r="C348" s="3260">
        <v>0.15</v>
      </c>
      <c r="D348" s="3260">
        <v>0.15</v>
      </c>
      <c r="E348" s="3260">
        <v>0.15</v>
      </c>
      <c r="F348" s="3260">
        <v>0.14399999999999999</v>
      </c>
      <c r="G348" s="3261">
        <v>0.15</v>
      </c>
    </row>
    <row r="349" spans="1:7">
      <c r="A349" s="3270" t="s">
        <v>307</v>
      </c>
      <c r="B349" s="3259" t="s">
        <v>2941</v>
      </c>
      <c r="C349" s="3260">
        <v>0.15</v>
      </c>
      <c r="D349" s="3260">
        <v>0.15</v>
      </c>
      <c r="E349" s="3260">
        <v>0.15</v>
      </c>
      <c r="F349" s="3260">
        <v>0.15</v>
      </c>
      <c r="G349" s="3261">
        <v>0.15</v>
      </c>
    </row>
    <row r="350" spans="1:7">
      <c r="A350" s="3270" t="s">
        <v>307</v>
      </c>
      <c r="B350" s="3259" t="s">
        <v>2944</v>
      </c>
      <c r="C350" s="3260">
        <v>0.15</v>
      </c>
      <c r="D350" s="3260">
        <v>0.15</v>
      </c>
      <c r="E350" s="3260">
        <v>0.15</v>
      </c>
      <c r="F350" s="3260">
        <v>0.14699999999999999</v>
      </c>
      <c r="G350" s="3261">
        <v>0.15</v>
      </c>
    </row>
    <row r="351" spans="1:7">
      <c r="A351" s="3270" t="s">
        <v>307</v>
      </c>
      <c r="B351" s="3259" t="s">
        <v>2949</v>
      </c>
      <c r="C351" s="3260">
        <v>0.15</v>
      </c>
      <c r="D351" s="3260">
        <v>0.15</v>
      </c>
      <c r="E351" s="3260">
        <v>0.15</v>
      </c>
      <c r="F351" s="3260">
        <v>0.13</v>
      </c>
      <c r="G351" s="3261">
        <v>0.15</v>
      </c>
    </row>
    <row r="352" spans="1:7">
      <c r="A352" s="3270" t="s">
        <v>307</v>
      </c>
      <c r="B352" s="3259" t="s">
        <v>2954</v>
      </c>
      <c r="C352" s="3260">
        <v>0.15</v>
      </c>
      <c r="D352" s="3260">
        <v>0.15</v>
      </c>
      <c r="E352" s="3260">
        <v>0.15</v>
      </c>
      <c r="F352" s="3260">
        <v>0.14599999999999999</v>
      </c>
      <c r="G352" s="3261">
        <v>0.15</v>
      </c>
    </row>
    <row r="353" spans="1:7">
      <c r="A353" s="3270" t="s">
        <v>307</v>
      </c>
      <c r="B353" s="3259" t="s">
        <v>2961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2974</v>
      </c>
      <c r="C355" s="3260">
        <v>0.15</v>
      </c>
      <c r="D355" s="3260">
        <v>0.15</v>
      </c>
      <c r="E355" s="3260">
        <v>0.15</v>
      </c>
      <c r="F355" s="3260">
        <v>0.15</v>
      </c>
      <c r="G355" s="3261">
        <v>0.15</v>
      </c>
    </row>
    <row r="356" spans="1:7">
      <c r="A356" s="3270" t="s">
        <v>307</v>
      </c>
      <c r="B356" s="3259" t="s">
        <v>2981</v>
      </c>
      <c r="C356" s="3260">
        <v>0.15</v>
      </c>
      <c r="D356" s="3260">
        <v>0.15</v>
      </c>
      <c r="E356" s="3260">
        <v>0.15</v>
      </c>
      <c r="F356" s="3260">
        <v>0.15</v>
      </c>
      <c r="G356" s="3261">
        <v>0.15</v>
      </c>
    </row>
    <row r="357" spans="1:7" ht="15" thickBot="1">
      <c r="A357" s="3273" t="s">
        <v>307</v>
      </c>
      <c r="B357" s="3263" t="s">
        <v>2986</v>
      </c>
      <c r="C357" s="3264">
        <v>0.126</v>
      </c>
      <c r="D357" s="3264">
        <v>0.127</v>
      </c>
      <c r="E357" s="3264">
        <v>0.14299999999999999</v>
      </c>
      <c r="F357" s="3264">
        <v>0.125</v>
      </c>
      <c r="G357" s="3266">
        <v>0.129</v>
      </c>
    </row>
    <row r="358" spans="1:7">
      <c r="A358" s="3269" t="s">
        <v>2855</v>
      </c>
      <c r="B358" s="3255" t="s">
        <v>2869</v>
      </c>
      <c r="C358" s="3256">
        <v>0.15</v>
      </c>
      <c r="D358" s="3256">
        <v>0.15</v>
      </c>
      <c r="E358" s="3256">
        <v>0.15</v>
      </c>
      <c r="F358" s="3256">
        <v>0.15</v>
      </c>
      <c r="G358" s="3257">
        <v>0.15</v>
      </c>
    </row>
    <row r="359" spans="1:7">
      <c r="A359" s="3270" t="s">
        <v>2855</v>
      </c>
      <c r="B359" s="3259" t="s">
        <v>2875</v>
      </c>
      <c r="C359" s="3260">
        <v>0.1</v>
      </c>
      <c r="D359" s="3260">
        <v>0.1</v>
      </c>
      <c r="E359" s="3260">
        <v>0.1</v>
      </c>
      <c r="F359" s="3260">
        <v>0.1</v>
      </c>
      <c r="G359" s="3261">
        <v>0.1</v>
      </c>
    </row>
    <row r="360" spans="1:7">
      <c r="A360" s="3270" t="s">
        <v>2855</v>
      </c>
      <c r="B360" s="3259" t="s">
        <v>2881</v>
      </c>
      <c r="C360" s="3260">
        <v>0.15</v>
      </c>
      <c r="D360" s="3260">
        <v>0.15</v>
      </c>
      <c r="E360" s="3260">
        <v>0.15</v>
      </c>
      <c r="F360" s="3260">
        <v>0.14899999999999999</v>
      </c>
      <c r="G360" s="3261">
        <v>0.15</v>
      </c>
    </row>
    <row r="361" spans="1:7">
      <c r="A361" s="3270" t="s">
        <v>2855</v>
      </c>
      <c r="B361" s="3259" t="s">
        <v>153</v>
      </c>
      <c r="C361" s="3260">
        <v>0.15</v>
      </c>
      <c r="D361" s="3260">
        <v>0.15</v>
      </c>
      <c r="E361" s="3260">
        <v>0.15</v>
      </c>
      <c r="F361" s="3260">
        <v>0.115</v>
      </c>
      <c r="G361" s="3261">
        <v>0.15</v>
      </c>
    </row>
    <row r="362" spans="1:7">
      <c r="A362" s="3270" t="s">
        <v>2855</v>
      </c>
      <c r="B362" s="3259" t="s">
        <v>2888</v>
      </c>
      <c r="C362" s="3260">
        <v>0.15</v>
      </c>
      <c r="D362" s="3260">
        <v>0.15</v>
      </c>
      <c r="E362" s="3260">
        <v>0.15</v>
      </c>
      <c r="F362" s="3260">
        <v>0.106</v>
      </c>
      <c r="G362" s="3261">
        <v>0.15</v>
      </c>
    </row>
    <row r="363" spans="1:7">
      <c r="A363" s="3270" t="s">
        <v>2855</v>
      </c>
      <c r="B363" s="3259" t="s">
        <v>2893</v>
      </c>
      <c r="C363" s="3260">
        <v>0.15</v>
      </c>
      <c r="D363" s="3260">
        <v>0.15</v>
      </c>
      <c r="E363" s="3260">
        <v>0.15</v>
      </c>
      <c r="F363" s="3260">
        <v>0.14699999999999999</v>
      </c>
      <c r="G363" s="3261">
        <v>0.15</v>
      </c>
    </row>
    <row r="364" spans="1:7">
      <c r="A364" s="3270" t="s">
        <v>2855</v>
      </c>
      <c r="B364" s="3259" t="s">
        <v>2897</v>
      </c>
      <c r="C364" s="3260">
        <v>0.15</v>
      </c>
      <c r="D364" s="3260">
        <v>0.15</v>
      </c>
      <c r="E364" s="3260">
        <v>0.15</v>
      </c>
      <c r="F364" s="3260">
        <v>0.14799999999999999</v>
      </c>
      <c r="G364" s="3261">
        <v>0.15</v>
      </c>
    </row>
    <row r="365" spans="1:7">
      <c r="A365" s="3270" t="s">
        <v>2855</v>
      </c>
      <c r="B365" s="3259" t="s">
        <v>200</v>
      </c>
      <c r="C365" s="3260">
        <v>0.15</v>
      </c>
      <c r="D365" s="3260">
        <v>0.15</v>
      </c>
      <c r="E365" s="3260">
        <v>0.15</v>
      </c>
      <c r="F365" s="3260">
        <v>0.15</v>
      </c>
      <c r="G365" s="3261">
        <v>0.15</v>
      </c>
    </row>
    <row r="366" spans="1:7">
      <c r="A366" s="3270" t="s">
        <v>2855</v>
      </c>
      <c r="B366" s="3259" t="s">
        <v>2900</v>
      </c>
      <c r="C366" s="3260">
        <v>0.15</v>
      </c>
      <c r="D366" s="3260">
        <v>0.15</v>
      </c>
      <c r="E366" s="3260">
        <v>0.15</v>
      </c>
      <c r="F366" s="3260">
        <v>0.15</v>
      </c>
      <c r="G366" s="3261">
        <v>0.15</v>
      </c>
    </row>
    <row r="367" spans="1:7">
      <c r="A367" s="3270" t="s">
        <v>2855</v>
      </c>
      <c r="B367" s="3259" t="s">
        <v>2903</v>
      </c>
      <c r="C367" s="3260">
        <v>0.15</v>
      </c>
      <c r="D367" s="3260">
        <v>0.15</v>
      </c>
      <c r="E367" s="3260">
        <v>0.15</v>
      </c>
      <c r="F367" s="3260">
        <v>0.14699999999999999</v>
      </c>
      <c r="G367" s="3261">
        <v>0.15</v>
      </c>
    </row>
    <row r="368" spans="1:7">
      <c r="A368" s="3270" t="s">
        <v>2855</v>
      </c>
      <c r="B368" s="3259" t="s">
        <v>2908</v>
      </c>
      <c r="C368" s="3260">
        <v>0.15</v>
      </c>
      <c r="D368" s="3260">
        <v>0.15</v>
      </c>
      <c r="E368" s="3260">
        <v>0.15</v>
      </c>
      <c r="F368" s="3260">
        <v>0.13600000000000001</v>
      </c>
      <c r="G368" s="3261">
        <v>0.15</v>
      </c>
    </row>
    <row r="369" spans="1:7">
      <c r="A369" s="3270" t="s">
        <v>2855</v>
      </c>
      <c r="B369" s="3259" t="s">
        <v>214</v>
      </c>
      <c r="C369" s="3260">
        <v>0.15</v>
      </c>
      <c r="D369" s="3260">
        <v>0.15</v>
      </c>
      <c r="E369" s="3260">
        <v>0.15</v>
      </c>
      <c r="F369" s="3260">
        <v>0.14399999999999999</v>
      </c>
      <c r="G369" s="3261">
        <v>0.15</v>
      </c>
    </row>
    <row r="370" spans="1:7">
      <c r="A370" s="3270" t="s">
        <v>2855</v>
      </c>
      <c r="B370" s="3259" t="s">
        <v>221</v>
      </c>
      <c r="C370" s="3260">
        <v>0.15</v>
      </c>
      <c r="D370" s="3260">
        <v>0.15</v>
      </c>
      <c r="E370" s="3260">
        <v>0.15</v>
      </c>
      <c r="F370" s="3260">
        <v>0.14599999999999999</v>
      </c>
      <c r="G370" s="3261">
        <v>0.15</v>
      </c>
    </row>
    <row r="371" spans="1:7">
      <c r="A371" s="3270" t="s">
        <v>2855</v>
      </c>
      <c r="B371" s="3259" t="s">
        <v>229</v>
      </c>
      <c r="C371" s="3260">
        <v>0.15</v>
      </c>
      <c r="D371" s="3260">
        <v>0.15</v>
      </c>
      <c r="E371" s="3260">
        <v>0.15</v>
      </c>
      <c r="F371" s="3260">
        <v>0.12</v>
      </c>
      <c r="G371" s="3261">
        <v>0.15</v>
      </c>
    </row>
    <row r="372" spans="1:7">
      <c r="A372" s="3270" t="s">
        <v>2855</v>
      </c>
      <c r="B372" s="3259" t="s">
        <v>2916</v>
      </c>
      <c r="C372" s="3260">
        <v>0.15</v>
      </c>
      <c r="D372" s="3260">
        <v>0.15</v>
      </c>
      <c r="E372" s="3260">
        <v>0.15</v>
      </c>
      <c r="F372" s="3260">
        <v>0.14299999999999999</v>
      </c>
      <c r="G372" s="3261">
        <v>0.15</v>
      </c>
    </row>
    <row r="373" spans="1:7">
      <c r="A373" s="3270" t="s">
        <v>2855</v>
      </c>
      <c r="B373" s="3259" t="s">
        <v>258</v>
      </c>
      <c r="C373" s="3260">
        <v>0.15</v>
      </c>
      <c r="D373" s="3260">
        <v>0.15</v>
      </c>
      <c r="E373" s="3260">
        <v>0.15</v>
      </c>
      <c r="F373" s="3260">
        <v>0.14599999999999999</v>
      </c>
      <c r="G373" s="3261">
        <v>0.15</v>
      </c>
    </row>
    <row r="374" spans="1:7">
      <c r="A374" s="3270" t="s">
        <v>2855</v>
      </c>
      <c r="B374" s="3259" t="s">
        <v>266</v>
      </c>
      <c r="C374" s="3260">
        <v>0.15</v>
      </c>
      <c r="D374" s="3260">
        <v>0.15</v>
      </c>
      <c r="E374" s="3260">
        <v>0.15</v>
      </c>
      <c r="F374" s="3260">
        <v>0.14399999999999999</v>
      </c>
      <c r="G374" s="3261">
        <v>0.15</v>
      </c>
    </row>
    <row r="375" spans="1:7">
      <c r="A375" s="3270" t="s">
        <v>2855</v>
      </c>
      <c r="B375" s="3259" t="s">
        <v>2924</v>
      </c>
      <c r="C375" s="3260">
        <v>0.15</v>
      </c>
      <c r="D375" s="3260">
        <v>0.15</v>
      </c>
      <c r="E375" s="3260">
        <v>0.15</v>
      </c>
      <c r="F375" s="3260">
        <v>0.13</v>
      </c>
      <c r="G375" s="3261">
        <v>0.15</v>
      </c>
    </row>
    <row r="376" spans="1:7">
      <c r="A376" s="3270" t="s">
        <v>2855</v>
      </c>
      <c r="B376" s="3259" t="s">
        <v>277</v>
      </c>
      <c r="C376" s="3260">
        <v>0.15</v>
      </c>
      <c r="D376" s="3260">
        <v>0.15</v>
      </c>
      <c r="E376" s="3260">
        <v>0.15</v>
      </c>
      <c r="F376" s="3260">
        <v>0.14199999999999999</v>
      </c>
      <c r="G376" s="3261">
        <v>0.15</v>
      </c>
    </row>
    <row r="377" spans="1:7" ht="15" thickBot="1">
      <c r="A377" s="3273" t="s">
        <v>2855</v>
      </c>
      <c r="B377" s="3263" t="s">
        <v>2930</v>
      </c>
      <c r="C377" s="3264">
        <v>0.15</v>
      </c>
      <c r="D377" s="3264">
        <v>0.15</v>
      </c>
      <c r="E377" s="3264">
        <v>0.15</v>
      </c>
      <c r="F377" s="3264">
        <v>0.14000000000000001</v>
      </c>
      <c r="G377" s="3266">
        <v>0.15</v>
      </c>
    </row>
    <row r="378" spans="1:7">
      <c r="A378" s="3269" t="s">
        <v>2856</v>
      </c>
      <c r="B378" s="3255" t="s">
        <v>2870</v>
      </c>
      <c r="C378" s="3256">
        <v>0.15</v>
      </c>
      <c r="D378" s="3256">
        <v>0.15</v>
      </c>
      <c r="E378" s="3256">
        <v>0.15</v>
      </c>
      <c r="F378" s="3256">
        <v>0.107</v>
      </c>
      <c r="G378" s="3257">
        <v>0.15</v>
      </c>
    </row>
    <row r="379" spans="1:7">
      <c r="A379" s="3270" t="s">
        <v>2856</v>
      </c>
      <c r="B379" s="3259" t="s">
        <v>2876</v>
      </c>
      <c r="C379" s="3260">
        <v>0.15</v>
      </c>
      <c r="D379" s="3260">
        <v>0.15</v>
      </c>
      <c r="E379" s="3260">
        <v>0.15</v>
      </c>
      <c r="F379" s="3260">
        <v>0.115</v>
      </c>
      <c r="G379" s="3261">
        <v>0.14899999999999999</v>
      </c>
    </row>
    <row r="380" spans="1:7">
      <c r="A380" s="3270" t="s">
        <v>2856</v>
      </c>
      <c r="B380" s="3259" t="s">
        <v>2882</v>
      </c>
      <c r="C380" s="3260">
        <v>0.15</v>
      </c>
      <c r="D380" s="3260">
        <v>0.15</v>
      </c>
      <c r="E380" s="3260">
        <v>0.15</v>
      </c>
      <c r="F380" s="3260">
        <v>0.1</v>
      </c>
      <c r="G380" s="3261">
        <v>0.14799999999999999</v>
      </c>
    </row>
    <row r="381" spans="1:7">
      <c r="A381" s="3270" t="s">
        <v>2856</v>
      </c>
      <c r="B381" s="3259" t="s">
        <v>2885</v>
      </c>
      <c r="C381" s="3260">
        <v>0.15</v>
      </c>
      <c r="D381" s="3260">
        <v>0.15</v>
      </c>
      <c r="E381" s="3260">
        <v>0.15</v>
      </c>
      <c r="F381" s="3260">
        <v>0.126</v>
      </c>
      <c r="G381" s="3261">
        <v>0.15</v>
      </c>
    </row>
    <row r="382" spans="1:7">
      <c r="A382" s="3270" t="s">
        <v>2856</v>
      </c>
      <c r="B382" s="3259" t="s">
        <v>2889</v>
      </c>
      <c r="C382" s="3260">
        <v>0.15</v>
      </c>
      <c r="D382" s="3260">
        <v>0.15</v>
      </c>
      <c r="E382" s="3260">
        <v>0.15</v>
      </c>
      <c r="F382" s="3260">
        <v>0.15</v>
      </c>
      <c r="G382" s="3261">
        <v>0.15</v>
      </c>
    </row>
    <row r="383" spans="1:7">
      <c r="A383" s="3270" t="s">
        <v>2856</v>
      </c>
      <c r="B383" s="3259" t="s">
        <v>2894</v>
      </c>
      <c r="C383" s="3260">
        <v>0.15</v>
      </c>
      <c r="D383" s="3260">
        <v>0.15</v>
      </c>
      <c r="E383" s="3260">
        <v>0.15</v>
      </c>
      <c r="F383" s="3260">
        <v>0.14699999999999999</v>
      </c>
      <c r="G383" s="3261">
        <v>0.15</v>
      </c>
    </row>
    <row r="384" spans="1:7" ht="15" thickBot="1">
      <c r="A384" s="3280" t="s">
        <v>2856</v>
      </c>
      <c r="B384" s="3281" t="s">
        <v>2898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5"/>
  </cols>
  <sheetData>
    <row r="1" spans="1:6">
      <c r="A1" s="3781" t="s">
        <v>3237</v>
      </c>
      <c r="B1" s="3781"/>
      <c r="C1" s="3781"/>
      <c r="D1" s="3781"/>
      <c r="E1" s="3781"/>
      <c r="F1" s="3782"/>
    </row>
    <row r="2" spans="1:6">
      <c r="A2" s="3286" t="s">
        <v>3238</v>
      </c>
      <c r="B2" s="3287"/>
      <c r="C2" s="3287"/>
      <c r="D2" s="3287"/>
      <c r="E2" s="3287"/>
      <c r="F2" s="3287"/>
    </row>
    <row r="3" spans="1:6">
      <c r="A3" s="3286" t="s">
        <v>3239</v>
      </c>
      <c r="B3" s="3287"/>
      <c r="C3" s="3287"/>
      <c r="D3" s="3287"/>
      <c r="E3" s="3287"/>
      <c r="F3" s="3288" t="s">
        <v>3240</v>
      </c>
    </row>
    <row r="4" spans="1:6">
      <c r="A4" s="3289" t="s">
        <v>672</v>
      </c>
      <c r="B4" s="3289" t="s">
        <v>673</v>
      </c>
      <c r="C4" s="3289" t="s">
        <v>21</v>
      </c>
      <c r="D4" s="3289" t="s">
        <v>674</v>
      </c>
      <c r="E4" s="3289" t="s">
        <v>3</v>
      </c>
      <c r="F4" s="3289" t="s">
        <v>3241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48" sqref="F48"/>
    </sheetView>
  </sheetViews>
  <sheetFormatPr defaultRowHeight="14.4"/>
  <cols>
    <col min="1" max="1" width="13.88671875" customWidth="1"/>
    <col min="11" max="17" width="0" hidden="1" customWidth="1"/>
    <col min="25" max="30" width="0" hidden="1" customWidth="1"/>
  </cols>
  <sheetData>
    <row r="1" spans="1:30">
      <c r="A1" s="3216">
        <f>基准地价修正!G23</f>
        <v>45124</v>
      </c>
      <c r="B1" s="3205" t="s">
        <v>2843</v>
      </c>
      <c r="C1" s="3206"/>
      <c r="D1" s="3206"/>
      <c r="E1" s="3206"/>
      <c r="F1" s="3206"/>
      <c r="G1" s="3206"/>
      <c r="H1" s="3206"/>
      <c r="I1" s="3206"/>
      <c r="J1" s="3160"/>
      <c r="K1" s="3206" t="s">
        <v>454</v>
      </c>
      <c r="L1" s="3206"/>
      <c r="M1" s="3206"/>
      <c r="N1" s="3206"/>
      <c r="O1" s="3206"/>
      <c r="P1" s="3206"/>
      <c r="Q1" s="3160"/>
      <c r="R1" s="3783" t="s">
        <v>456</v>
      </c>
      <c r="S1" s="3784"/>
      <c r="T1" s="3784"/>
      <c r="U1" s="3784"/>
      <c r="V1" s="3784"/>
      <c r="W1" s="3784"/>
      <c r="X1" s="3160"/>
      <c r="Y1" s="3783" t="s">
        <v>457</v>
      </c>
      <c r="Z1" s="3784"/>
      <c r="AA1" s="3784"/>
      <c r="AB1" s="3784"/>
      <c r="AC1" s="3784"/>
      <c r="AD1" s="3784"/>
    </row>
    <row r="2" spans="1:30" s="3138" customFormat="1" ht="15" thickBot="1">
      <c r="B2" s="3139"/>
      <c r="C2" s="3140"/>
      <c r="D2" s="3141" t="s">
        <v>2813</v>
      </c>
      <c r="E2" s="3142" t="s">
        <v>2814</v>
      </c>
      <c r="F2" s="3142" t="s">
        <v>2815</v>
      </c>
      <c r="G2" s="3142" t="s">
        <v>2816</v>
      </c>
      <c r="H2" s="3142" t="s">
        <v>2817</v>
      </c>
      <c r="I2" s="3142" t="s">
        <v>2634</v>
      </c>
      <c r="J2" s="3143"/>
      <c r="K2" s="3141" t="s">
        <v>2813</v>
      </c>
      <c r="L2" s="3142" t="s">
        <v>2814</v>
      </c>
      <c r="M2" s="3142" t="s">
        <v>2815</v>
      </c>
      <c r="N2" s="3142" t="s">
        <v>2816</v>
      </c>
      <c r="O2" s="3142" t="s">
        <v>2818</v>
      </c>
      <c r="P2" s="3142" t="s">
        <v>2634</v>
      </c>
      <c r="Q2" s="3143"/>
      <c r="R2" s="3141" t="s">
        <v>2813</v>
      </c>
      <c r="S2" s="3142" t="s">
        <v>2814</v>
      </c>
      <c r="T2" s="3142" t="s">
        <v>2815</v>
      </c>
      <c r="U2" s="3142" t="s">
        <v>2819</v>
      </c>
      <c r="V2" s="3142" t="s">
        <v>2820</v>
      </c>
      <c r="W2" s="3142" t="s">
        <v>2634</v>
      </c>
      <c r="X2" s="3143"/>
      <c r="Y2" s="3141" t="s">
        <v>2813</v>
      </c>
      <c r="Z2" s="3142" t="s">
        <v>2814</v>
      </c>
      <c r="AA2" s="3142" t="s">
        <v>2815</v>
      </c>
      <c r="AB2" s="3142" t="s">
        <v>2821</v>
      </c>
      <c r="AC2" s="3142" t="s">
        <v>2820</v>
      </c>
      <c r="AD2" s="3142" t="s">
        <v>2634</v>
      </c>
    </row>
    <row r="3" spans="1:30" s="3156" customFormat="1" ht="13.2">
      <c r="A3" s="3144" t="s">
        <v>2822</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3.2">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3.2">
      <c r="A5" s="3171" t="s">
        <v>3373</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3.2">
      <c r="A6" s="3171" t="s">
        <v>3374</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80" customFormat="1" ht="13.2">
      <c r="A7" s="3171" t="s">
        <v>3372</v>
      </c>
      <c r="B7" s="3172">
        <v>2023</v>
      </c>
      <c r="C7" s="3173">
        <v>2</v>
      </c>
      <c r="D7" s="3174">
        <v>0.91</v>
      </c>
      <c r="E7" s="3174">
        <v>0.66</v>
      </c>
      <c r="F7" s="3174">
        <v>0.47</v>
      </c>
      <c r="G7" s="3174">
        <v>0.96</v>
      </c>
      <c r="H7" s="3174">
        <v>0.71</v>
      </c>
      <c r="I7" s="3175">
        <v>0.47</v>
      </c>
      <c r="J7" s="3176"/>
      <c r="K7" s="3177">
        <f t="shared" si="8"/>
        <v>9.1000000000000004E-3</v>
      </c>
      <c r="L7" s="3167">
        <f t="shared" si="9"/>
        <v>6.6E-3</v>
      </c>
      <c r="M7" s="3167">
        <f t="shared" si="10"/>
        <v>4.6999999999999993E-3</v>
      </c>
      <c r="N7" s="3167">
        <f t="shared" si="11"/>
        <v>9.5999999999999992E-3</v>
      </c>
      <c r="O7" s="3167">
        <f t="shared" si="12"/>
        <v>7.0999999999999995E-3</v>
      </c>
      <c r="P7" s="3167">
        <f t="shared" si="13"/>
        <v>4.6999999999999993E-3</v>
      </c>
      <c r="Q7" s="3176"/>
      <c r="R7" s="3178">
        <f>ROUND(IF(项目基本情况!$B$8="出让",SUMPRODUCT(PRODUCT(1+K7:$K$16)),SUMPRODUCT(PRODUCT(1+K7:$K$15))),4)</f>
        <v>1.0755999999999999</v>
      </c>
      <c r="S7" s="3178">
        <f>ROUND(IF(项目基本情况!$B$8="出让",SUMPRODUCT(PRODUCT(1+L7:$L$16)),SUMPRODUCT(PRODUCT(1+L7:$L$15))),4)</f>
        <v>1.0395000000000001</v>
      </c>
      <c r="T7" s="3178">
        <f>ROUND(IF(项目基本情况!$B$8="出让",SUMPRODUCT(PRODUCT(1+M7:$M$16)),SUMPRODUCT(PRODUCT(1+M7:$M$15))),4)</f>
        <v>1.0250999999999999</v>
      </c>
      <c r="U7" s="3178">
        <f>ROUND(IF(项目基本情况!$B$8="出让",SUMPRODUCT(PRODUCT(1+N7:$N$16)),SUMPRODUCT(PRODUCT(1+N7:$N$15))),4)</f>
        <v>1.0818000000000001</v>
      </c>
      <c r="V7" s="3178">
        <f>ROUND(IF(项目基本情况!$B$8="出让",SUMPRODUCT(PRODUCT(1+O7:$O$16)),SUMPRODUCT(PRODUCT(1+O7:$O$15))),4)</f>
        <v>1.0629999999999999</v>
      </c>
      <c r="W7" s="3178">
        <f t="shared" si="14"/>
        <v>1.0250999999999999</v>
      </c>
      <c r="X7" s="3176"/>
      <c r="Y7" s="3179"/>
      <c r="Z7" s="3179"/>
      <c r="AA7" s="3179"/>
      <c r="AB7" s="3179"/>
      <c r="AC7" s="3179"/>
      <c r="AD7" s="3179"/>
    </row>
    <row r="8" spans="1:30" s="3190" customFormat="1" ht="13.2">
      <c r="A8" s="3181" t="s">
        <v>3375</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3.2">
      <c r="A9" s="3171" t="s">
        <v>3376</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3.2">
      <c r="A10" s="3171" t="s">
        <v>3368</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3.2">
      <c r="A11" s="3171" t="s">
        <v>3359</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3.2">
      <c r="A12" s="3171" t="s">
        <v>2823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3.2">
      <c r="A13" s="3171" t="s">
        <v>2824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3.2">
      <c r="A14" s="3171" t="s">
        <v>2825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3.2">
      <c r="A15" s="3171" t="s">
        <v>2826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ht="13.8" thickBot="1">
      <c r="A16" s="3192" t="s">
        <v>2827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5" thickTop="1"/>
    <row r="18" spans="1:30" s="3004" customFormat="1">
      <c r="A18" s="3443" t="s">
        <v>3370</v>
      </c>
    </row>
    <row r="19" spans="1:30" s="3004" customFormat="1">
      <c r="I19" s="3203" t="s">
        <v>2828</v>
      </c>
    </row>
    <row r="20" spans="1:30" s="3004" customFormat="1"/>
    <row r="21" spans="1:30" s="3204" customFormat="1" ht="13.2">
      <c r="B21" s="3205" t="s">
        <v>2829</v>
      </c>
      <c r="C21" s="3206"/>
      <c r="D21" s="3206"/>
      <c r="E21" s="3206"/>
      <c r="F21" s="3206"/>
      <c r="G21" s="3206"/>
      <c r="H21" s="3206"/>
      <c r="I21" s="3206"/>
      <c r="J21" s="3160"/>
      <c r="K21" s="3206" t="s">
        <v>2830</v>
      </c>
      <c r="L21" s="3206"/>
      <c r="M21" s="3206"/>
      <c r="N21" s="3206"/>
      <c r="O21" s="3206"/>
      <c r="P21" s="3206"/>
      <c r="Q21" s="3160"/>
      <c r="R21" s="3783" t="s">
        <v>2831</v>
      </c>
      <c r="S21" s="3784"/>
      <c r="T21" s="3784"/>
      <c r="U21" s="3784"/>
      <c r="V21" s="3784"/>
      <c r="W21" s="3784"/>
      <c r="X21" s="3160"/>
      <c r="Y21" s="3783" t="s">
        <v>2832</v>
      </c>
      <c r="Z21" s="3784"/>
      <c r="AA21" s="3784"/>
      <c r="AB21" s="3784"/>
      <c r="AC21" s="3784"/>
      <c r="AD21" s="3784"/>
    </row>
    <row r="22" spans="1:30" s="3138" customFormat="1" ht="15" thickBot="1">
      <c r="B22" s="3139"/>
      <c r="C22" s="3140"/>
      <c r="D22" s="3141" t="s">
        <v>2833</v>
      </c>
      <c r="E22" s="3142" t="s">
        <v>2834</v>
      </c>
      <c r="F22" s="3142" t="s">
        <v>2835</v>
      </c>
      <c r="G22" s="3142" t="s">
        <v>2836</v>
      </c>
      <c r="H22" s="3142"/>
      <c r="I22" s="3142" t="s">
        <v>2837</v>
      </c>
      <c r="J22" s="3143"/>
      <c r="K22" s="3141" t="s">
        <v>2833</v>
      </c>
      <c r="L22" s="3142" t="s">
        <v>2834</v>
      </c>
      <c r="M22" s="3142" t="s">
        <v>2835</v>
      </c>
      <c r="N22" s="3142" t="s">
        <v>2836</v>
      </c>
      <c r="O22" s="3142"/>
      <c r="P22" s="3142" t="s">
        <v>2837</v>
      </c>
      <c r="Q22" s="3143"/>
      <c r="R22" s="3141" t="s">
        <v>2833</v>
      </c>
      <c r="S22" s="3142" t="s">
        <v>2834</v>
      </c>
      <c r="T22" s="3142" t="s">
        <v>2835</v>
      </c>
      <c r="U22" s="3142" t="s">
        <v>2836</v>
      </c>
      <c r="V22" s="3142"/>
      <c r="W22" s="3142" t="s">
        <v>2837</v>
      </c>
      <c r="X22" s="3143"/>
      <c r="Y22" s="3141" t="s">
        <v>2833</v>
      </c>
      <c r="Z22" s="3142" t="s">
        <v>2834</v>
      </c>
      <c r="AA22" s="3142" t="s">
        <v>2835</v>
      </c>
      <c r="AB22" s="3142" t="s">
        <v>2836</v>
      </c>
      <c r="AC22" s="3142"/>
      <c r="AD22" s="3142" t="s">
        <v>2837</v>
      </c>
    </row>
    <row r="23" spans="1:30" s="3156" customFormat="1" ht="13.2">
      <c r="A23" s="3144" t="s">
        <v>2838</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3.2">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3.2">
      <c r="A25" s="3171" t="s">
        <v>3373</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3.2">
      <c r="A26" s="3171" t="s">
        <v>3374</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80" customFormat="1" ht="13.2">
      <c r="A27" s="3171" t="s">
        <v>3372</v>
      </c>
      <c r="B27" s="3172">
        <v>2023</v>
      </c>
      <c r="C27" s="3173">
        <v>2</v>
      </c>
      <c r="D27" s="3174"/>
      <c r="E27" s="3174">
        <v>0.5</v>
      </c>
      <c r="F27" s="3174">
        <v>0.45</v>
      </c>
      <c r="G27" s="3174">
        <v>0.89</v>
      </c>
      <c r="H27" s="3191"/>
      <c r="I27" s="3175">
        <v>0.45</v>
      </c>
      <c r="J27" s="3176"/>
      <c r="K27" s="3177"/>
      <c r="L27" s="3167">
        <f t="shared" si="28"/>
        <v>5.0000000000000001E-3</v>
      </c>
      <c r="M27" s="3167">
        <f t="shared" si="29"/>
        <v>4.5000000000000005E-3</v>
      </c>
      <c r="N27" s="3167">
        <f t="shared" si="30"/>
        <v>8.8999999999999999E-3</v>
      </c>
      <c r="O27" s="3167"/>
      <c r="P27" s="3167">
        <f t="shared" si="31"/>
        <v>4.5000000000000005E-3</v>
      </c>
      <c r="Q27" s="3176"/>
      <c r="R27" s="3178"/>
      <c r="S27" s="3178">
        <f>ROUND(IF([2]项目基本情况!$B$8="出让",SUMPRODUCT(PRODUCT(1+L27:L$36)),SUMPRODUCT(PRODUCT(1+L27:L$35))),4)</f>
        <v>1.0396000000000001</v>
      </c>
      <c r="T27" s="3178">
        <f>ROUND(IF([2]项目基本情况!$B$8="出让",SUMPRODUCT(PRODUCT(1+M27:M$36)),SUMPRODUCT(PRODUCT(1+M27:M$35))),4)</f>
        <v>1.0269999999999999</v>
      </c>
      <c r="U27" s="3178">
        <f>ROUND(IF([2]项目基本情况!$B$8="出让",SUMPRODUCT(PRODUCT(1+N27:N$36)),SUMPRODUCT(PRODUCT(1+N27:N$35))),4)</f>
        <v>1.0668</v>
      </c>
      <c r="V27" s="3178"/>
      <c r="W27" s="3178">
        <f t="shared" si="32"/>
        <v>1.0269999999999999</v>
      </c>
      <c r="X27" s="3176"/>
      <c r="Y27" s="3179"/>
      <c r="Z27" s="3207"/>
      <c r="AA27" s="3444"/>
      <c r="AB27" s="3444"/>
      <c r="AC27" s="3208"/>
      <c r="AD27" s="3179"/>
    </row>
    <row r="28" spans="1:30" s="3190" customFormat="1" ht="13.2">
      <c r="A28" s="3181" t="s">
        <v>3375</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3.2">
      <c r="A29" s="3171" t="s">
        <v>3376</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3.2">
      <c r="A30" s="3171" t="s">
        <v>3369</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3.2">
      <c r="A31" s="3171" t="s">
        <v>3359</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3.2">
      <c r="A32" s="3171" t="s">
        <v>2839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3.2">
      <c r="A33" s="3171" t="s">
        <v>2840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3.2">
      <c r="A34" s="3171" t="s">
        <v>2841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3.2">
      <c r="A35" s="3171" t="s">
        <v>2842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ht="13.8" thickBot="1">
      <c r="A36" s="3192" t="s">
        <v>2827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5" thickTop="1"/>
    <row r="38" spans="1:30">
      <c r="A38" s="3443" t="s">
        <v>3371</v>
      </c>
    </row>
  </sheetData>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79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78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78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79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78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78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78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78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78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78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78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78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78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78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78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8">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789">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78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8">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789">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45124</v>
      </c>
      <c r="D1" s="1298" t="s">
        <v>603</v>
      </c>
      <c r="E1" s="1293">
        <f>'数据-取费表'!B22</f>
        <v>1</v>
      </c>
      <c r="F1" s="1298" t="s">
        <v>604</v>
      </c>
      <c r="G1" s="1294">
        <f ca="1">INDIRECT("d"&amp;$K$1)/100</f>
        <v>3.5499999999999997E-2</v>
      </c>
      <c r="H1" s="1298" t="s">
        <v>634</v>
      </c>
      <c r="I1" s="1294">
        <f ca="1">F4/100</f>
        <v>1.4999999999999999E-2</v>
      </c>
      <c r="J1" s="1299">
        <f>IF(C1&gt;C13,0,MATCH(C1,C$13:C$110,-1))+IF(SUMIF(C13:C110,C1,D13:D110)=0,13,12)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3.55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3.55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3.55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3.55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6">
        <v>45097</v>
      </c>
      <c r="D13" s="2817">
        <v>3.55</v>
      </c>
      <c r="E13" s="2817">
        <f>D13</f>
        <v>3.55</v>
      </c>
      <c r="F13" s="2817">
        <f>D13</f>
        <v>3.55</v>
      </c>
      <c r="G13" s="2817">
        <f>D13</f>
        <v>3.55</v>
      </c>
      <c r="H13" s="2817">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1"/>
      <c r="C14" s="2813">
        <v>44795</v>
      </c>
      <c r="D14" s="2812">
        <v>3.65</v>
      </c>
      <c r="E14" s="2812">
        <v>3.65</v>
      </c>
      <c r="F14" s="2812">
        <v>3.65</v>
      </c>
      <c r="G14" s="2812">
        <v>3.65</v>
      </c>
      <c r="H14" s="2812">
        <v>4.3</v>
      </c>
      <c r="I14" s="2817"/>
      <c r="J14" s="2817"/>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1"/>
      <c r="C15" s="2813">
        <v>44701</v>
      </c>
      <c r="D15" s="2812">
        <v>3.7</v>
      </c>
      <c r="E15" s="2812">
        <f>D15</f>
        <v>3.7</v>
      </c>
      <c r="F15" s="2812">
        <f>D15</f>
        <v>3.7</v>
      </c>
      <c r="G15" s="2812">
        <f>D15</f>
        <v>3.7</v>
      </c>
      <c r="H15" s="2812">
        <v>4.45</v>
      </c>
      <c r="I15" s="2817"/>
      <c r="J15" s="2817"/>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1"/>
      <c r="C16" s="2813">
        <v>44581</v>
      </c>
      <c r="D16" s="2812">
        <v>3.7</v>
      </c>
      <c r="E16" s="2812">
        <f>D16</f>
        <v>3.7</v>
      </c>
      <c r="F16" s="2812">
        <f>D16</f>
        <v>3.7</v>
      </c>
      <c r="G16" s="2812">
        <f>D16</f>
        <v>3.7</v>
      </c>
      <c r="H16" s="2812">
        <v>4.5999999999999996</v>
      </c>
      <c r="I16" s="2817"/>
      <c r="J16" s="2817"/>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2"/>
      <c r="C17" s="2813">
        <v>44550</v>
      </c>
      <c r="D17" s="2812">
        <v>3.8</v>
      </c>
      <c r="E17" s="2812">
        <f>D17</f>
        <v>3.8</v>
      </c>
      <c r="F17" s="2812">
        <f>D17</f>
        <v>3.8</v>
      </c>
      <c r="G17" s="2812">
        <f>D17</f>
        <v>3.8</v>
      </c>
      <c r="H17" s="2812">
        <v>4.6500000000000004</v>
      </c>
      <c r="I17" s="2812"/>
      <c r="J17" s="281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5.6">
      <c r="A19" s="1280"/>
      <c r="B19" s="2812"/>
      <c r="C19" s="2813">
        <v>43881</v>
      </c>
      <c r="D19" s="2812">
        <v>4.05</v>
      </c>
      <c r="E19" s="2812">
        <v>4.05</v>
      </c>
      <c r="F19" s="2812">
        <v>4.05</v>
      </c>
      <c r="G19" s="2812">
        <v>4.05</v>
      </c>
      <c r="H19" s="2812">
        <v>4.75</v>
      </c>
      <c r="I19" s="2812"/>
      <c r="J19" s="2812"/>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2"/>
      <c r="C20" s="2813">
        <v>43789</v>
      </c>
      <c r="D20" s="2812">
        <v>4.1500000000000004</v>
      </c>
      <c r="E20" s="2812">
        <v>4.1500000000000004</v>
      </c>
      <c r="F20" s="2812">
        <v>4.1500000000000004</v>
      </c>
      <c r="G20" s="2812">
        <v>4.1500000000000004</v>
      </c>
      <c r="H20" s="2812">
        <v>4.8</v>
      </c>
      <c r="I20" s="2812"/>
      <c r="J20" s="2812"/>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2"/>
      <c r="C21" s="2813">
        <v>43728</v>
      </c>
      <c r="D21" s="2812">
        <v>4.2</v>
      </c>
      <c r="E21" s="2812">
        <v>4.2</v>
      </c>
      <c r="F21" s="2812">
        <v>4.2</v>
      </c>
      <c r="G21" s="2812">
        <v>4.2</v>
      </c>
      <c r="H21" s="2812">
        <v>4.8499999999999996</v>
      </c>
      <c r="I21" s="2812"/>
      <c r="J21" s="2812"/>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t="s">
        <v>2313</v>
      </c>
      <c r="C22" s="2814">
        <v>43697</v>
      </c>
      <c r="D22" s="2815">
        <v>4.25</v>
      </c>
      <c r="E22" s="2815">
        <v>4.25</v>
      </c>
      <c r="F22" s="2815">
        <v>4.25</v>
      </c>
      <c r="G22" s="2815">
        <v>4.25</v>
      </c>
      <c r="H22" s="2815">
        <v>4.8499999999999996</v>
      </c>
      <c r="I22" s="2815"/>
      <c r="J22" s="2815"/>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8"/>
      <c r="B23" s="2819"/>
      <c r="C23" s="2820">
        <v>42301</v>
      </c>
      <c r="D23" s="2821">
        <v>4.3499999999999996</v>
      </c>
      <c r="E23" s="2821">
        <v>4.3499999999999996</v>
      </c>
      <c r="F23" s="2821">
        <v>4.75</v>
      </c>
      <c r="G23" s="2821">
        <v>4.75</v>
      </c>
      <c r="H23" s="2821">
        <v>4.9000000000000004</v>
      </c>
      <c r="I23" s="2821"/>
      <c r="J23" s="2821"/>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42242</v>
      </c>
      <c r="D24" s="1286">
        <v>4.5999999999999996</v>
      </c>
      <c r="E24" s="1286">
        <v>4.5999999999999996</v>
      </c>
      <c r="F24" s="1286">
        <v>5</v>
      </c>
      <c r="G24" s="1286">
        <v>5</v>
      </c>
      <c r="H24" s="1286">
        <v>5.15</v>
      </c>
      <c r="I24" s="1286">
        <v>2.75</v>
      </c>
      <c r="J24" s="1286">
        <v>3.25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42183</v>
      </c>
      <c r="D25" s="1286">
        <v>4.8499999999999996</v>
      </c>
      <c r="E25" s="1286">
        <v>4.8499999999999996</v>
      </c>
      <c r="F25" s="1286">
        <v>5.25</v>
      </c>
      <c r="G25" s="1286">
        <v>5.25</v>
      </c>
      <c r="H25" s="1286">
        <v>5.4</v>
      </c>
      <c r="I25" s="1286">
        <v>3</v>
      </c>
      <c r="J25" s="1286">
        <v>3.5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42135</v>
      </c>
      <c r="D26" s="1286">
        <v>5.0999999999999996</v>
      </c>
      <c r="E26" s="1286">
        <v>5.0999999999999996</v>
      </c>
      <c r="F26" s="1286">
        <v>5.5</v>
      </c>
      <c r="G26" s="1286">
        <v>5.5</v>
      </c>
      <c r="H26" s="1286">
        <v>5.65</v>
      </c>
      <c r="I26" s="1286">
        <v>3.25</v>
      </c>
      <c r="J26" s="1286">
        <v>3.75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42064</v>
      </c>
      <c r="D27" s="1286">
        <v>5.35</v>
      </c>
      <c r="E27" s="1286">
        <v>5.35</v>
      </c>
      <c r="F27" s="1286">
        <v>5.75</v>
      </c>
      <c r="G27" s="1286">
        <v>5.75</v>
      </c>
      <c r="H27" s="1286">
        <v>5.9</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41965</v>
      </c>
      <c r="D28" s="1286">
        <v>5.6</v>
      </c>
      <c r="E28" s="1286">
        <v>5.6</v>
      </c>
      <c r="F28" s="1286">
        <v>6</v>
      </c>
      <c r="G28" s="1286">
        <v>6</v>
      </c>
      <c r="H28" s="1286">
        <v>6.15</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41096</v>
      </c>
      <c r="D29" s="1286">
        <v>5.6</v>
      </c>
      <c r="E29" s="1286">
        <v>6</v>
      </c>
      <c r="F29" s="1286">
        <v>6.15</v>
      </c>
      <c r="G29" s="1286">
        <v>6.4</v>
      </c>
      <c r="H29" s="1286">
        <v>6.55</v>
      </c>
      <c r="I29" s="1286">
        <v>4</v>
      </c>
      <c r="J29" s="1286">
        <v>4.5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41068</v>
      </c>
      <c r="D30" s="1286">
        <v>5.85</v>
      </c>
      <c r="E30" s="1286">
        <v>6.31</v>
      </c>
      <c r="F30" s="1286">
        <v>6.4</v>
      </c>
      <c r="G30" s="1286">
        <v>6.65</v>
      </c>
      <c r="H30" s="1286">
        <v>6.8</v>
      </c>
      <c r="I30" s="1286">
        <v>4.2</v>
      </c>
      <c r="J30" s="1286">
        <v>4.7</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40731</v>
      </c>
      <c r="D31" s="1286">
        <v>6.1</v>
      </c>
      <c r="E31" s="1286">
        <v>6.56</v>
      </c>
      <c r="F31" s="1286">
        <v>6.65</v>
      </c>
      <c r="G31" s="1286">
        <v>6.9</v>
      </c>
      <c r="H31" s="1286">
        <v>7.05</v>
      </c>
      <c r="I31" s="1286">
        <v>4.45</v>
      </c>
      <c r="J31" s="1286">
        <v>4.9000000000000004</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40639</v>
      </c>
      <c r="D32" s="1286">
        <v>5.85</v>
      </c>
      <c r="E32" s="1286">
        <v>6.31</v>
      </c>
      <c r="F32" s="1286">
        <v>6.4</v>
      </c>
      <c r="G32" s="1286">
        <v>6.65</v>
      </c>
      <c r="H32" s="1286">
        <v>6.8</v>
      </c>
      <c r="I32" s="1286">
        <v>4.2</v>
      </c>
      <c r="J32" s="1286">
        <v>4.7</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40583</v>
      </c>
      <c r="D33" s="1286">
        <v>5.6</v>
      </c>
      <c r="E33" s="1286">
        <v>6.06</v>
      </c>
      <c r="F33" s="1286">
        <v>6.1</v>
      </c>
      <c r="G33" s="1286">
        <v>6.45</v>
      </c>
      <c r="H33" s="1286">
        <v>6.6</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40538</v>
      </c>
      <c r="D34" s="1286">
        <v>5.35</v>
      </c>
      <c r="E34" s="1286">
        <v>5.81</v>
      </c>
      <c r="F34" s="1286">
        <v>5.85</v>
      </c>
      <c r="G34" s="1286">
        <v>6.22</v>
      </c>
      <c r="H34" s="1286">
        <v>6.4</v>
      </c>
      <c r="I34" s="1286">
        <v>3.75</v>
      </c>
      <c r="J34" s="1286">
        <v>4.3</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40471</v>
      </c>
      <c r="D35" s="1286">
        <v>5.0999999999999996</v>
      </c>
      <c r="E35" s="1286">
        <v>5.56</v>
      </c>
      <c r="F35" s="1286">
        <v>5.6</v>
      </c>
      <c r="G35" s="1286">
        <v>5.96</v>
      </c>
      <c r="H35" s="1286">
        <v>6.14</v>
      </c>
      <c r="I35" s="1286">
        <v>3.5</v>
      </c>
      <c r="J35" s="1286">
        <v>4.05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39805</v>
      </c>
      <c r="D36" s="1286">
        <v>4.8600000000000003</v>
      </c>
      <c r="E36" s="1286">
        <v>5.31</v>
      </c>
      <c r="F36" s="1286">
        <v>5.4</v>
      </c>
      <c r="G36" s="1286">
        <v>5.76</v>
      </c>
      <c r="H36" s="1286">
        <v>5.94</v>
      </c>
      <c r="I36" s="1286">
        <v>3.33</v>
      </c>
      <c r="J36" s="1286">
        <v>3.87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39779</v>
      </c>
      <c r="D37" s="1286">
        <v>5.04</v>
      </c>
      <c r="E37" s="1286">
        <v>5.58</v>
      </c>
      <c r="F37" s="1286">
        <v>5.67</v>
      </c>
      <c r="G37" s="1286">
        <v>5.94</v>
      </c>
      <c r="H37" s="1286">
        <v>6.12</v>
      </c>
      <c r="I37" s="1286">
        <v>3.51</v>
      </c>
      <c r="J37" s="1286">
        <v>4.05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39751</v>
      </c>
      <c r="D38" s="1286">
        <v>6.03</v>
      </c>
      <c r="E38" s="1286">
        <v>6.66</v>
      </c>
      <c r="F38" s="1286">
        <v>6.75</v>
      </c>
      <c r="G38" s="1286">
        <v>7.02</v>
      </c>
      <c r="H38" s="1286">
        <v>7.2</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8">
        <v>39748</v>
      </c>
      <c r="D39" s="1286">
        <v>6.12</v>
      </c>
      <c r="E39" s="1286">
        <v>6.93</v>
      </c>
      <c r="F39" s="1286">
        <v>7.02</v>
      </c>
      <c r="G39" s="1286">
        <v>7.29</v>
      </c>
      <c r="H39" s="1286">
        <v>7.47</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39730</v>
      </c>
      <c r="D40" s="1286">
        <v>6.12</v>
      </c>
      <c r="E40" s="1286">
        <v>6.93</v>
      </c>
      <c r="F40" s="1286">
        <v>7.02</v>
      </c>
      <c r="G40" s="1286">
        <v>7.29</v>
      </c>
      <c r="H40" s="1286">
        <v>7.47</v>
      </c>
      <c r="I40" s="1286">
        <v>4.32</v>
      </c>
      <c r="J40" s="1286">
        <v>4.8600000000000003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39707</v>
      </c>
      <c r="D41" s="1286">
        <v>6.21</v>
      </c>
      <c r="E41" s="1286">
        <v>7.2</v>
      </c>
      <c r="F41" s="1286">
        <v>7.29</v>
      </c>
      <c r="G41" s="1286">
        <v>7.56</v>
      </c>
      <c r="H41" s="1286">
        <v>7.74</v>
      </c>
      <c r="I41" s="1286">
        <v>4.59</v>
      </c>
      <c r="J41" s="1286">
        <v>5.13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39437</v>
      </c>
      <c r="D42" s="1286">
        <v>6.57</v>
      </c>
      <c r="E42" s="1286">
        <v>7.47</v>
      </c>
      <c r="F42" s="1286">
        <v>7.56</v>
      </c>
      <c r="G42" s="1286">
        <v>7.74</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39340</v>
      </c>
      <c r="D43" s="1286">
        <v>6.48</v>
      </c>
      <c r="E43" s="1286">
        <v>7.29</v>
      </c>
      <c r="F43" s="1286">
        <v>7.47</v>
      </c>
      <c r="G43" s="1286">
        <v>7.65</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39316</v>
      </c>
      <c r="D44" s="1286">
        <v>6.21</v>
      </c>
      <c r="E44" s="1286">
        <v>7.02</v>
      </c>
      <c r="F44" s="1286">
        <v>7.2</v>
      </c>
      <c r="G44" s="1286">
        <v>7.38</v>
      </c>
      <c r="H44" s="1286">
        <v>7.56</v>
      </c>
      <c r="I44" s="1286">
        <v>4.59</v>
      </c>
      <c r="J44" s="1286">
        <v>5.04</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39284</v>
      </c>
      <c r="D45" s="1286">
        <v>6.03</v>
      </c>
      <c r="E45" s="1286">
        <v>6.84</v>
      </c>
      <c r="F45" s="1286">
        <v>7.02</v>
      </c>
      <c r="G45" s="1286">
        <v>7.2</v>
      </c>
      <c r="H45" s="1286">
        <v>7.38</v>
      </c>
      <c r="I45" s="1286">
        <v>4.5</v>
      </c>
      <c r="J45" s="1286">
        <v>4.95</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39221</v>
      </c>
      <c r="D46" s="1286">
        <v>5.85</v>
      </c>
      <c r="E46" s="1286">
        <v>6.57</v>
      </c>
      <c r="F46" s="1286">
        <v>6.75</v>
      </c>
      <c r="G46" s="1286">
        <v>6.93</v>
      </c>
      <c r="H46" s="1286">
        <v>7.2</v>
      </c>
      <c r="I46" s="1286">
        <v>4.41</v>
      </c>
      <c r="J46" s="1286">
        <v>4.8600000000000003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39159</v>
      </c>
      <c r="D47" s="1286">
        <v>5.67</v>
      </c>
      <c r="E47" s="1286">
        <v>6.39</v>
      </c>
      <c r="F47" s="1286">
        <v>6.57</v>
      </c>
      <c r="G47" s="1286">
        <v>6.75</v>
      </c>
      <c r="H47" s="1286">
        <v>7.11</v>
      </c>
      <c r="I47" s="1286">
        <v>4.32</v>
      </c>
      <c r="J47" s="1286">
        <v>4.7699999999999996</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38948</v>
      </c>
      <c r="D48" s="1286">
        <v>5.58</v>
      </c>
      <c r="E48" s="1286">
        <v>6.12</v>
      </c>
      <c r="F48" s="1286">
        <v>6.3</v>
      </c>
      <c r="G48" s="1286">
        <v>6.48</v>
      </c>
      <c r="H48" s="1286">
        <v>6.84</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38835</v>
      </c>
      <c r="D49" s="1286">
        <v>5.4</v>
      </c>
      <c r="E49" s="1286">
        <v>5.85</v>
      </c>
      <c r="F49" s="1286">
        <v>6.03</v>
      </c>
      <c r="G49" s="1286">
        <v>6.12</v>
      </c>
      <c r="H49" s="1286">
        <v>6.39</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38428</v>
      </c>
      <c r="D50" s="1286">
        <v>5.22</v>
      </c>
      <c r="E50" s="1286">
        <v>5.58</v>
      </c>
      <c r="F50" s="1286">
        <v>5.76</v>
      </c>
      <c r="G50" s="1286">
        <v>5.85</v>
      </c>
      <c r="H50" s="1286">
        <v>6.12</v>
      </c>
      <c r="I50" s="1286">
        <v>3.96</v>
      </c>
      <c r="J50" s="1286">
        <v>4.41</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38289</v>
      </c>
      <c r="D51" s="1286">
        <v>5.22</v>
      </c>
      <c r="E51" s="1286">
        <v>5.58</v>
      </c>
      <c r="F51" s="1286">
        <v>5.76</v>
      </c>
      <c r="G51" s="1286">
        <v>5.85</v>
      </c>
      <c r="H51" s="1286">
        <v>6.12</v>
      </c>
      <c r="I51" s="1286">
        <v>3.78</v>
      </c>
      <c r="J51" s="1286">
        <v>4.2300000000000004</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37308</v>
      </c>
      <c r="D52" s="1286">
        <v>5.04</v>
      </c>
      <c r="E52" s="1286">
        <v>5.31</v>
      </c>
      <c r="F52" s="1286">
        <v>5.49</v>
      </c>
      <c r="G52" s="1286">
        <v>5.58</v>
      </c>
      <c r="H52" s="1286">
        <v>5.76</v>
      </c>
      <c r="I52" s="1286">
        <v>3.6</v>
      </c>
      <c r="J52" s="1286">
        <v>4.05</v>
      </c>
      <c r="L52" s="1286"/>
      <c r="M52" s="1287"/>
      <c r="N52" s="1286"/>
      <c r="O52" s="1286"/>
      <c r="P52" s="1286"/>
      <c r="Q52" s="1286"/>
      <c r="R52" s="1286"/>
      <c r="S52" s="1286"/>
      <c r="T52" s="1286"/>
      <c r="U52" s="1286"/>
      <c r="V52" s="1286"/>
      <c r="W52" s="1286"/>
      <c r="X52" s="1286"/>
      <c r="Y52" s="1286"/>
      <c r="Z52" s="1286"/>
    </row>
    <row r="53" spans="2:26">
      <c r="B53" s="1286"/>
      <c r="C53" s="1287">
        <v>36321</v>
      </c>
      <c r="D53" s="1286">
        <v>5.58</v>
      </c>
      <c r="E53" s="1286">
        <v>5.85</v>
      </c>
      <c r="F53" s="1286">
        <v>5.94</v>
      </c>
      <c r="G53" s="1286">
        <v>6.03</v>
      </c>
      <c r="H53" s="1286">
        <v>6.21</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36136</v>
      </c>
      <c r="D54" s="1286">
        <v>6.12</v>
      </c>
      <c r="E54" s="1286">
        <v>6.39</v>
      </c>
      <c r="F54" s="1286">
        <v>6.66</v>
      </c>
      <c r="G54" s="1286">
        <v>7.2</v>
      </c>
      <c r="H54" s="1286">
        <v>7.56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35977</v>
      </c>
      <c r="D55" s="1286">
        <v>6.57</v>
      </c>
      <c r="E55" s="1286">
        <v>6.93</v>
      </c>
      <c r="F55" s="1286">
        <v>7.11</v>
      </c>
      <c r="G55" s="1286">
        <v>7.65</v>
      </c>
      <c r="H55" s="1286">
        <v>8.01</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35879</v>
      </c>
      <c r="D56" s="1286">
        <v>7.02</v>
      </c>
      <c r="E56" s="1286">
        <v>7.92</v>
      </c>
      <c r="F56" s="1286">
        <v>9</v>
      </c>
      <c r="G56" s="1286">
        <v>9.7200000000000006</v>
      </c>
      <c r="H56" s="1286">
        <v>10.35</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35726</v>
      </c>
      <c r="D57" s="1286">
        <v>7.65</v>
      </c>
      <c r="E57" s="1286">
        <v>8.64</v>
      </c>
      <c r="F57" s="1286">
        <v>9.36</v>
      </c>
      <c r="G57" s="1286">
        <v>9.9</v>
      </c>
      <c r="H57" s="1286">
        <v>10.53</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35300</v>
      </c>
      <c r="D58" s="1286">
        <v>9.18</v>
      </c>
      <c r="E58" s="1286">
        <v>10.08</v>
      </c>
      <c r="F58" s="1286">
        <v>10.98</v>
      </c>
      <c r="G58" s="1286">
        <v>11.7</v>
      </c>
      <c r="H58" s="1286">
        <v>12.42</v>
      </c>
      <c r="I58" s="1286">
        <v>0</v>
      </c>
      <c r="J58" s="1286">
        <v>0</v>
      </c>
    </row>
    <row r="59" spans="2:26">
      <c r="B59" s="1286"/>
      <c r="C59" s="1287">
        <v>35186</v>
      </c>
      <c r="D59" s="1286">
        <v>9.7200000000000006</v>
      </c>
      <c r="E59" s="1286">
        <v>10.98</v>
      </c>
      <c r="F59" s="1286">
        <v>13.14</v>
      </c>
      <c r="G59" s="1286">
        <v>14.94</v>
      </c>
      <c r="H59" s="1286">
        <v>15.12</v>
      </c>
      <c r="I59" s="1286">
        <v>0</v>
      </c>
      <c r="J59" s="1286">
        <v>0</v>
      </c>
    </row>
    <row r="60" spans="2:26">
      <c r="B60" s="1286"/>
      <c r="C60" s="1287">
        <v>34881</v>
      </c>
      <c r="D60" s="1286">
        <v>10.08</v>
      </c>
      <c r="E60" s="1286">
        <v>12.06</v>
      </c>
      <c r="F60" s="1286">
        <v>13.5</v>
      </c>
      <c r="G60" s="1286">
        <v>15.12</v>
      </c>
      <c r="H60" s="1286">
        <v>15.3</v>
      </c>
      <c r="I60" s="1286">
        <v>0</v>
      </c>
      <c r="J60" s="1286">
        <v>0</v>
      </c>
    </row>
    <row r="61" spans="2:26">
      <c r="B61" s="1286"/>
      <c r="C61" s="1287">
        <v>34700</v>
      </c>
      <c r="D61" s="1286">
        <v>9</v>
      </c>
      <c r="E61" s="1286">
        <v>10.98</v>
      </c>
      <c r="F61" s="1286">
        <v>12.96</v>
      </c>
      <c r="G61" s="1286">
        <v>14.58</v>
      </c>
      <c r="H61" s="1286">
        <v>14.76</v>
      </c>
      <c r="I61" s="1286">
        <v>0</v>
      </c>
      <c r="J61" s="1286">
        <v>0</v>
      </c>
    </row>
    <row r="62" spans="2:26">
      <c r="B62" s="1286"/>
      <c r="C62" s="1287">
        <v>34161</v>
      </c>
      <c r="D62" s="1286">
        <v>9</v>
      </c>
      <c r="E62" s="1286">
        <v>10.98</v>
      </c>
      <c r="F62" s="1286">
        <v>12.24</v>
      </c>
      <c r="G62" s="1286">
        <v>13.86</v>
      </c>
      <c r="H62" s="1286">
        <v>14.04</v>
      </c>
      <c r="I62" s="1286">
        <v>0</v>
      </c>
      <c r="J62" s="1286">
        <v>0</v>
      </c>
    </row>
    <row r="63" spans="2:26">
      <c r="B63" s="1286"/>
      <c r="C63" s="1287">
        <v>34104</v>
      </c>
      <c r="D63" s="1286">
        <v>8.82</v>
      </c>
      <c r="E63" s="1286">
        <v>9.36</v>
      </c>
      <c r="F63" s="1286">
        <v>10.8</v>
      </c>
      <c r="G63" s="1286">
        <v>12.06</v>
      </c>
      <c r="H63" s="1286">
        <v>12.24</v>
      </c>
      <c r="I63" s="1286">
        <v>0</v>
      </c>
      <c r="J63" s="1286">
        <v>0</v>
      </c>
    </row>
    <row r="64" spans="2:26">
      <c r="B64" s="1286"/>
      <c r="C64" s="1287">
        <v>33349</v>
      </c>
      <c r="D64" s="1286">
        <v>8.1</v>
      </c>
      <c r="E64" s="1286">
        <v>8.64</v>
      </c>
      <c r="F64" s="1286">
        <v>9</v>
      </c>
      <c r="G64" s="1286">
        <v>9.5399999999999991</v>
      </c>
      <c r="H64" s="1286">
        <v>9.7200000000000006</v>
      </c>
      <c r="I64" s="1286">
        <v>0</v>
      </c>
      <c r="J64" s="1286">
        <v>0</v>
      </c>
    </row>
    <row r="65" spans="2:10">
      <c r="B65" s="1286"/>
      <c r="C65" s="1287">
        <v>33318</v>
      </c>
      <c r="D65" s="1286">
        <v>9</v>
      </c>
      <c r="E65" s="1286">
        <v>10.08</v>
      </c>
      <c r="F65" s="1286">
        <v>10.8</v>
      </c>
      <c r="G65" s="1286">
        <v>11.52</v>
      </c>
      <c r="H65" s="1286">
        <v>11.88</v>
      </c>
      <c r="I65" s="1286" t="s">
        <v>633</v>
      </c>
      <c r="J65" s="1286" t="s">
        <v>633</v>
      </c>
    </row>
    <row r="66" spans="2:10">
      <c r="B66" s="1286"/>
      <c r="C66" s="1287">
        <v>33106</v>
      </c>
      <c r="D66" s="1286">
        <v>8.64</v>
      </c>
      <c r="E66" s="1286">
        <v>9.36</v>
      </c>
      <c r="F66" s="1286">
        <v>10.08</v>
      </c>
      <c r="G66" s="1286">
        <v>10.8</v>
      </c>
      <c r="H66" s="1286">
        <v>11.16</v>
      </c>
      <c r="I66" s="1286">
        <v>0</v>
      </c>
      <c r="J66" s="1286">
        <v>0</v>
      </c>
    </row>
    <row r="67" spans="2:10">
      <c r="B67" s="1286"/>
      <c r="C67" s="1287">
        <v>32540</v>
      </c>
      <c r="D67" s="1286">
        <v>11.34</v>
      </c>
      <c r="E67" s="1286">
        <v>11.34</v>
      </c>
      <c r="F67" s="1286">
        <v>12.78</v>
      </c>
      <c r="G67" s="1286">
        <v>14.4</v>
      </c>
      <c r="H67" s="1286">
        <v>19.260000000000002</v>
      </c>
      <c r="I67" s="1286">
        <v>0</v>
      </c>
      <c r="J67" s="1286">
        <v>0</v>
      </c>
    </row>
    <row r="68" spans="2:10">
      <c r="B68" s="1286"/>
      <c r="C68" s="1287"/>
      <c r="D68" s="1286"/>
      <c r="E68" s="1286"/>
      <c r="F68" s="1286"/>
      <c r="G68" s="1286"/>
      <c r="H68" s="1286"/>
      <c r="I68" s="1286"/>
      <c r="J68" s="1286"/>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38"/>
      <c r="C72" s="1238"/>
      <c r="D72" s="1238"/>
      <c r="E72" s="1238"/>
      <c r="F72" s="1238"/>
      <c r="G72" s="1238"/>
      <c r="H72" s="1238"/>
      <c r="I72" s="1238"/>
      <c r="J72" s="1238"/>
    </row>
    <row r="73" spans="2:10">
      <c r="B73" s="1238"/>
      <c r="C73" s="1238"/>
      <c r="D73" s="1238"/>
      <c r="E73" s="1238"/>
      <c r="F73" s="1238"/>
      <c r="G73" s="1238"/>
      <c r="H73" s="1238"/>
      <c r="I73" s="1238"/>
      <c r="J73"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6">
      <c r="A3" s="3468"/>
      <c r="B3" s="3468"/>
      <c r="C3" s="3468"/>
      <c r="D3" s="852" t="s">
        <v>925</v>
      </c>
      <c r="E3" s="852" t="s">
        <v>931</v>
      </c>
      <c r="F3" s="852" t="s">
        <v>925</v>
      </c>
      <c r="G3" s="852" t="s">
        <v>926</v>
      </c>
      <c r="H3" s="852" t="s">
        <v>925</v>
      </c>
      <c r="I3" s="852" t="s">
        <v>926</v>
      </c>
    </row>
    <row r="4" spans="1:9" ht="15">
      <c r="A4" s="1501" t="str">
        <f>项目基本情况!S2</f>
        <v>北京市房地产</v>
      </c>
      <c r="B4" s="852">
        <f>项目基本情况!C17</f>
        <v>37711.240000000005</v>
      </c>
      <c r="C4" s="852">
        <f>项目基本情况!C18</f>
        <v>18193.39</v>
      </c>
      <c r="D4" s="852">
        <f ca="1">结果表!D118</f>
        <v>4845</v>
      </c>
      <c r="E4" s="852">
        <f ca="1">结果表!E118</f>
        <v>1285</v>
      </c>
      <c r="F4" s="852">
        <f ca="1">结果表!F118</f>
        <v>18672</v>
      </c>
      <c r="G4" s="852">
        <f ca="1">结果表!G118</f>
        <v>4951</v>
      </c>
      <c r="H4" s="852">
        <f ca="1">结果表!H118</f>
        <v>23517</v>
      </c>
      <c r="I4" s="852">
        <f ca="1">结果表!I118</f>
        <v>6236</v>
      </c>
    </row>
    <row r="5" spans="1:9" ht="30" customHeight="1">
      <c r="A5" s="3468" t="s">
        <v>927</v>
      </c>
      <c r="B5" s="3468"/>
      <c r="C5" s="3468"/>
      <c r="D5" s="3468" t="str">
        <f ca="1">结果表!D119</f>
        <v>肆仟捌佰肆拾伍万元整</v>
      </c>
      <c r="E5" s="3468"/>
      <c r="F5" s="3468" t="str">
        <f ca="1">结果表!F119</f>
        <v>壹亿捌仟陆佰柒拾贰万元整</v>
      </c>
      <c r="G5" s="3468"/>
      <c r="H5" s="3468" t="str">
        <f ca="1">结果表!H119</f>
        <v>贰亿叁仟伍佰壹拾柒万元整</v>
      </c>
      <c r="I5" s="3468"/>
    </row>
    <row r="6" spans="1:9" ht="15.6">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6">
      <c r="A8" s="3469" t="str">
        <f>结果表!A122</f>
        <v>房地产抵押价值</v>
      </c>
      <c r="B8" s="3469"/>
      <c r="C8" s="3469"/>
      <c r="D8" s="3469">
        <f ca="1">结果表!D122</f>
        <v>23517</v>
      </c>
      <c r="E8" s="3469"/>
      <c r="F8" s="3469"/>
      <c r="G8" s="3469"/>
      <c r="H8" s="3469"/>
      <c r="I8" s="3469"/>
    </row>
    <row r="9" spans="1:9" ht="15">
      <c r="A9" s="3468" t="s">
        <v>927</v>
      </c>
      <c r="B9" s="3468"/>
      <c r="C9" s="3468"/>
      <c r="D9" s="3468" t="str">
        <f ca="1">结果表!D123</f>
        <v>贰亿叁仟伍佰壹拾柒万元整</v>
      </c>
      <c r="E9" s="3468"/>
      <c r="F9" s="3468"/>
      <c r="G9" s="3468"/>
      <c r="H9" s="3468"/>
      <c r="I9" s="3468"/>
    </row>
    <row r="10" spans="1:9" ht="15.6">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6">
      <c r="A12" s="3469" t="str">
        <f>结果表!A126</f>
        <v/>
      </c>
      <c r="B12" s="3469"/>
      <c r="C12" s="3469"/>
      <c r="D12" s="3469" t="str">
        <f>结果表!D126</f>
        <v>——</v>
      </c>
      <c r="E12" s="3469"/>
      <c r="F12" s="3469"/>
      <c r="G12" s="3469"/>
      <c r="H12" s="3469"/>
      <c r="I12" s="3469"/>
    </row>
    <row r="13" spans="1:9" ht="15.6" thickBot="1">
      <c r="A13" s="3473" t="s">
        <v>927</v>
      </c>
      <c r="B13" s="3473"/>
      <c r="C13" s="3473"/>
      <c r="D13" s="3473" t="e">
        <f>结果表!D127</f>
        <v>#VALUE!</v>
      </c>
      <c r="E13" s="3473"/>
      <c r="F13" s="3473"/>
      <c r="G13" s="3473"/>
      <c r="H13" s="3473"/>
      <c r="I13" s="3473"/>
    </row>
    <row r="14" spans="1:9" ht="14.4" thickTop="1">
      <c r="A14" s="3474" t="s">
        <v>932</v>
      </c>
      <c r="B14" s="3474"/>
      <c r="C14" s="3474"/>
      <c r="D14" s="3474"/>
      <c r="E14" s="3474"/>
      <c r="F14" s="3474"/>
      <c r="G14" s="3474"/>
      <c r="H14" s="3474"/>
      <c r="I14" s="3474"/>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475" t="s">
        <v>949</v>
      </c>
      <c r="B1" s="3475"/>
      <c r="C1" s="3475"/>
      <c r="D1" s="3475"/>
    </row>
    <row r="2" spans="1:4" ht="17.399999999999999">
      <c r="A2" s="3476" t="s">
        <v>933</v>
      </c>
      <c r="B2" s="3476"/>
      <c r="C2" s="3476"/>
      <c r="D2" s="3476"/>
    </row>
    <row r="3" spans="1:4" ht="17.399999999999999">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7.399999999999999">
      <c r="A6" s="3476" t="s">
        <v>939</v>
      </c>
      <c r="B6" s="3476"/>
      <c r="C6" s="3476"/>
      <c r="D6" s="3476"/>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477" t="s">
        <v>942</v>
      </c>
      <c r="B11" s="3478"/>
      <c r="C11" s="3478"/>
      <c r="D11" s="3478"/>
    </row>
    <row r="12" spans="1:4" ht="15.6">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489" t="s">
        <v>956</v>
      </c>
      <c r="B15" s="3484" t="s">
        <v>109</v>
      </c>
      <c r="C15" s="3485"/>
    </row>
    <row r="16" spans="1:7" ht="14.4">
      <c r="A16" s="3490"/>
      <c r="B16" s="3484" t="s">
        <v>42</v>
      </c>
      <c r="C16" s="3485"/>
    </row>
    <row r="17" spans="1:3" ht="14.4">
      <c r="A17" s="3490"/>
      <c r="B17" s="3487" t="s">
        <v>957</v>
      </c>
      <c r="C17" s="1528" t="s">
        <v>956</v>
      </c>
    </row>
    <row r="18" spans="1:3" ht="14.4">
      <c r="A18" s="3490"/>
      <c r="B18" s="3487"/>
      <c r="C18" s="1528" t="s">
        <v>958</v>
      </c>
    </row>
    <row r="19" spans="1:3" ht="14.4">
      <c r="A19" s="3490"/>
      <c r="B19" s="3487"/>
      <c r="C19" s="1528" t="s">
        <v>959</v>
      </c>
    </row>
    <row r="20" spans="1:3" ht="14.4">
      <c r="A20" s="3491"/>
      <c r="B20" s="3486" t="s">
        <v>960</v>
      </c>
      <c r="C20" s="3485"/>
    </row>
    <row r="21" spans="1:3" ht="14.4">
      <c r="A21" s="1529" t="s">
        <v>961</v>
      </c>
      <c r="B21" s="1530"/>
      <c r="C21" s="1531"/>
    </row>
    <row r="22" spans="1:3" ht="14.4">
      <c r="A22" s="3488" t="s">
        <v>962</v>
      </c>
      <c r="B22" s="3486" t="s">
        <v>963</v>
      </c>
      <c r="C22" s="3485"/>
    </row>
    <row r="23" spans="1:3" ht="14.4">
      <c r="A23" s="3488"/>
      <c r="B23" s="3486" t="s">
        <v>964</v>
      </c>
      <c r="C23" s="3485"/>
    </row>
    <row r="24" spans="1:3" ht="14.4">
      <c r="A24" s="3488"/>
      <c r="B24" s="3486" t="s">
        <v>965</v>
      </c>
      <c r="C24" s="3485"/>
    </row>
    <row r="25" spans="1:3" ht="14.4">
      <c r="A25" s="3488"/>
      <c r="B25" s="3487" t="s">
        <v>966</v>
      </c>
      <c r="C25" s="1528" t="s">
        <v>967</v>
      </c>
    </row>
    <row r="26" spans="1:3" ht="14.4">
      <c r="A26" s="3488"/>
      <c r="B26" s="3487"/>
      <c r="C26" s="1528" t="s">
        <v>968</v>
      </c>
    </row>
    <row r="27" spans="1:3" ht="14.4">
      <c r="A27" s="3488"/>
      <c r="B27" s="3487"/>
      <c r="C27" s="1528" t="s">
        <v>969</v>
      </c>
    </row>
    <row r="28" spans="1:3" ht="14.4">
      <c r="A28" s="3488"/>
      <c r="B28" s="3487"/>
      <c r="C28" s="1528" t="s">
        <v>970</v>
      </c>
    </row>
    <row r="29" spans="1:3" ht="14.4">
      <c r="A29" s="3488"/>
      <c r="B29" s="3487"/>
      <c r="C29" s="1528" t="s">
        <v>971</v>
      </c>
    </row>
    <row r="30" spans="1:3" ht="14.4">
      <c r="A30" s="3488"/>
      <c r="B30" s="3487"/>
      <c r="C30" s="1528" t="s">
        <v>972</v>
      </c>
    </row>
    <row r="31" spans="1:3" ht="14.4">
      <c r="A31" s="3488"/>
      <c r="B31" s="3487"/>
      <c r="C31" s="1528" t="s">
        <v>973</v>
      </c>
    </row>
    <row r="32" spans="1:3" ht="14.4">
      <c r="A32" s="3488"/>
      <c r="B32" s="3487"/>
      <c r="C32" s="1528" t="s">
        <v>974</v>
      </c>
    </row>
    <row r="33" spans="1:3" ht="14.4">
      <c r="A33" s="3488"/>
      <c r="B33" s="348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45125</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2440</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39"/>
      <c r="E18" s="3494" t="s">
        <v>2162</v>
      </c>
      <c r="F18" s="3493"/>
      <c r="G18" s="349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2023-07-18T07:39:39Z</dcterms:modified>
</cp:coreProperties>
</file>