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565" windowHeight="1231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办公" sheetId="34"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AL16" i="3"/>
  <c r="N18" i="1" l="1"/>
  <c r="C37" i="34" l="1"/>
  <c r="D3" i="4"/>
  <c r="E7" i="1" l="1"/>
  <c r="E8" i="1"/>
  <c r="E9" i="1"/>
  <c r="E10" i="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B1" i="4"/>
  <c r="B50" i="43"/>
  <c r="B86" i="43"/>
  <c r="B85" i="43"/>
  <c r="B74" i="43"/>
  <c r="B63" i="43"/>
  <c r="B52" i="43"/>
  <c r="M90" i="43"/>
  <c r="N90" i="43" s="1"/>
  <c r="K90" i="43"/>
  <c r="D90" i="43" s="1"/>
  <c r="M89" i="43"/>
  <c r="N89" i="43" s="1"/>
  <c r="K89" i="43"/>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D5" i="73"/>
  <c r="F42" i="67"/>
  <c r="D3" i="73"/>
  <c r="J15" i="67"/>
  <c r="F3" i="73"/>
  <c r="F13" i="15"/>
  <c r="M22" i="15"/>
  <c r="F20" i="31"/>
  <c r="M6" i="67"/>
  <c r="L47" i="67"/>
  <c r="F37" i="67"/>
  <c r="M23" i="15"/>
  <c r="B7" i="76"/>
  <c r="E11" i="76"/>
  <c r="M28" i="67"/>
  <c r="F16" i="15"/>
  <c r="B11" i="76"/>
  <c r="F5" i="73"/>
  <c r="C76" i="15"/>
  <c r="E13" i="76"/>
  <c r="F7" i="73"/>
  <c r="E8" i="76"/>
  <c r="F36" i="15"/>
  <c r="D4" i="73"/>
  <c r="D6" i="73"/>
  <c r="F6" i="67"/>
  <c r="M9" i="67"/>
  <c r="M8" i="67"/>
  <c r="C76" i="67"/>
  <c r="F26" i="15"/>
  <c r="L47" i="15"/>
  <c r="F43" i="15"/>
  <c r="F8" i="67"/>
  <c r="M8" i="15"/>
  <c r="M22" i="67"/>
  <c r="F26" i="67"/>
  <c r="F9" i="67"/>
  <c r="M24" i="67"/>
  <c r="F37" i="15"/>
  <c r="F4" i="73"/>
  <c r="M23" i="67"/>
  <c r="B12" i="76"/>
  <c r="F38" i="15"/>
  <c r="M24" i="15"/>
  <c r="F13" i="67"/>
  <c r="E7" i="76"/>
  <c r="F6" i="73"/>
  <c r="M26" i="15"/>
  <c r="B13" i="76"/>
  <c r="F6" i="15"/>
  <c r="E2" i="69"/>
  <c r="M29" i="15"/>
  <c r="F8" i="15"/>
  <c r="F40" i="15"/>
  <c r="F9" i="15"/>
  <c r="F40" i="67"/>
  <c r="M26" i="67"/>
  <c r="D7" i="73"/>
  <c r="F42" i="15"/>
  <c r="J15" i="15"/>
  <c r="E2" i="68"/>
  <c r="B10" i="76"/>
  <c r="E9" i="76"/>
  <c r="F38" i="67"/>
  <c r="M6" i="15"/>
  <c r="E10" i="76"/>
  <c r="F16" i="67"/>
  <c r="AO13" i="1"/>
  <c r="F36" i="67"/>
  <c r="B8" i="76"/>
  <c r="M28" i="15"/>
  <c r="B9" i="76"/>
  <c r="M9" i="15"/>
  <c r="E12" i="76"/>
  <c r="D22" i="15" l="1"/>
  <c r="D50" i="43"/>
  <c r="D52" i="43"/>
  <c r="D55" i="43"/>
  <c r="D58" i="43"/>
  <c r="D86" i="43"/>
  <c r="H50" i="43"/>
  <c r="F34" i="15"/>
  <c r="F62" i="15" s="1"/>
  <c r="M20" i="67"/>
  <c r="D68" i="9"/>
  <c r="M18" i="15"/>
  <c r="F30" i="69"/>
  <c r="F48" i="69" s="1"/>
  <c r="M18" i="67"/>
  <c r="F31" i="12"/>
  <c r="F30" i="11"/>
  <c r="C48" i="11" s="1"/>
  <c r="AZ14" i="3"/>
  <c r="BL15" i="3"/>
  <c r="AZ15" i="3" s="1"/>
  <c r="AZ18" i="3"/>
  <c r="AZ19" i="3"/>
  <c r="G21" i="3"/>
  <c r="AZ23" i="3"/>
  <c r="G5" i="3"/>
  <c r="B3" i="3" s="1"/>
  <c r="E539" i="3" s="1"/>
  <c r="AZ22" i="3"/>
  <c r="BL5" i="3"/>
  <c r="BA5" i="3"/>
  <c r="F6" i="1"/>
  <c r="A13" i="51"/>
  <c r="B11" i="72" s="1"/>
  <c r="K56" i="9"/>
  <c r="G23" i="43"/>
  <c r="C7" i="40"/>
  <c r="C63" i="40" s="1"/>
  <c r="C65" i="40" s="1"/>
  <c r="C7" i="33"/>
  <c r="C7" i="39"/>
  <c r="C67" i="39" s="1"/>
  <c r="C69" i="39" s="1"/>
  <c r="C42" i="1"/>
  <c r="C24" i="12" s="1"/>
  <c r="AC21" i="34"/>
  <c r="U21" i="34"/>
  <c r="C18" i="9"/>
  <c r="D18" i="9" s="1"/>
  <c r="I24" i="43"/>
  <c r="C34" i="34"/>
  <c r="K6" i="1"/>
  <c r="M6" i="1" s="1"/>
  <c r="O6" i="1" s="1"/>
  <c r="P6" i="1" s="1"/>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8" i="67"/>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4" i="3"/>
  <c r="E497" i="3"/>
  <c r="E360" i="3"/>
  <c r="E408" i="3"/>
  <c r="E469" i="3"/>
  <c r="E405" i="3"/>
  <c r="E534" i="3"/>
  <c r="E369" i="3"/>
  <c r="E197" i="3"/>
  <c r="E296" i="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D89" i="43" s="1"/>
  <c r="J90" i="43"/>
  <c r="D83" i="43"/>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N59" i="15"/>
  <c r="M59" i="15"/>
  <c r="L59" i="15" s="1"/>
  <c r="F66" i="15"/>
  <c r="Q71" i="67"/>
  <c r="F64" i="15"/>
  <c r="C27" i="67"/>
  <c r="C27" i="15"/>
  <c r="F65" i="15"/>
  <c r="N59" i="67"/>
  <c r="L59" i="67"/>
  <c r="M59" i="67"/>
  <c r="B13" i="70"/>
  <c r="F68" i="67"/>
  <c r="F64" i="67"/>
  <c r="F68" i="15"/>
  <c r="D9" i="69"/>
  <c r="D9" i="68"/>
  <c r="C13" i="12"/>
  <c r="D19" i="12"/>
  <c r="L48" i="15"/>
  <c r="M29" i="67"/>
  <c r="G1" i="73"/>
  <c r="F7" i="67"/>
  <c r="L48" i="67"/>
  <c r="C16" i="15"/>
  <c r="F43" i="67"/>
  <c r="E83" i="43" l="1"/>
  <c r="B81" i="43" s="1"/>
  <c r="C19" i="12"/>
  <c r="J57" i="15"/>
  <c r="J55" i="15" s="1"/>
  <c r="J58" i="15" s="1"/>
  <c r="Q50" i="15" s="1"/>
  <c r="J53" i="15"/>
  <c r="L56" i="15" s="1"/>
  <c r="I54" i="15"/>
  <c r="L58" i="15"/>
  <c r="Q60" i="15" s="1"/>
  <c r="G6" i="1"/>
  <c r="G16" i="1" s="1"/>
  <c r="K16" i="1"/>
  <c r="H16" i="1"/>
  <c r="Q16" i="1"/>
  <c r="F27" i="69" s="1"/>
  <c r="C47" i="69" s="1"/>
  <c r="D45" i="69" s="1"/>
  <c r="E205" i="3"/>
  <c r="E140" i="3"/>
  <c r="E173" i="3"/>
  <c r="E525" i="3"/>
  <c r="T6" i="3"/>
  <c r="E456" i="3"/>
  <c r="E512" i="3"/>
  <c r="E451" i="3"/>
  <c r="E556" i="3"/>
  <c r="E13" i="3"/>
  <c r="E452" i="3"/>
  <c r="E26" i="3"/>
  <c r="E198" i="3"/>
  <c r="E243" i="3"/>
  <c r="AL6" i="3"/>
  <c r="E428" i="3"/>
  <c r="E79" i="3"/>
  <c r="E100" i="3"/>
  <c r="E137" i="3"/>
  <c r="E234" i="3"/>
  <c r="E299" i="3"/>
  <c r="E325" i="3"/>
  <c r="AQ6" i="3"/>
  <c r="E36" i="3"/>
  <c r="E123" i="3"/>
  <c r="E289" i="3"/>
  <c r="E364" i="3"/>
  <c r="E20" i="3"/>
  <c r="E176" i="3"/>
  <c r="E265" i="3"/>
  <c r="E524" i="3"/>
  <c r="E467" i="3"/>
  <c r="E484" i="3"/>
  <c r="E59" i="3"/>
  <c r="E544" i="3"/>
  <c r="E349" i="3"/>
  <c r="E292" i="3"/>
  <c r="E258" i="3"/>
  <c r="E132" i="3"/>
  <c r="E95" i="3"/>
  <c r="E56" i="3"/>
  <c r="E417" i="3"/>
  <c r="E435" i="3"/>
  <c r="E554" i="3"/>
  <c r="I3" i="6"/>
  <c r="E449" i="3"/>
  <c r="E541" i="3"/>
  <c r="E442" i="3"/>
  <c r="R6" i="3"/>
  <c r="E575" i="3"/>
  <c r="E199" i="3"/>
  <c r="E14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84" i="3"/>
  <c r="E67" i="3"/>
  <c r="E33" i="3"/>
  <c r="E144" i="3"/>
  <c r="E184" i="3"/>
  <c r="E233" i="3"/>
  <c r="E355" i="3"/>
  <c r="E381" i="3"/>
  <c r="E68" i="3"/>
  <c r="E63" i="3"/>
  <c r="E81" i="3"/>
  <c r="E118" i="3"/>
  <c r="E264" i="3"/>
  <c r="E283" i="3"/>
  <c r="E309" i="3"/>
  <c r="E513" i="3"/>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63" i="3"/>
  <c r="E248" i="3"/>
  <c r="E209" i="3"/>
  <c r="E266" i="3"/>
  <c r="E307" i="3"/>
  <c r="E386" i="3"/>
  <c r="E354" i="3"/>
  <c r="E584" i="3"/>
  <c r="E66" i="3"/>
  <c r="E24" i="3"/>
  <c r="E48" i="3"/>
  <c r="E87" i="3"/>
  <c r="E127" i="3"/>
  <c r="E250" i="3"/>
  <c r="E284" i="3"/>
  <c r="E341" i="3"/>
  <c r="Y6" i="3"/>
  <c r="H6" i="3" s="1"/>
  <c r="E51" i="3"/>
  <c r="E154" i="3"/>
  <c r="E179" i="3"/>
  <c r="E222" i="3"/>
  <c r="E323" i="3"/>
  <c r="E373" i="3"/>
  <c r="E82" i="3"/>
  <c r="E23" i="3"/>
  <c r="E21" i="3"/>
  <c r="E19" i="3"/>
  <c r="J53" i="67"/>
  <c r="Q52" i="67" s="1"/>
  <c r="L56" i="67"/>
  <c r="L58" i="67"/>
  <c r="Q60" i="67" s="1"/>
  <c r="J57" i="67"/>
  <c r="J55" i="67" s="1"/>
  <c r="J58" i="67" s="1"/>
  <c r="Q50" i="67" s="1"/>
  <c r="I54" i="67"/>
  <c r="F7" i="36"/>
  <c r="J7" i="37"/>
  <c r="AC7" i="37" s="1"/>
  <c r="V42" i="37" s="1"/>
  <c r="I42" i="37" s="1"/>
  <c r="H7" i="36"/>
  <c r="C6" i="67"/>
  <c r="C32" i="67" s="1"/>
  <c r="M7" i="67"/>
  <c r="J6" i="67" s="1"/>
  <c r="J18" i="67" s="1"/>
  <c r="F31" i="67"/>
  <c r="F50" i="67"/>
  <c r="F59" i="67" s="1"/>
  <c r="F71" i="67"/>
  <c r="AP6" i="1"/>
  <c r="C36" i="69" s="1"/>
  <c r="C8" i="68"/>
  <c r="H34" i="34"/>
  <c r="J34" i="34"/>
  <c r="F34" i="34"/>
  <c r="W40" i="34"/>
  <c r="AC40" i="34"/>
  <c r="U40" i="34"/>
  <c r="AB40" i="34"/>
  <c r="AA37" i="34"/>
  <c r="S37" i="34"/>
  <c r="W27" i="34"/>
  <c r="AC27" i="34"/>
  <c r="AA27" i="34"/>
  <c r="S27" i="34"/>
  <c r="D18" i="53"/>
  <c r="B35" i="72" s="1"/>
  <c r="C7" i="74"/>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45" i="69"/>
  <c r="F27" i="11"/>
  <c r="C29" i="11" s="1"/>
  <c r="D27" i="11" s="1"/>
  <c r="E60" i="40"/>
  <c r="E27" i="6"/>
  <c r="K26" i="6" s="1"/>
  <c r="M26" i="6" s="1"/>
  <c r="I26" i="6" s="1"/>
  <c r="S26" i="6" s="1"/>
  <c r="F31" i="6"/>
  <c r="E51" i="40"/>
  <c r="E16" i="6"/>
  <c r="AC6" i="3"/>
  <c r="E58" i="40"/>
  <c r="E62" i="39"/>
  <c r="E65" i="39" s="1"/>
  <c r="AY6" i="3"/>
  <c r="E3" i="6"/>
  <c r="M14" i="1"/>
  <c r="D5" i="43"/>
  <c r="D26" i="43"/>
  <c r="C25" i="43" s="1"/>
  <c r="C7" i="43"/>
  <c r="C5" i="43" s="1"/>
  <c r="D10" i="52"/>
  <c r="D125" i="9"/>
  <c r="D11" i="52" s="1"/>
  <c r="B7" i="74"/>
  <c r="F67" i="39"/>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61" i="67"/>
  <c r="Q74" i="67"/>
  <c r="Q74" i="15"/>
  <c r="Q61" i="15"/>
  <c r="AE11" i="1"/>
  <c r="AE9" i="1"/>
  <c r="F27" i="68"/>
  <c r="AE7" i="1"/>
  <c r="AE8" i="1"/>
  <c r="AE12" i="1"/>
  <c r="AE10" i="1"/>
  <c r="F28" i="12"/>
  <c r="C16" i="67"/>
  <c r="Q73" i="15" l="1"/>
  <c r="F1" i="15"/>
  <c r="C29" i="12"/>
  <c r="D28" i="12" s="1"/>
  <c r="Q52" i="15"/>
  <c r="C29" i="69"/>
  <c r="D27" i="69" s="1"/>
  <c r="F10" i="39"/>
  <c r="F10" i="40"/>
  <c r="S10" i="40" s="1"/>
  <c r="J10" i="40"/>
  <c r="AC10" i="40" s="1"/>
  <c r="H10" i="40"/>
  <c r="AB10" i="40" s="1"/>
  <c r="J10" i="39"/>
  <c r="W10" i="39" s="1"/>
  <c r="H10" i="39"/>
  <c r="U10" i="39" s="1"/>
  <c r="F1" i="67"/>
  <c r="Q73" i="67"/>
  <c r="M17" i="67"/>
  <c r="J5" i="67"/>
  <c r="J24" i="67" s="1"/>
  <c r="C49" i="67"/>
  <c r="AA34" i="34"/>
  <c r="S34" i="34"/>
  <c r="AB34" i="34"/>
  <c r="T49" i="34" s="1"/>
  <c r="G49" i="34" s="1"/>
  <c r="G53" i="34" s="1"/>
  <c r="H53" i="34" s="1"/>
  <c r="U34" i="34"/>
  <c r="AC34" i="34"/>
  <c r="W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D14" i="12"/>
  <c r="AE6" i="1"/>
  <c r="M27" i="67"/>
  <c r="M27" i="15"/>
  <c r="F41" i="15"/>
  <c r="F41" i="67"/>
  <c r="S10" i="39" l="1"/>
  <c r="AA10" i="39"/>
  <c r="D116" i="43"/>
  <c r="V5" i="43"/>
  <c r="C6" i="69"/>
  <c r="C7" i="69" s="1"/>
  <c r="C48" i="67"/>
  <c r="C60" i="67" s="1"/>
  <c r="B14" i="74"/>
  <c r="B1" i="74" s="1"/>
  <c r="F69" i="67"/>
  <c r="R50" i="34"/>
  <c r="C49" i="34" s="1"/>
  <c r="G54" i="34"/>
  <c r="H54" i="34" s="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D10" i="69"/>
  <c r="C34" i="69"/>
  <c r="D10" i="68"/>
  <c r="C11" i="12"/>
  <c r="D20" i="12"/>
  <c r="C17" i="15"/>
  <c r="C17" i="67"/>
  <c r="C14" i="67"/>
  <c r="C7" i="68" l="1"/>
  <c r="C5" i="68" s="1"/>
  <c r="C23" i="68" s="1"/>
  <c r="C20" i="12"/>
  <c r="C18" i="12" s="1"/>
  <c r="C66" i="67"/>
  <c r="C25" i="1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7"/>
  <c r="D2" i="34"/>
  <c r="Q75" i="67" l="1"/>
  <c r="Q62" i="67"/>
  <c r="B3" i="67"/>
  <c r="L57" i="15"/>
  <c r="L60" i="15" s="1"/>
  <c r="Q57" i="15" s="1"/>
  <c r="Q67" i="15"/>
  <c r="B2" i="36"/>
  <c r="B3" i="36" s="1"/>
  <c r="B2" i="35"/>
  <c r="B3" i="35" s="1"/>
  <c r="M3" i="35"/>
  <c r="B2" i="37"/>
  <c r="B3" i="37" s="1"/>
  <c r="B2" i="34"/>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12" i="1"/>
  <c r="C19" i="9"/>
  <c r="AO11" i="1"/>
  <c r="AO6" i="1"/>
  <c r="AO9" i="1"/>
  <c r="AO8" i="1"/>
  <c r="AO7" i="1"/>
  <c r="AO10" i="1"/>
  <c r="C31" i="12" l="1"/>
  <c r="C23" i="12"/>
  <c r="C102" i="9"/>
  <c r="C21" i="9"/>
  <c r="B3" i="34"/>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27" i="12" l="1"/>
  <c r="C25" i="12" s="1"/>
  <c r="C30" i="12"/>
  <c r="C28" i="12" s="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19" i="9"/>
  <c r="D20" i="9"/>
  <c r="G19" i="9" l="1"/>
  <c r="G21" i="9" s="1"/>
  <c r="D22" i="9"/>
  <c r="D21" i="9"/>
  <c r="D102" i="9"/>
  <c r="G20" i="9"/>
  <c r="C32" i="9" s="1"/>
  <c r="C35" i="9" s="1"/>
  <c r="C34"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l="1"/>
  <c r="F5" i="52" s="1"/>
  <c r="B53" i="72" s="1"/>
  <c r="G118" i="9"/>
  <c r="G4" i="52" s="1"/>
  <c r="B52" i="72" s="1"/>
  <c r="F4" i="52"/>
  <c r="B51" i="72" s="1"/>
  <c r="D118" i="9" l="1"/>
  <c r="D4" i="52"/>
  <c r="B47" i="72" s="1"/>
  <c r="D119" i="9"/>
  <c r="D5" i="52" s="1"/>
  <c r="B49" i="72" s="1"/>
  <c r="H118" i="9"/>
  <c r="I118" i="9" s="1"/>
  <c r="H101" i="9"/>
  <c r="H107" i="9" s="1"/>
  <c r="D5" i="53"/>
  <c r="B20" i="72" s="1"/>
  <c r="D14" i="74"/>
  <c r="B5" i="74" s="1"/>
  <c r="M48" i="9"/>
  <c r="E14" i="74"/>
  <c r="C104" i="9"/>
  <c r="E118" i="9" l="1"/>
  <c r="E4" i="52" s="1"/>
  <c r="B48" i="72" s="1"/>
  <c r="H102" i="9"/>
  <c r="D7" i="53" s="1"/>
  <c r="B21" i="72" s="1"/>
  <c r="C105" i="9"/>
  <c r="H119" i="9"/>
  <c r="H5" i="52" s="1"/>
  <c r="H4" i="52"/>
  <c r="D6" i="53"/>
  <c r="B22" i="72" s="1"/>
  <c r="D5" i="74"/>
  <c r="C5" i="74"/>
  <c r="M49" i="9"/>
  <c r="H108" i="9"/>
  <c r="D15" i="53" s="1"/>
  <c r="B31" i="72" s="1"/>
  <c r="G14" i="74"/>
  <c r="B6" i="74" s="1"/>
  <c r="D122" i="9"/>
  <c r="D13" i="53"/>
  <c r="F14" i="74"/>
  <c r="I4" i="52"/>
  <c r="D45" i="9"/>
  <c r="D14" i="53" l="1"/>
  <c r="B32" i="72" s="1"/>
  <c r="B30" i="72"/>
  <c r="C6" i="74"/>
  <c r="D6" i="74"/>
  <c r="L64" i="9"/>
  <c r="M64" i="9" s="1"/>
  <c r="L65" i="9"/>
  <c r="M65" i="9" s="1"/>
  <c r="L66" i="9"/>
  <c r="M66" i="9" s="1"/>
  <c r="L68" i="9"/>
  <c r="M68" i="9" s="1"/>
  <c r="L63" i="9"/>
  <c r="M63" i="9" s="1"/>
  <c r="L67" i="9"/>
  <c r="M67" i="9" s="1"/>
  <c r="D55" i="9"/>
  <c r="M53" i="9" s="1"/>
  <c r="C85" i="9"/>
  <c r="C72" i="9"/>
  <c r="C93" i="9"/>
  <c r="C86" i="9" s="1"/>
  <c r="C64" i="9"/>
  <c r="C63" i="9" s="1"/>
  <c r="C67" i="9" s="1"/>
  <c r="C78" i="9"/>
  <c r="C73" i="9" s="1"/>
  <c r="D53" i="9"/>
  <c r="D52" i="9"/>
  <c r="D123" i="9"/>
  <c r="D9" i="52" s="1"/>
  <c r="D8" i="52"/>
  <c r="C95" i="9" l="1"/>
  <c r="D59" i="9"/>
  <c r="M55" i="9" s="1"/>
  <c r="C68" i="9"/>
  <c r="D54" i="9" s="1"/>
  <c r="C79" i="9"/>
  <c r="M69" i="9"/>
  <c r="N69" i="9" s="1"/>
  <c r="C96" i="9"/>
  <c r="E96" i="9" s="1"/>
  <c r="E97" i="9" s="1"/>
  <c r="C97" i="9"/>
  <c r="D58" i="9" s="1"/>
  <c r="D56" i="9" s="1"/>
  <c r="M54" i="9" s="1"/>
  <c r="N57" i="9" s="1"/>
  <c r="P57" i="9" l="1"/>
  <c r="N58" i="9"/>
  <c r="N59" i="9"/>
  <c r="C80" i="9"/>
  <c r="E80" i="9" s="1"/>
  <c r="E81" i="9" s="1"/>
  <c r="N61" i="9" l="1"/>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<sst xmlns="http://schemas.openxmlformats.org/spreadsheetml/2006/main" count="7959" uniqueCount="3472">
  <si>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</si>
  <si>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</si>
  <si>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</si>
  <si>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</si>
  <si>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</si>
  <si>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</si>
  <si>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</si>
  <si>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</si>
  <si>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</si>
  <si>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</si>
  <si>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</si>
  <si>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</si>
  <si>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</si>
  <si>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</si>
  <si>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</si>
  <si>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</si>
  <si>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</si>
  <si>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</si>
  <si>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</si>
  <si>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</si>
  <si>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</si>
  <si>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</si>
  <si>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</si>
  <si>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</si>
  <si>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</si>
  <si>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</si>
  <si>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</si>
  <si>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</si>
  <si>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</si>
  <si>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</si>
  <si>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</si>
  <si>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</si>
  <si>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</si>
  <si>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</si>
  <si>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</si>
  <si>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</si>
  <si>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</si>
  <si>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</si>
  <si>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</si>
  <si>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</si>
  <si>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</si>
  <si>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</si>
  <si>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</si>
  <si>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</si>
  <si>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</si>
  <si>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</si>
  <si>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</si>
  <si>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</si>
  <si>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</si>
  <si>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</si>
  <si>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</si>
  <si>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</si>
  <si>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</si>
  <si>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</si>
  <si>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</si>
  <si>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</si>
  <si>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</si>
  <si>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</si>
  <si>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</si>
  <si>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</si>
  <si>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</si>
  <si>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</si>
  <si>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</si>
  <si>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</si>
  <si>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</si>
  <si>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</si>
  <si>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</si>
  <si>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</si>
  <si>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</si>
  <si>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</si>
  <si>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</si>
  <si>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</si>
  <si>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</si>
  <si>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</si>
  <si>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</si>
  <si>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</si>
  <si>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</si>
  <si>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</si>
  <si>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</si>
  <si>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</si>
  <si>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</si>
  <si>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</si>
  <si>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</si>
  <si>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</si>
  <si>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</si>
  <si>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</si>
  <si>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</si>
  <si>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</si>
  <si>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</si>
  <si>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</si>
  <si>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</si>
  <si>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</si>
  <si>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</si>
  <si>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</si>
  <si>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</si>
  <si>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</si>
  <si>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</si>
  <si>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</si>
  <si>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</si>
  <si>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</si>
  <si>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</si>
  <si>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</si>
  <si>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</si>
  <si>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</si>
  <si>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</si>
  <si>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</si>
  <si>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</si>
  <si>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</si>
  <si>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</si>
  <si>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</si>
  <si>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</si>
  <si>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</si>
  <si>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</si>
  <si>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</si>
  <si>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</si>
  <si>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</si>
  <si>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</si>
  <si>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</si>
  <si>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</si>
  <si>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</si>
  <si>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</si>
  <si>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</si>
  <si>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</si>
  <si>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</si>
  <si>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</si>
  <si>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</si>
  <si>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</si>
  <si>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</si>
  <si>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</si>
  <si>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</si>
  <si>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</si>
  <si>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</si>
  <si>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</si>
  <si>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</si>
  <si>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</si>
  <si>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</si>
  <si>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</si>
  <si>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</si>
  <si>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</si>
  <si>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</si>
  <si>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</si>
  <si>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</si>
  <si>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</si>
  <si>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</si>
  <si>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</si>
  <si>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</si>
  <si>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</si>
  <si>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</si>
  <si>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</si>
  <si>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</si>
  <si>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</si>
  <si>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</si>
  <si>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</si>
  <si>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</si>
  <si>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</si>
  <si>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</si>
  <si>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</si>
  <si>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</si>
  <si>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</si>
  <si>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</si>
  <si>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</si>
  <si>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</si>
  <si>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</si>
  <si>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</si>
  <si>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</si>
  <si>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</si>
  <si>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</si>
  <si>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</si>
  <si>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</si>
  <si>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</si>
  <si>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</si>
  <si>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</si>
  <si>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</si>
  <si>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</si>
  <si>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</si>
  <si>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</si>
  <si>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</si>
  <si>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</si>
  <si>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</si>
  <si>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</si>
  <si>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</si>
  <si>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</si>
  <si>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</si>
  <si>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</si>
  <si>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</si>
  <si>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</si>
  <si>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</si>
  <si>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</si>
  <si>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</si>
  <si>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</si>
  <si>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</si>
  <si>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</si>
  <si>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</si>
  <si>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</si>
  <si>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</si>
  <si>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</si>
  <si>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</si>
  <si>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</si>
  <si>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</si>
  <si>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</si>
  <si>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</si>
  <si>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</si>
  <si>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</si>
  <si>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</si>
  <si>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</si>
  <si>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</si>
  <si>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</si>
  <si>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</si>
  <si>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</si>
  <si>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</si>
  <si>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</si>
  <si>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</si>
  <si>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</si>
  <si>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</si>
  <si>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</si>
  <si>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</si>
  <si>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</si>
  <si>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</si>
  <si>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</si>
  <si>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</si>
  <si>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</si>
  <si>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</si>
  <si>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</si>
  <si>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</si>
  <si>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</si>
  <si>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</si>
  <si>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</si>
  <si>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</si>
  <si>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</si>
  <si>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</si>
  <si>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</si>
  <si>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</si>
  <si>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</si>
  <si>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</si>
  <si>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</si>
  <si>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</si>
  <si>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</si>
  <si>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</si>
  <si>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</si>
  <si>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</si>
  <si>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</si>
  <si>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</si>
  <si>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</si>
  <si>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</si>
  <si>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</si>
  <si>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</si>
  <si>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</si>
  <si>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</si>
  <si>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</si>
  <si>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</si>
  <si>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</si>
  <si>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</si>
  <si>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</si>
  <si>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</si>
  <si>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</si>
  <si>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</si>
  <si>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</si>
  <si>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</si>
  <si>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</si>
  <si>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</si>
  <si>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</si>
  <si>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</si>
  <si>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</si>
  <si>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</si>
  <si>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</si>
  <si>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</si>
  <si>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</si>
  <si>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</si>
  <si>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</si>
  <si>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</si>
  <si>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</si>
  <si>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</si>
  <si>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</si>
  <si>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</si>
  <si>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</si>
  <si>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</si>
  <si>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</si>
  <si>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</si>
  <si>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</si>
  <si>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</si>
  <si>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</si>
  <si>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</si>
  <si>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</si>
  <si>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</si>
  <si>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</si>
  <si>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</si>
  <si>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</si>
  <si>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</si>
  <si>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</si>
  <si>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</si>
  <si>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</si>
  <si>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</si>
  <si>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</si>
  <si>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</si>
  <si>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</si>
  <si>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</si>
  <si>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</si>
  <si>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</si>
  <si>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</si>
  <si>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</si>
  <si>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</si>
  <si>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</si>
  <si>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</si>
  <si>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</si>
  <si>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</si>
  <si>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</si>
  <si>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</si>
  <si>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</si>
  <si>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</si>
  <si>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</si>
  <si>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</si>
  <si>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</si>
  <si>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</si>
  <si>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</si>
  <si>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</si>
  <si>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</si>
  <si>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</si>
  <si>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</si>
  <si>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</si>
  <si>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</si>
  <si>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</si>
  <si>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</si>
  <si>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</si>
  <si>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</si>
  <si>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</si>
  <si>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</si>
  <si>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</si>
  <si>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</si>
  <si>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</si>
  <si>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</si>
  <si>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</si>
  <si>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</si>
  <si>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</si>
  <si>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</si>
  <si>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</si>
  <si>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</si>
  <si>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</si>
  <si>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</si>
  <si>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</si>
  <si>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</si>
  <si>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</si>
  <si>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</si>
  <si>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</si>
  <si>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</si>
  <si>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</si>
  <si>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</si>
  <si>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</si>
  <si>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</si>
  <si>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</si>
  <si>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</si>
  <si>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</si>
  <si>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</si>
  <si>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</si>
  <si>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</si>
  <si>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</si>
  <si>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</si>
  <si>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</si>
  <si>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</si>
  <si>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</si>
  <si>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</si>
  <si>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</si>
  <si>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</si>
  <si>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</si>
  <si>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</si>
  <si>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</si>
  <si>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</si>
  <si>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</si>
  <si>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</si>
  <si>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</si>
  <si>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</si>
  <si>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</si>
  <si>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</si>
  <si>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</si>
  <si>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</si>
  <si>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</si>
  <si>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</si>
  <si>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</si>
  <si>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</si>
  <si>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</si>
  <si>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</si>
  <si>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</si>
  <si>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</si>
  <si>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</si>
  <si>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</si>
  <si>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</si>
  <si>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</si>
  <si>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</si>
  <si>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</si>
  <si>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</si>
  <si>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</si>
  <si>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</si>
  <si>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</si>
  <si>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</si>
  <si>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</si>
  <si>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</si>
  <si>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</si>
  <si>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</si>
  <si>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</si>
  <si>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</si>
  <si>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</si>
  <si>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</si>
  <si>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</si>
  <si>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</si>
  <si>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</si>
  <si>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</si>
  <si>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</si>
  <si>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</si>
  <si>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</si>
  <si>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</si>
  <si>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</si>
  <si>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</si>
  <si>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</si>
  <si>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</si>
  <si>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</si>
  <si>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</si>
  <si>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</si>
  <si>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</si>
  <si>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</si>
  <si>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</si>
  <si>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</si>
  <si>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</si>
  <si>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</si>
  <si>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</si>
  <si>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</si>
  <si>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</si>
  <si>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</si>
  <si>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</si>
  <si>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</si>
  <si>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</si>
  <si>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</si>
  <si>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</si>
  <si>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</si>
  <si>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</si>
  <si>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</si>
  <si>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</si>
  <si>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</si>
  <si>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</si>
  <si>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</si>
  <si>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</si>
  <si>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</si>
  <si>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</si>
  <si>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</si>
  <si>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</si>
  <si>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</si>
  <si>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</si>
  <si>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</si>
  <si>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</si>
  <si>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</si>
  <si>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</si>
  <si>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</si>
  <si>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</si>
  <si>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</si>
  <si>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</si>
  <si>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</si>
  <si>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</si>
  <si>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</si>
  <si>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</si>
  <si>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</si>
  <si>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</si>
  <si>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</si>
  <si>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</si>
  <si>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</si>
  <si>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</si>
  <si>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</si>
  <si>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</si>
  <si>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</si>
  <si>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</si>
  <si>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</si>
  <si>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</si>
  <si>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</si>
  <si>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</si>
  <si>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</si>
  <si>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</si>
  <si>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</si>
  <si>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</si>
  <si>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</si>
  <si>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</si>
  <si>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</si>
  <si>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</si>
  <si>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</si>
  <si>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</si>
  <si>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</si>
  <si>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</si>
  <si>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</si>
  <si>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</si>
  <si>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</si>
  <si>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</si>
  <si>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</si>
  <si>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</si>
  <si>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</si>
  <si>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</si>
  <si>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</si>
  <si>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</si>
  <si>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</si>
  <si>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</si>
  <si>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</si>
  <si>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</si>
  <si>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</si>
  <si>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</si>
  <si>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</si>
  <si>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</si>
  <si>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</si>
  <si>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</si>
  <si>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</si>
  <si>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</si>
  <si>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</si>
  <si>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</si>
  <si>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</si>
  <si>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</si>
  <si>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</si>
  <si>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</si>
  <si>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</si>
  <si>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</si>
  <si>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</si>
  <si>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</si>
  <si>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</si>
  <si>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</si>
  <si>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</si>
  <si>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</si>
  <si>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</si>
  <si>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</si>
  <si>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</si>
  <si>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</si>
  <si>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</si>
  <si>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</si>
  <si>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</si>
  <si>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</si>
  <si>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</si>
  <si>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</si>
  <si>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</si>
  <si>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</si>
  <si>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</si>
  <si>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</si>
  <si>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</si>
  <si>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</si>
  <si>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</si>
  <si>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</si>
  <si>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</si>
  <si>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</si>
  <si>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</si>
  <si>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</si>
  <si>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</si>
  <si>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</si>
  <si>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</si>
  <si>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</si>
  <si>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</si>
  <si>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</si>
  <si>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</si>
  <si>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</si>
  <si>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</si>
  <si>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</si>
  <si>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</si>
  <si>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</si>
  <si>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</si>
  <si>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</si>
  <si>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</si>
  <si>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</si>
  <si>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</si>
  <si>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</si>
  <si>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</si>
  <si>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</si>
  <si>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</si>
  <si>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</si>
  <si>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</si>
  <si>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</si>
  <si>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</si>
  <si>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</si>
  <si>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</si>
  <si>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</si>
  <si>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</si>
  <si>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</si>
  <si>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</si>
  <si>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</si>
  <si>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</si>
  <si>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</si>
  <si>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</si>
  <si>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</si>
  <si>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</si>
  <si>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</si>
  <si>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</si>
  <si>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</si>
  <si>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</si>
  <si>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</si>
  <si>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</si>
  <si>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</si>
  <si>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</si>
  <si>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</si>
  <si>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</si>
  <si>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</si>
  <si>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</si>
  <si>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</si>
  <si>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</si>
  <si>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</si>
  <si>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</si>
  <si>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</si>
  <si>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</si>
  <si>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</si>
  <si>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</si>
  <si>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</si>
  <si>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</si>
  <si>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</si>
  <si>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</si>
  <si>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</si>
  <si>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</si>
  <si>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</si>
  <si>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</si>
  <si>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</si>
  <si>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</si>
  <si>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</si>
  <si>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</si>
  <si>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</si>
  <si>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</si>
  <si>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</si>
  <si>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</si>
  <si>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</si>
  <si>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</si>
  <si>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</si>
  <si>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</si>
  <si>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</si>
  <si>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</si>
  <si>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</si>
  <si>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</si>
  <si>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</si>
  <si>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</si>
  <si>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</si>
  <si>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</si>
  <si>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</si>
  <si>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</si>
  <si>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</si>
  <si>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</si>
  <si>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</si>
  <si>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</si>
  <si>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</si>
  <si>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</si>
  <si>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</si>
  <si>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</si>
  <si>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</si>
  <si>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</si>
  <si>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</si>
  <si>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</si>
  <si>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</si>
  <si>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</si>
  <si>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</si>
  <si>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</si>
  <si>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</si>
  <si>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</si>
  <si>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</si>
  <si>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</si>
  <si>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</si>
  <si>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</si>
  <si>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</si>
  <si>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</si>
  <si>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</si>
  <si>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</si>
  <si>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</si>
  <si>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</si>
  <si>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</si>
  <si>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</si>
  <si>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</si>
  <si>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</si>
  <si>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</si>
  <si>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</si>
  <si>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</si>
  <si>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</si>
  <si>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</si>
  <si>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</si>
  <si>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</si>
  <si>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</si>
  <si>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</si>
  <si>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</si>
  <si>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</si>
  <si>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</si>
  <si>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</si>
  <si>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</si>
  <si>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</si>
  <si>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</si>
  <si>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</si>
  <si>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</si>
  <si>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</si>
  <si>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</si>
  <si>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</si>
  <si>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</si>
  <si>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</si>
  <si>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</si>
  <si>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</si>
  <si>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</si>
  <si>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</si>
  <si>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</si>
  <si>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</si>
  <si>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</si>
  <si>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</si>
  <si>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</si>
  <si>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</si>
  <si>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</si>
  <si>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</si>
  <si>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</si>
  <si>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</si>
  <si>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</si>
  <si>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</si>
  <si>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</si>
  <si>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</si>
  <si>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</si>
  <si>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</si>
  <si>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</si>
  <si>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</si>
  <si>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</si>
  <si>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</si>
  <si>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</si>
  <si>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</si>
  <si>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</si>
  <si>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</si>
  <si>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</si>
  <si>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</si>
  <si>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</si>
  <si>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</si>
  <si>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</si>
  <si>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</si>
  <si>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</si>
  <si>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</si>
  <si>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</si>
  <si>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</si>
  <si>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</si>
  <si>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</si>
  <si>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</si>
  <si>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</si>
  <si>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</si>
  <si>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</si>
  <si>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</si>
  <si>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</si>
  <si>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</si>
  <si>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</si>
  <si>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</si>
  <si>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</si>
  <si>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</si>
  <si>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</si>
  <si>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</si>
  <si>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</si>
  <si>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</si>
  <si>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</si>
  <si>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</si>
  <si>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</si>
  <si>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</si>
  <si>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</si>
  <si>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</si>
  <si>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</si>
  <si>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</si>
  <si>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</si>
  <si>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</si>
  <si>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</si>
  <si>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</si>
  <si>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</si>
  <si>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</si>
  <si>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</si>
  <si>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</si>
  <si>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</si>
  <si>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</si>
  <si>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</si>
  <si>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</si>
  <si>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</si>
  <si>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</si>
  <si>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</si>
  <si>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</si>
  <si>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</si>
  <si>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</si>
  <si>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</si>
  <si>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</si>
  <si>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</si>
  <si>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</si>
  <si>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</si>
  <si>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</si>
  <si>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</si>
  <si>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</si>
  <si>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</si>
  <si>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</si>
  <si>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</si>
  <si>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</si>
  <si>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</si>
  <si>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</si>
  <si>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</si>
  <si>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</si>
  <si>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</si>
  <si>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</si>
  <si>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</si>
  <si>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</si>
  <si>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</si>
  <si>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</si>
  <si>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</si>
  <si>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</si>
  <si>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</si>
  <si>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</si>
  <si>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</si>
  <si>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</si>
  <si>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</si>
  <si>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</si>
  <si>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</si>
  <si>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</si>
  <si>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</si>
  <si>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</si>
  <si>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</si>
  <si>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</si>
  <si>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</si>
  <si>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</si>
  <si>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</si>
  <si>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</si>
  <si>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</si>
  <si>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</si>
  <si>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</si>
  <si>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</si>
  <si>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</si>
  <si>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</si>
  <si>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</si>
  <si>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</si>
  <si>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</si>
  <si>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</si>
  <si>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</si>
  <si>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</si>
  <si>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</si>
  <si>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</si>
  <si>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</si>
  <si>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</si>
  <si>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</si>
  <si>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</si>
  <si>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</si>
  <si>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</si>
  <si>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</si>
  <si>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</si>
  <si>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</si>
  <si>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</si>
  <si>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</si>
  <si>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</si>
  <si>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</si>
  <si>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</si>
  <si>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</si>
  <si>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</si>
  <si>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</si>
  <si>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</si>
  <si>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</si>
  <si>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</si>
  <si>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</si>
  <si>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</si>
  <si>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</si>
  <si>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</si>
  <si>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</si>
  <si>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</si>
  <si>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</si>
  <si>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</si>
  <si>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</si>
  <si>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</si>
  <si>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</si>
  <si>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</si>
  <si>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</si>
  <si>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</si>
  <si>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</si>
  <si>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</si>
  <si>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</si>
  <si>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</si>
  <si>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</si>
  <si>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</si>
  <si>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</si>
  <si>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</si>
  <si>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</si>
  <si>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</si>
  <si>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</si>
  <si>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</si>
  <si>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</si>
  <si>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</si>
  <si>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</si>
  <si>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</si>
  <si>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</si>
  <si>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</si>
  <si>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</si>
  <si>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</si>
  <si>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</si>
  <si>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</si>
  <si>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</si>
  <si>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</si>
  <si>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</si>
  <si>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</si>
  <si>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</si>
  <si>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</si>
  <si>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</si>
  <si>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</si>
  <si>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</si>
  <si>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</si>
  <si>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</si>
  <si>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</si>
  <si>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</si>
  <si>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</si>
  <si>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</si>
  <si>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</si>
  <si>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</si>
  <si>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</si>
  <si>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</si>
  <si>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</si>
  <si>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</si>
  <si>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</si>
  <si>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</si>
  <si>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</si>
  <si>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</si>
  <si>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</si>
  <si>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</si>
  <si>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</si>
  <si>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</si>
  <si>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</si>
  <si>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</si>
  <si>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</si>
  <si>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</si>
  <si>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</si>
  <si>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</si>
  <si>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</si>
  <si>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</si>
  <si>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</si>
  <si>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</si>
  <si>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</si>
  <si>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</si>
  <si>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</si>
  <si>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</si>
  <si>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</si>
  <si>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</si>
  <si>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</si>
  <si>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</si>
  <si>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</si>
  <si>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</si>
  <si>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</si>
  <si>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</si>
  <si>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</si>
  <si>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</si>
  <si>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</si>
  <si>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</si>
  <si>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</si>
  <si>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</si>
  <si>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</si>
  <si>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</si>
  <si>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</si>
  <si>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</si>
  <si>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</si>
  <si>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</si>
  <si>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</si>
  <si>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</si>
  <si>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</si>
  <si>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</si>
  <si>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</si>
  <si>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</si>
  <si>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</si>
  <si>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</si>
  <si>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</si>
  <si>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</si>
  <si>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</si>
  <si>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</si>
  <si>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</si>
  <si>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</si>
  <si>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</si>
  <si>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</si>
  <si>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</si>
  <si>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</si>
  <si>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</si>
  <si>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</si>
  <si>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</si>
  <si>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</si>
  <si>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</si>
  <si>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</si>
  <si>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</si>
  <si>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</si>
  <si>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</si>
  <si>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</si>
  <si>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</si>
  <si>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</si>
  <si>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</si>
  <si>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</si>
  <si>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</si>
  <si>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</si>
  <si>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</si>
  <si>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</si>
  <si>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</si>
  <si>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</si>
  <si>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</si>
  <si>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</si>
  <si>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</si>
  <si>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</si>
  <si>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</si>
  <si>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</si>
  <si>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</si>
  <si>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</si>
  <si>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</si>
  <si>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</si>
  <si>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</si>
  <si>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</si>
  <si>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</si>
  <si>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</si>
  <si>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</si>
  <si>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</si>
  <si>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</si>
  <si>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</si>
  <si>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</si>
  <si>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</si>
  <si>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</si>
  <si>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</si>
  <si>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</si>
  <si>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</si>
  <si>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</si>
  <si>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</si>
  <si>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</si>
  <si>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</si>
  <si>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</si>
  <si>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</si>
  <si>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</si>
  <si>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</si>
  <si>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</si>
  <si>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</si>
  <si>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</si>
  <si>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</si>
  <si>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</si>
  <si>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</si>
  <si>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</si>
  <si>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</si>
  <si>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</si>
  <si>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</si>
  <si>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</si>
  <si>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</si>
  <si>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</si>
  <si>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</si>
  <si>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</si>
  <si>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</si>
  <si>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</si>
  <si>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</si>
  <si>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</si>
  <si>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</si>
  <si>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</si>
  <si>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</si>
  <si>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</si>
  <si>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</si>
  <si>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</si>
  <si>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</si>
  <si>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</si>
  <si>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</si>
  <si>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</si>
  <si>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</si>
  <si>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</si>
  <si>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</si>
  <si>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</si>
  <si>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</si>
  <si>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</si>
  <si>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</si>
  <si>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</si>
  <si>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</si>
  <si>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</si>
  <si>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</si>
  <si>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</si>
  <si>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</si>
  <si>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</si>
  <si>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</si>
  <si>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</si>
  <si>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</si>
  <si>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</si>
  <si>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</si>
  <si>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</si>
  <si>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</si>
  <si>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</si>
  <si>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</si>
  <si>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</si>
  <si>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</si>
  <si>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</si>
  <si>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</si>
  <si>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</si>
  <si>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</si>
  <si>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</si>
  <si>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</si>
  <si>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</si>
  <si>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</si>
  <si>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</si>
  <si>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</si>
  <si>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</si>
  <si>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</si>
  <si>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</si>
  <si>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</si>
  <si>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</si>
  <si>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</si>
  <si>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</si>
  <si>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</si>
  <si>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</si>
  <si>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</si>
  <si>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</si>
  <si>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</si>
  <si>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</si>
  <si>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</si>
  <si>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</si>
  <si>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</si>
  <si>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</si>
  <si>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</si>
  <si>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</si>
  <si>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</si>
  <si>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</si>
  <si>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</si>
  <si>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</si>
  <si>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</si>
  <si>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</si>
  <si>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</si>
  <si>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</si>
  <si>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</si>
  <si>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</si>
  <si>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</si>
  <si>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</si>
  <si>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</si>
  <si>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</si>
  <si>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</si>
  <si>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</si>
  <si>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</si>
  <si>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</si>
  <si>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</si>
  <si>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</si>
  <si>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</si>
  <si>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</si>
  <si>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</si>
  <si>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</si>
  <si>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</si>
  <si>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</si>
  <si>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</si>
  <si>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</si>
  <si>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</si>
  <si>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</si>
  <si>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</si>
  <si>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</si>
  <si>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</si>
  <si>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</si>
  <si>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</si>
  <si>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</si>
  <si>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</si>
  <si>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</si>
  <si>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</si>
  <si>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</si>
  <si>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</si>
  <si>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</si>
  <si>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</si>
  <si>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</si>
  <si>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</si>
  <si>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</si>
  <si>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</si>
  <si>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</si>
  <si>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</si>
  <si>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</si>
  <si>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</si>
  <si>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</si>
  <si>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</si>
  <si>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</si>
  <si>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</si>
  <si>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</si>
  <si>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</si>
  <si>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</si>
  <si>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</si>
  <si>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</si>
  <si>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</si>
  <si>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</si>
  <si>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</si>
  <si>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</si>
  <si>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</si>
  <si>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</si>
  <si>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</si>
  <si>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</si>
  <si>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</si>
  <si>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</si>
  <si>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</si>
  <si>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</si>
  <si>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</si>
  <si>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</si>
  <si>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</si>
  <si>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</si>
  <si>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</si>
  <si>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</si>
  <si>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</si>
  <si>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</si>
  <si>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</si>
  <si>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</si>
  <si>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</si>
  <si>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</si>
  <si>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</si>
  <si>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</si>
  <si>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</si>
  <si>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</si>
  <si>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</si>
  <si>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</si>
  <si>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</si>
  <si>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</si>
  <si>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</si>
  <si>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</si>
  <si>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</si>
  <si>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</si>
  <si>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</si>
  <si>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</si>
  <si>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</si>
  <si>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</si>
  <si>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</si>
  <si>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</si>
  <si>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</si>
  <si>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</si>
  <si>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</si>
  <si>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</si>
  <si>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</si>
  <si>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</si>
  <si>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</si>
  <si>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</si>
  <si>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</si>
  <si>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</si>
  <si>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</si>
  <si>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</si>
  <si>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</si>
  <si>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</si>
  <si>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</si>
  <si>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</si>
  <si>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</si>
  <si>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</si>
  <si>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</si>
  <si>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</si>
  <si>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</si>
  <si>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</si>
  <si>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</si>
  <si>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</si>
  <si>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</si>
  <si>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</si>
  <si>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</si>
  <si>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</si>
  <si>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</si>
  <si>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</si>
  <si>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</si>
  <si>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</si>
  <si>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</si>
  <si>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</si>
  <si>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</si>
  <si>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</si>
  <si>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</si>
  <si>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</si>
  <si>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</si>
  <si>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</si>
  <si>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</si>
  <si>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</si>
  <si>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</si>
  <si>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</si>
  <si>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</si>
  <si>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</si>
  <si>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</si>
  <si>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</si>
  <si>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</si>
  <si>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</si>
  <si>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</si>
  <si>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</si>
  <si>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</si>
  <si>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</si>
  <si>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</si>
  <si>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</si>
  <si>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</si>
  <si>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</si>
  <si>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</si>
  <si>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</si>
  <si>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</si>
  <si>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</si>
  <si>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</si>
  <si>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</si>
  <si>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</si>
  <si>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</si>
  <si>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</si>
  <si>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</si>
  <si>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</si>
  <si>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</si>
  <si>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</si>
  <si>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</si>
  <si>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</si>
  <si>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</si>
  <si>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</si>
  <si>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</si>
  <si>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</si>
  <si>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</si>
  <si>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</si>
  <si>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</si>
  <si>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</si>
  <si>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</si>
  <si>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</si>
  <si>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</si>
  <si>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</si>
  <si>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</si>
  <si>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</si>
  <si>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</si>
  <si>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</si>
  <si>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</si>
  <si>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</si>
  <si>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</si>
  <si>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</si>
  <si>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</si>
  <si>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</si>
  <si>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</si>
  <si>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</si>
  <si>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</si>
  <si>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</si>
  <si>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</si>
  <si>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</si>
  <si>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</si>
  <si>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</si>
  <si>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</si>
  <si>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</si>
  <si>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</si>
  <si>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</si>
  <si>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</si>
  <si>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</si>
  <si>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</si>
  <si>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</si>
  <si>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</si>
  <si>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</si>
  <si>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</si>
  <si>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</si>
  <si>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</si>
  <si>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</si>
  <si>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</si>
  <si>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</si>
  <si>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</si>
  <si>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</si>
  <si>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</si>
  <si>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</si>
  <si>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</si>
  <si>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</si>
  <si>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</si>
  <si>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</si>
  <si>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</si>
  <si>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</si>
  <si>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</si>
  <si>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</si>
  <si>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</si>
  <si>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</si>
  <si>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</si>
  <si>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</si>
  <si>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</si>
  <si>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</si>
  <si>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</si>
  <si>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</si>
  <si>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</si>
  <si>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</si>
  <si>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</si>
  <si>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</si>
  <si>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</si>
  <si>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</si>
  <si>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</si>
  <si>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</si>
  <si>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</si>
  <si>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</si>
  <si>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</si>
  <si>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</si>
  <si>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</si>
  <si>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</si>
  <si>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</si>
  <si>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</si>
  <si>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</si>
  <si>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</si>
  <si>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</si>
  <si>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</si>
  <si>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</si>
  <si>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</si>
  <si>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</si>
  <si>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</si>
  <si>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</si>
  <si>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</si>
  <si>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</si>
  <si>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</si>
  <si>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</si>
  <si>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</si>
  <si>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</si>
  <si>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</si>
  <si>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</si>
  <si>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</si>
  <si>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</si>
  <si>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</si>
  <si>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</si>
  <si>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</si>
  <si>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</si>
  <si>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</si>
  <si>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</si>
  <si>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</si>
  <si>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</si>
  <si>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</si>
  <si>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</si>
  <si>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</si>
  <si>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</si>
  <si>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</si>
  <si>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</si>
  <si>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</si>
  <si>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</si>
  <si>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</si>
  <si>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</si>
  <si>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</si>
  <si>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</si>
  <si>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</si>
  <si>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</si>
  <si>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</si>
  <si>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</si>
  <si>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</si>
  <si>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</si>
  <si>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</si>
  <si>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</si>
  <si>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</si>
  <si>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</si>
  <si>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</si>
  <si>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</si>
  <si>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</si>
  <si>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</si>
  <si>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</si>
  <si>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</si>
  <si>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</si>
  <si>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</si>
  <si>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</si>
  <si>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</si>
  <si>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</si>
  <si>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</si>
  <si>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</si>
  <si>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</si>
  <si>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</si>
  <si>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</si>
  <si>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</si>
  <si>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</si>
  <si>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</si>
  <si>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</si>
  <si>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</si>
  <si>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</si>
  <si>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</si>
  <si>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</si>
  <si>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</si>
  <si>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</si>
  <si>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</si>
  <si>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</si>
  <si>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</si>
  <si>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</si>
  <si>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</si>
  <si>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</si>
  <si>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</si>
  <si>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</si>
  <si>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</si>
  <si>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</si>
  <si>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</si>
  <si>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</si>
  <si>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</si>
  <si>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</si>
  <si>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</si>
  <si>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</si>
  <si>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</si>
  <si>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</si>
  <si>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</si>
  <si>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</si>
  <si>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</si>
  <si>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</si>
  <si>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</si>
  <si>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</si>
  <si>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</si>
  <si>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</si>
  <si>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</si>
  <si>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</si>
  <si>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</si>
  <si>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</si>
  <si>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</si>
  <si>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</si>
  <si>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</si>
  <si>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</si>
  <si>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</si>
  <si>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</si>
  <si>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</si>
  <si>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</si>
  <si>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</si>
  <si>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</si>
  <si>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</si>
  <si>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</si>
  <si>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</si>
  <si>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</si>
  <si>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</si>
  <si>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</si>
  <si>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</si>
  <si>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</si>
  <si>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</si>
  <si>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</si>
  <si>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</si>
  <si>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</si>
  <si>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</si>
  <si>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</si>
  <si>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</si>
  <si>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</si>
  <si>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</si>
  <si>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</si>
  <si>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</si>
  <si>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</si>
  <si>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</si>
  <si>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</si>
  <si>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</si>
  <si>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</si>
  <si>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</si>
  <si>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</si>
  <si>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</si>
  <si>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</si>
  <si>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</si>
  <si>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</si>
  <si>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</si>
  <si>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</si>
  <si>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</si>
  <si>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</si>
  <si>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</si>
  <si>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</si>
  <si>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</si>
  <si>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</si>
  <si>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</si>
  <si>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</si>
  <si>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</si>
  <si>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</si>
  <si>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</si>
  <si>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</si>
  <si>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</si>
  <si>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</si>
  <si>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</si>
  <si>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</si>
  <si>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</si>
  <si>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</si>
  <si>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</si>
  <si>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</si>
  <si>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</si>
  <si>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</si>
  <si>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</si>
  <si>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</si>
  <si>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</si>
  <si>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</si>
  <si>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</si>
  <si>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</si>
  <si>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</si>
  <si>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</si>
  <si>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</si>
  <si>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</si>
  <si>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</si>
  <si>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</si>
  <si>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</si>
  <si>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</si>
  <si>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</si>
  <si>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</si>
  <si>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</si>
  <si>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</si>
  <si>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</si>
  <si>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</si>
  <si>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</si>
  <si>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</si>
  <si>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</si>
  <si>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</si>
  <si>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</si>
  <si>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</si>
  <si>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</si>
  <si>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</si>
  <si>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</si>
  <si>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</si>
  <si>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</si>
  <si>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</si>
  <si>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</si>
  <si>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</si>
  <si>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</si>
  <si>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</si>
  <si>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</si>
  <si>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</si>
  <si>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</si>
  <si>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</si>
  <si>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</si>
  <si>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</si>
  <si>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</si>
  <si>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</si>
  <si>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</si>
  <si>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</si>
  <si>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</si>
  <si>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</si>
  <si>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</si>
  <si>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</si>
  <si>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</si>
  <si>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</si>
  <si>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</si>
  <si>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</si>
  <si>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</si>
  <si>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</si>
  <si>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</si>
  <si>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</si>
  <si>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</si>
  <si>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</si>
  <si>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</si>
  <si>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</si>
  <si>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</si>
  <si>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</si>
  <si>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</si>
  <si>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</si>
  <si>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</si>
  <si>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</si>
  <si>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</si>
  <si>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</si>
  <si>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</si>
  <si>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</si>
  <si>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</si>
  <si>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</si>
  <si>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</si>
  <si>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</si>
  <si>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</si>
  <si>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</si>
  <si>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</si>
  <si>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</si>
  <si>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</si>
  <si>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</si>
  <si>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</si>
  <si>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</si>
  <si>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</si>
  <si>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</si>
  <si>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</si>
  <si>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</si>
  <si>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</si>
  <si>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</si>
  <si>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</si>
  <si>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</si>
  <si>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</si>
  <si>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</si>
  <si>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</si>
  <si>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</si>
  <si>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</si>
  <si>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</si>
  <si>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</si>
  <si>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</si>
  <si>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</si>
  <si>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</si>
  <si>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</si>
  <si>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</si>
  <si>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</si>
  <si>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</si>
  <si>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</si>
  <si>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</si>
  <si>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</si>
  <si>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</si>
  <si>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</si>
  <si>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</si>
  <si>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</si>
  <si>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</si>
  <si>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</si>
  <si>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</si>
  <si>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</si>
  <si>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</si>
  <si>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</si>
  <si>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</si>
  <si>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</si>
  <si>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</si>
  <si>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</si>
  <si>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</si>
  <si>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</si>
  <si>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</si>
  <si>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</si>
  <si>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</si>
  <si>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</si>
  <si>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</si>
  <si>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</si>
  <si>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</si>
  <si>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</si>
  <si>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</si>
  <si>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</si>
  <si>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</si>
  <si>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</si>
  <si>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</si>
  <si>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</si>
  <si>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</si>
  <si>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</si>
  <si>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</si>
  <si>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</si>
  <si>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</si>
  <si>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</si>
  <si>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</si>
  <si>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</si>
  <si>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</si>
  <si>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</si>
  <si>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</si>
  <si>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</si>
  <si>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</si>
  <si>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</si>
  <si>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</si>
  <si>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</si>
  <si>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</si>
  <si>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</si>
  <si>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</si>
  <si>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</si>
  <si>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</si>
  <si>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</si>
  <si>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</si>
  <si>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</si>
  <si>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</si>
  <si>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</si>
  <si>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</si>
  <si>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</si>
  <si>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</si>
  <si>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</si>
  <si>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</si>
  <si>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</si>
  <si>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</si>
  <si>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</si>
  <si>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</si>
  <si>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</si>
  <si>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</si>
  <si>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</si>
  <si>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</si>
  <si>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</si>
  <si>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</si>
  <si>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</si>
  <si>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</si>
  <si>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</si>
  <si>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</si>
  <si>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</si>
  <si>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</si>
  <si>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</si>
  <si>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</si>
  <si>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</si>
  <si>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</si>
  <si>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</si>
  <si>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</si>
  <si>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</si>
  <si>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</si>
  <si>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</si>
  <si>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</si>
  <si>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</si>
  <si>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</si>
  <si>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</si>
  <si>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</si>
  <si>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</si>
  <si>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</si>
  <si>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</si>
  <si>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</si>
  <si>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</si>
  <si>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</si>
  <si>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</si>
  <si>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</si>
  <si>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</si>
  <si>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</si>
  <si>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</si>
  <si>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</si>
  <si>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</si>
  <si>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</si>
  <si>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</si>
  <si>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</si>
  <si>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</si>
  <si>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</si>
  <si>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</si>
  <si>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</si>
  <si>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</si>
  <si>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</si>
  <si>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</si>
  <si>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</si>
  <si>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</si>
  <si>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</si>
  <si>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</si>
  <si>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</si>
  <si>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</si>
  <si>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</si>
  <si>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</si>
  <si>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</si>
  <si>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</si>
  <si>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</si>
  <si>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</si>
  <si>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</si>
  <si>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</si>
  <si>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</si>
  <si>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</si>
  <si>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</si>
  <si>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</si>
  <si>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</si>
  <si>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</si>
  <si>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</si>
  <si>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</si>
  <si>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</si>
  <si>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</si>
  <si>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</si>
  <si>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</si>
  <si>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</si>
  <si>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</si>
  <si>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</si>
  <si>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</si>
  <si>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</si>
  <si>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</si>
  <si>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</si>
  <si>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</si>
  <si>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</si>
  <si>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</si>
  <si>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</si>
  <si>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</si>
  <si>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</si>
  <si>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</si>
  <si>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</si>
  <si>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</si>
  <si>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</si>
  <si>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</si>
  <si>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</si>
  <si>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</si>
  <si>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</si>
  <si>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</si>
  <si>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</si>
  <si>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</si>
  <si>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</si>
  <si>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</si>
  <si>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</si>
  <si>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</si>
  <si>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</si>
  <si>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</si>
  <si>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</si>
  <si>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</si>
  <si>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</si>
  <si>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</si>
  <si>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</si>
  <si>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</si>
  <si>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</si>
  <si>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</si>
  <si>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</si>
  <si>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</si>
  <si>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</si>
  <si>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</si>
  <si>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</si>
  <si>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</si>
  <si>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</si>
  <si>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</si>
  <si>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</si>
  <si>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</si>
  <si>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</si>
  <si>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</si>
  <si>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</si>
  <si>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</si>
  <si>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</si>
  <si>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</si>
  <si>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</si>
  <si>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</si>
  <si>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</si>
  <si>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</si>
  <si>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</si>
  <si>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</si>
  <si>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</si>
  <si>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</si>
  <si>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</si>
  <si>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</si>
  <si>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</si>
  <si>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</si>
  <si>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</si>
  <si>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</si>
  <si>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</si>
  <si>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</si>
  <si>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</si>
  <si>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</si>
  <si>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</si>
  <si>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</si>
  <si>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</si>
  <si>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</si>
  <si>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</si>
  <si>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</si>
  <si>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</si>
  <si>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</si>
  <si>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</si>
  <si>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</si>
  <si>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</si>
  <si>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</si>
  <si>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</si>
  <si>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</si>
  <si>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</si>
  <si>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</si>
  <si>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</si>
  <si>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</si>
  <si>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</si>
  <si>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</si>
  <si>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</si>
  <si>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</si>
  <si>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</si>
  <si>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</si>
  <si>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</si>
  <si>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</si>
  <si>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</si>
  <si>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</si>
  <si>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</si>
  <si>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</si>
  <si>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</si>
  <si>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</si>
  <si>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</si>
  <si>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</si>
  <si>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</si>
  <si>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</si>
  <si>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</si>
  <si>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</si>
  <si>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</si>
  <si>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</si>
  <si>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</si>
  <si>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</si>
  <si>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</si>
  <si>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</si>
  <si>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</si>
  <si>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</si>
  <si>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</si>
  <si>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</si>
  <si>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</si>
  <si>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</si>
  <si>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</si>
  <si>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</si>
  <si>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</si>
  <si>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</si>
  <si>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</si>
  <si>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</si>
  <si>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</si>
  <si>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</si>
  <si>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</si>
  <si>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</si>
  <si>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</si>
  <si>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</si>
  <si>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</si>
  <si>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</si>
  <si>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</si>
  <si>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</si>
  <si>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</si>
  <si>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</si>
  <si>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</si>
  <si>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</si>
  <si>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</si>
  <si>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</si>
  <si>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</si>
  <si>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</si>
  <si>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</si>
  <si>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</si>
  <si>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</si>
  <si>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</si>
  <si>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</si>
  <si>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</si>
  <si>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</si>
  <si>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</si>
  <si>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</si>
  <si>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</si>
  <si>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</si>
  <si>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</si>
  <si>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</si>
  <si>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</si>
  <si>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</si>
  <si>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</si>
  <si>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</si>
  <si>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</si>
  <si>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</si>
  <si>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</si>
  <si>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</si>
  <si>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</si>
  <si>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</si>
  <si>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</si>
  <si>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</si>
  <si>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</si>
  <si>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</si>
  <si>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</si>
  <si>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</si>
  <si>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</si>
  <si>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</si>
  <si>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</si>
  <si>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</si>
  <si>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</si>
  <si>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</si>
  <si>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</si>
  <si>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</si>
  <si>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</si>
  <si>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</si>
  <si>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</si>
  <si>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</si>
  <si>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</si>
  <si>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</si>
  <si>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</si>
  <si>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</si>
  <si>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</si>
  <si>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</si>
  <si>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</si>
  <si>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</si>
  <si>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</si>
  <si>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</si>
  <si>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</si>
  <si>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</si>
  <si>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</si>
  <si>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</si>
  <si>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</si>
  <si>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</si>
  <si>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</si>
  <si>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</si>
  <si>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</si>
  <si>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</si>
  <si>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</si>
  <si>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</si>
  <si>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</si>
  <si>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</si>
  <si>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</si>
  <si>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</si>
  <si>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</si>
  <si>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</si>
  <si>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</si>
  <si>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</si>
  <si>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</si>
  <si>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</si>
  <si>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</si>
  <si>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</si>
  <si>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</si>
  <si>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</si>
  <si>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</si>
  <si>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</si>
  <si>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</si>
  <si>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</si>
  <si>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</si>
  <si>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</si>
  <si>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</si>
  <si>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</si>
  <si>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</si>
  <si>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</si>
  <si>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</si>
  <si>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</si>
  <si>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</si>
  <si>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</si>
  <si>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</si>
  <si>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</si>
  <si>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</si>
  <si>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</si>
  <si>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</si>
  <si>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</si>
  <si>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</si>
  <si>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</si>
  <si>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</si>
  <si>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</si>
  <si>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</si>
  <si>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</si>
  <si>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</si>
  <si>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</si>
  <si>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</si>
  <si>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</si>
  <si>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</si>
  <si>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</si>
  <si>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</si>
  <si>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</si>
  <si>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</si>
  <si>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</si>
  <si>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</si>
  <si>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</si>
  <si>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</si>
  <si>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</si>
  <si>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</si>
  <si>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</si>
  <si>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</si>
  <si>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</si>
  <si>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</si>
  <si>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</si>
  <si>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</si>
  <si>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</si>
  <si>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</si>
  <si>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</si>
  <si>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</si>
  <si>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</si>
  <si>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</si>
  <si>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</si>
  <si>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</si>
  <si>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</si>
  <si>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</si>
  <si>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</si>
  <si>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</si>
  <si>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</si>
  <si>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</si>
  <si>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</si>
  <si>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</si>
  <si>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</si>
  <si>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</si>
  <si>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</si>
  <si>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</si>
  <si>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</si>
  <si>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</si>
  <si>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</si>
  <si>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</si>
  <si>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</si>
  <si>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</si>
  <si>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</si>
  <si>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</si>
  <si>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</si>
  <si>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</si>
  <si>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</si>
  <si>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</si>
  <si>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</si>
  <si>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</si>
  <si>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</si>
  <si>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</si>
  <si>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</si>
  <si>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</si>
  <si>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</si>
  <si>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</si>
  <si>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</si>
  <si>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</si>
  <si>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</si>
  <si>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</si>
  <si>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</si>
  <si>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</si>
  <si>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</si>
  <si>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</si>
  <si>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</si>
  <si>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</si>
  <si>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</si>
  <si>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</si>
  <si>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</si>
  <si>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</si>
  <si>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</si>
  <si>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</si>
  <si>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</si>
  <si>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</si>
  <si>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</si>
  <si>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</si>
  <si>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</si>
  <si>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</si>
  <si>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</si>
  <si>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</si>
  <si>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</si>
  <si>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</si>
  <si>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</si>
  <si>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</si>
  <si>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</si>
  <si>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</si>
  <si>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</si>
  <si>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</si>
  <si>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</si>
  <si>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</si>
  <si>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</si>
  <si>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</si>
  <si>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</si>
  <si>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</si>
  <si>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</si>
  <si>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</si>
  <si>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</si>
  <si>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</si>
  <si>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</si>
  <si>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</si>
  <si>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</si>
  <si>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</si>
  <si>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</si>
  <si>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</si>
  <si>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</si>
  <si>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</si>
  <si>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</si>
  <si>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</si>
  <si>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</si>
  <si>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</si>
  <si>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</si>
  <si>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</si>
  <si>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</si>
  <si>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</si>
  <si>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</si>
  <si>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</si>
  <si>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</si>
  <si>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</si>
  <si>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</si>
  <si>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</si>
  <si>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</si>
  <si>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</si>
  <si>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</si>
  <si>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</si>
  <si>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</si>
  <si>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</si>
  <si>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</si>
  <si>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</si>
  <si>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</si>
  <si>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</si>
  <si>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</si>
  <si>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</si>
  <si>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</si>
  <si>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</si>
  <si>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</si>
  <si>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</si>
  <si>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</si>
  <si>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</si>
  <si>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</si>
  <si>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</si>
  <si>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</si>
  <si>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</si>
  <si>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</si>
  <si>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</si>
  <si>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</si>
  <si>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</si>
  <si>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</si>
  <si>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</si>
  <si>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</si>
  <si>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</si>
  <si>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</si>
  <si>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</si>
  <si>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</si>
  <si>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</si>
  <si>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</si>
  <si>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</si>
  <si>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</si>
  <si>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</si>
  <si>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</si>
  <si>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</si>
  <si>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</si>
  <si>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</si>
  <si>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</si>
  <si>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</si>
  <si>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</si>
  <si>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</si>
  <si>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</si>
  <si>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</si>
  <si>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</si>
  <si>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</si>
  <si>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</si>
  <si>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</si>
  <si>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</si>
  <si>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</si>
  <si>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</si>
  <si>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</si>
  <si>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</si>
  <si>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</si>
  <si>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</si>
  <si>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</si>
  <si>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</si>
  <si>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</si>
  <si>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</si>
  <si>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</si>
  <si>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</si>
  <si>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</si>
  <si>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</si>
  <si>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</si>
  <si>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</si>
  <si>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</si>
  <si>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</si>
  <si>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</si>
  <si>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</si>
  <si>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</si>
  <si>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</si>
  <si>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</si>
  <si>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</si>
  <si>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</si>
  <si>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</si>
  <si>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</si>
  <si>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</si>
  <si>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</si>
  <si>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</si>
  <si>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</si>
  <si>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</si>
  <si>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</si>
  <si>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</si>
  <si>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</si>
  <si>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</si>
  <si>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</si>
  <si>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</si>
  <si>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</si>
  <si>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</si>
  <si>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</si>
  <si>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</si>
  <si>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</si>
  <si>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</si>
  <si>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</si>
  <si>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</si>
  <si>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</si>
  <si>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</si>
  <si>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</si>
  <si>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</si>
  <si>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</si>
  <si>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</si>
  <si>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</si>
  <si>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</si>
  <si>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</si>
  <si>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</si>
  <si>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</si>
  <si>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</si>
  <si>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</si>
  <si>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</si>
  <si>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</si>
  <si>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</si>
  <si>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</si>
  <si>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</si>
  <si>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</si>
  <si>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</si>
  <si>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</si>
  <si>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</si>
  <si>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</si>
  <si>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</si>
  <si>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</si>
  <si>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</si>
  <si>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</si>
  <si>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</si>
  <si>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</si>
  <si>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</si>
  <si>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</si>
  <si>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</si>
  <si>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</si>
  <si>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</si>
  <si>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</si>
  <si>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</si>
  <si>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</si>
  <si>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</si>
  <si>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</si>
  <si>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</si>
  <si>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</si>
  <si>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</si>
  <si>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</si>
  <si>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</si>
  <si>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</si>
  <si>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</si>
  <si>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</si>
  <si>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</si>
  <si>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</si>
  <si>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</si>
  <si>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</si>
  <si>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</si>
  <si>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</si>
  <si>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</si>
  <si>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</si>
  <si>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</si>
  <si>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</si>
  <si>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</si>
  <si>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</si>
  <si>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</si>
  <si>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</si>
  <si>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</si>
  <si>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</si>
  <si>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</si>
  <si>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</si>
  <si>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</si>
  <si>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</si>
  <si>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</si>
  <si>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</si>
  <si>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</si>
  <si>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</si>
  <si>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</si>
  <si>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</si>
  <si>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</si>
  <si>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</si>
  <si>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</si>
  <si>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</si>
  <si>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</si>
  <si>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</si>
  <si>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</si>
  <si>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</si>
  <si>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</si>
  <si>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</si>
  <si>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</si>
  <si>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</si>
  <si>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</si>
  <si>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</si>
  <si>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</si>
  <si>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</si>
  <si>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</si>
  <si>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</si>
  <si>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</si>
  <si>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</si>
  <si>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</si>
  <si>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</si>
  <si>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</si>
  <si>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</si>
  <si>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</si>
  <si>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</si>
  <si>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</si>
  <si>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</si>
  <si>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</si>
  <si>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</si>
  <si>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</si>
  <si>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</si>
  <si>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</si>
  <si>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</si>
  <si>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</si>
  <si>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</si>
  <si>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</si>
  <si>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</si>
  <si>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</si>
  <si>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</si>
  <si>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</si>
  <si>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</si>
  <si>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</si>
  <si>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</si>
  <si>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</si>
  <si>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</si>
  <si>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</si>
  <si>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</si>
  <si>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</si>
  <si>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</si>
  <si>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</si>
  <si>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</si>
  <si>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</si>
  <si>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</si>
  <si>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</si>
  <si>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</si>
  <si>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</si>
  <si>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</si>
  <si>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</si>
  <si>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</si>
  <si>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</si>
  <si>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</si>
  <si>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</si>
  <si>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</si>
  <si>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</si>
  <si>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</si>
  <si>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</si>
  <si>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</si>
  <si>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</si>
  <si>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</si>
  <si>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</si>
  <si>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</si>
  <si>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</si>
  <si>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</si>
  <si>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</si>
  <si>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</si>
  <si>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</si>
  <si>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</si>
  <si>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</si>
  <si>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</si>
  <si>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</si>
  <si>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</si>
  <si>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</si>
  <si>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</si>
  <si>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</si>
  <si>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</si>
  <si>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</si>
  <si>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</si>
  <si>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</si>
  <si>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</si>
  <si>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</si>
  <si>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</si>
  <si>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</si>
  <si>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</si>
  <si>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</si>
  <si>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</si>
  <si>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</si>
  <si>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</si>
  <si>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</si>
  <si>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</si>
  <si>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</si>
  <si>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</si>
  <si>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</si>
  <si>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</si>
  <si>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</si>
  <si>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</si>
  <si>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</si>
  <si>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</si>
  <si>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</si>
  <si>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</si>
  <si>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</si>
  <si>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</si>
  <si>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</si>
  <si>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</si>
  <si>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</si>
  <si>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</si>
  <si>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</si>
  <si>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</si>
  <si>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</si>
  <si>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</si>
  <si>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</si>
  <si>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</si>
  <si>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</si>
  <si>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</si>
  <si>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</si>
  <si>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</si>
  <si>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</si>
  <si>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</si>
  <si>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</si>
  <si>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</si>
  <si>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</si>
  <si>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</si>
  <si>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</si>
  <si>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</si>
  <si>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</si>
  <si>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</si>
  <si>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</si>
  <si>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</si>
  <si>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</si>
  <si>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</si>
  <si>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</si>
  <si>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</si>
  <si>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</si>
  <si>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</si>
  <si>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</si>
  <si>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</si>
  <si>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</si>
  <si>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</si>
  <si>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</si>
  <si>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</si>
  <si>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</si>
  <si>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</si>
  <si>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</si>
  <si>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</si>
  <si>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</si>
  <si>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</si>
  <si>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</si>
  <si>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</si>
  <si>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</si>
  <si>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</si>
  <si>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</si>
  <si>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</si>
  <si>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</si>
  <si>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</si>
  <si>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</si>
  <si>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</si>
  <si>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</si>
  <si>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</si>
  <si>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</si>
  <si>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</si>
  <si>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</si>
  <si>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</si>
  <si>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</si>
  <si>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</si>
  <si>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</si>
  <si>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</si>
  <si>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</si>
  <si>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</si>
  <si>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</si>
  <si>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</si>
  <si>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</si>
  <si>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</si>
  <si>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</si>
  <si>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</si>
  <si>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</si>
  <si>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</si>
  <si>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</si>
  <si>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</si>
  <si>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</si>
  <si>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</si>
  <si>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</si>
  <si>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</si>
  <si>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</si>
  <si>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</si>
  <si>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</si>
  <si>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</si>
  <si>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</si>
  <si>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</si>
  <si>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</si>
  <si>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</si>
  <si>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</si>
  <si>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</si>
  <si>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</si>
  <si>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</si>
  <si>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</si>
  <si>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</si>
  <si>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</si>
  <si>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</si>
  <si>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</si>
  <si>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</si>
  <si>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</si>
  <si>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</si>
  <si>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</si>
  <si>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</si>
  <si>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</si>
  <si>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</si>
  <si>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</si>
  <si>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</si>
  <si>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</si>
  <si>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</si>
  <si>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</si>
  <si>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</si>
  <si>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</si>
  <si>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</si>
  <si>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</si>
  <si>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</si>
  <si>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</si>
  <si>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</si>
  <si>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</si>
  <si>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</si>
  <si>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</si>
  <si>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</si>
  <si>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</si>
  <si>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</si>
  <si>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</si>
  <si>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</si>
  <si>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</si>
  <si>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</si>
  <si>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</si>
  <si>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</si>
  <si>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</si>
  <si>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</si>
  <si>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</si>
  <si>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</si>
  <si>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</si>
  <si>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</si>
  <si>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</si>
  <si>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</si>
  <si>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</si>
  <si>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</si>
  <si>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</si>
  <si>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</si>
  <si>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</si>
  <si>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</si>
  <si>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</si>
  <si>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</si>
  <si>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</si>
  <si>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</si>
  <si>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</si>
  <si>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</si>
  <si>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</si>
  <si>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</si>
  <si>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</si>
  <si>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</si>
  <si>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</si>
  <si>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</si>
  <si>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</si>
  <si>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</si>
  <si>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</si>
  <si>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</si>
  <si>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</si>
  <si>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</si>
  <si>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</si>
  <si>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</si>
  <si>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</si>
  <si>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</si>
  <si>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</si>
  <si>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</si>
  <si>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</si>
  <si>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</si>
  <si>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</si>
  <si>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</si>
  <si>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</si>
  <si>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</si>
  <si>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</si>
  <si>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</si>
  <si>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</si>
  <si>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</si>
  <si>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</si>
  <si>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</si>
  <si>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</si>
  <si>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</si>
  <si>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</si>
  <si>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</si>
  <si>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</si>
  <si>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</si>
  <si>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</si>
  <si>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</si>
  <si>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</si>
  <si>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</si>
  <si>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</si>
  <si>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</si>
  <si>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</si>
  <si>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</si>
  <si>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</si>
  <si>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</si>
  <si>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</si>
  <si>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</si>
  <si>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</si>
  <si>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</si>
  <si>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</si>
  <si>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</si>
  <si>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</si>
  <si>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</si>
  <si>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</si>
  <si>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</si>
  <si>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</si>
  <si>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</si>
  <si>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</si>
  <si>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</si>
  <si>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</si>
  <si>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</si>
  <si>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</si>
  <si>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</si>
  <si>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</si>
  <si>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</si>
  <si>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</si>
  <si>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</si>
  <si>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</si>
  <si>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</si>
  <si>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</si>
  <si>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</si>
  <si>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</si>
  <si>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</si>
  <si>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</si>
  <si>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</si>
  <si>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</si>
  <si>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</si>
  <si>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</si>
  <si>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</si>
  <si>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</si>
  <si>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</si>
  <si>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</si>
  <si>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</si>
  <si>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</si>
  <si>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</si>
  <si>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</si>
  <si>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</si>
  <si>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</si>
  <si>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</si>
  <si>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</si>
  <si>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</si>
  <si>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</si>
  <si>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</si>
  <si>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</si>
  <si>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</si>
  <si>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</si>
  <si>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</si>
  <si>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</si>
  <si>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</si>
  <si>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</si>
  <si>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</si>
  <si>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</si>
  <si>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</si>
  <si>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</si>
  <si>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</si>
  <si>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</si>
  <si>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</si>
  <si>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</si>
  <si>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</si>
  <si>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</si>
  <si>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</si>
  <si>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</si>
  <si>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</si>
  <si>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</si>
  <si>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</si>
  <si>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</si>
  <si>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</si>
  <si>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</si>
  <si>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</si>
  <si>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</si>
  <si>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</si>
  <si>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</si>
  <si>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</si>
  <si>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</si>
  <si>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</si>
  <si>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</si>
  <si>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</si>
  <si>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</si>
  <si>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</si>
  <si>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</si>
  <si>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</si>
  <si>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</si>
  <si>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</si>
  <si>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</si>
  <si>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</si>
  <si>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</si>
  <si>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</si>
  <si>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</si>
  <si>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</si>
  <si>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</si>
  <si>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</si>
  <si>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</si>
  <si>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</si>
  <si>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</si>
  <si>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</si>
  <si>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</si>
  <si>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</si>
  <si>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</si>
  <si>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</si>
  <si>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</si>
  <si>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</si>
  <si>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</si>
  <si>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</si>
  <si>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</si>
  <si>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</si>
  <si>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</si>
  <si>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</si>
  <si>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</si>
  <si>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</si>
  <si>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</si>
  <si>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</si>
  <si>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</si>
  <si>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</si>
  <si>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</si>
  <si>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</si>
  <si>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</si>
  <si>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</si>
  <si>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</si>
  <si>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</si>
  <si>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</si>
  <si>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</si>
  <si>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</si>
  <si>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</si>
  <si>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</si>
  <si>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</si>
  <si>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</si>
  <si>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</si>
  <si>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</si>
  <si>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</si>
  <si>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</si>
  <si>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</si>
  <si>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</si>
  <si>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</si>
  <si>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</si>
  <si>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</si>
  <si>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</si>
  <si>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</si>
  <si>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</si>
  <si>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</si>
  <si>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</si>
  <si>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</si>
  <si>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</si>
  <si>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</si>
  <si>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</si>
  <si>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</si>
  <si>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</si>
  <si>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</si>
  <si>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</si>
  <si>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</si>
  <si>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</si>
  <si>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</si>
  <si>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</si>
  <si>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</si>
  <si>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</si>
  <si>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</si>
  <si>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</si>
  <si>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</si>
  <si>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</si>
  <si>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</si>
  <si>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</si>
  <si>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</si>
  <si>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</si>
  <si>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</si>
  <si>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</si>
  <si>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</si>
  <si>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</si>
  <si>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</si>
  <si>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</si>
  <si>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</si>
  <si>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</si>
  <si>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</si>
  <si>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</si>
  <si>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</si>
  <si>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</si>
  <si>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</si>
  <si>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</si>
  <si>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</si>
  <si>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</si>
  <si>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</si>
  <si>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</si>
  <si>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</si>
  <si>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</si>
  <si>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</si>
  <si>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</si>
  <si>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</si>
  <si>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</si>
  <si>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</si>
  <si>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</si>
  <si>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</si>
  <si>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</si>
  <si>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</si>
  <si>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</si>
  <si>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</si>
  <si>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</si>
  <si>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</si>
  <si>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</si>
  <si>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</si>
  <si>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</si>
  <si>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</si>
  <si>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</si>
  <si>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</si>
  <si>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</si>
  <si>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</si>
  <si>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</si>
  <si>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</si>
  <si>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</si>
  <si>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</si>
  <si>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</si>
  <si>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</si>
  <si>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</si>
  <si>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</si>
  <si>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</si>
  <si>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</si>
  <si>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</si>
  <si>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</si>
  <si>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</si>
  <si>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</si>
  <si>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</si>
  <si>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</si>
  <si>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</si>
  <si>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</si>
  <si>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</si>
  <si>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</si>
  <si>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</si>
  <si>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</si>
  <si>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</si>
  <si>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</si>
  <si>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</si>
  <si>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</si>
  <si>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</si>
  <si>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</si>
  <si>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</si>
  <si>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</si>
  <si>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</si>
  <si>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</si>
  <si>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</si>
  <si>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</si>
  <si>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</si>
  <si>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</si>
  <si>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</si>
  <si>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</si>
  <si>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</si>
  <si>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</si>
  <si>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</si>
  <si>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</si>
  <si>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</si>
  <si>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</si>
  <si>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</si>
  <si>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</si>
  <si>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</si>
  <si>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</si>
  <si>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</si>
  <si>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</si>
  <si>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</si>
  <si>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</si>
  <si>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</si>
  <si>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</si>
  <si>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</si>
  <si>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</si>
  <si>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</si>
  <si>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</si>
  <si>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</si>
  <si>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</si>
  <si>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</si>
  <si>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</si>
  <si>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</si>
  <si>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</si>
  <si>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</si>
  <si>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</si>
  <si>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</si>
  <si>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</si>
  <si>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</si>
  <si>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</si>
  <si>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</si>
  <si>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</si>
  <si>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</si>
  <si>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</si>
  <si>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</si>
  <si>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</si>
  <si>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</si>
  <si>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</si>
  <si>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</si>
  <si>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</si>
  <si>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</si>
  <si>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</si>
  <si>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</si>
  <si>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</si>
  <si>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</si>
  <si>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</si>
  <si>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</si>
  <si>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</si>
  <si>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</si>
  <si>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</si>
  <si>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</si>
  <si>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</si>
  <si>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</si>
  <si>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</si>
  <si>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</si>
  <si>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</si>
  <si>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</si>
  <si>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</si>
  <si>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</si>
  <si>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</si>
  <si>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</si>
  <si>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</si>
  <si>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</si>
  <si>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</si>
  <si>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</si>
  <si>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</si>
  <si>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</si>
  <si>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</si>
  <si>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</si>
  <si>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</si>
  <si>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</si>
  <si>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</si>
  <si>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</si>
  <si>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</si>
  <si>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</si>
  <si>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</si>
  <si>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</si>
  <si>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</si>
  <si>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</si>
  <si>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</si>
  <si>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</si>
  <si>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</si>
  <si>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</si>
  <si>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</si>
  <si>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</si>
  <si>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</si>
  <si>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</si>
  <si>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</si>
  <si>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</si>
  <si>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</si>
  <si>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</si>
  <si>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</si>
  <si>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</si>
  <si>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</si>
  <si>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</si>
  <si>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</si>
  <si>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</si>
  <si>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</si>
  <si>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</si>
  <si>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</si>
  <si>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</si>
  <si>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</si>
  <si>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</si>
  <si>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</si>
  <si>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</si>
  <si>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</si>
  <si>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</si>
  <si>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</si>
  <si>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</si>
  <si>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</si>
  <si>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</si>
  <si>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</si>
  <si>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</si>
  <si>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</si>
  <si>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</si>
  <si>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</si>
  <si>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</si>
  <si>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</si>
  <si>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</si>
  <si>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</si>
  <si>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</si>
  <si>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</si>
  <si>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</si>
  <si>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</si>
  <si>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</si>
  <si>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</si>
  <si>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</si>
  <si>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</si>
  <si>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</si>
  <si>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</si>
  <si>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</si>
  <si>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</si>
  <si>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</si>
  <si>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</si>
  <si>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</si>
  <si>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</si>
  <si>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</si>
  <si>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</si>
  <si>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</si>
  <si>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</si>
  <si>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</si>
  <si>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</si>
  <si>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</si>
  <si>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</si>
  <si>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</si>
  <si>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</si>
  <si>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</si>
  <si>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</si>
  <si>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</si>
  <si>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</si>
  <si>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</si>
  <si>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</si>
  <si>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</si>
  <si>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</si>
  <si>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</si>
  <si>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</si>
  <si>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</si>
  <si>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</si>
  <si>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</si>
  <si>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</si>
  <si>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</si>
  <si>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</si>
  <si>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</si>
  <si>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</si>
  <si>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</si>
  <si>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</si>
  <si>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</si>
  <si>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</si>
  <si>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</si>
  <si>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</si>
  <si>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</si>
  <si>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</si>
  <si>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</si>
  <si>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</si>
  <si>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</si>
  <si>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</si>
  <si>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</si>
  <si>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</si>
  <si>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</si>
  <si>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</si>
  <si>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</si>
  <si>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</si>
  <si>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</si>
  <si>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</si>
  <si>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</si>
  <si>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</si>
  <si>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</si>
  <si>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</si>
  <si>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</si>
  <si>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</si>
  <si>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</si>
  <si>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</si>
  <si>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</si>
  <si>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</si>
  <si>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</si>
  <si>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</si>
  <si>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</si>
  <si>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</si>
  <si>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</si>
  <si>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</si>
  <si>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</si>
  <si>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</si>
  <si>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</si>
  <si>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</si>
  <si>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</si>
  <si>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</si>
  <si>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</si>
  <si>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</si>
  <si>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</si>
  <si>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</si>
  <si>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</si>
  <si>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</si>
  <si>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</si>
  <si>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</si>
  <si>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</si>
  <si>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</si>
  <si>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</si>
  <si>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</si>
  <si>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</si>
  <si>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</si>
  <si>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</si>
  <si>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</si>
  <si>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</si>
  <si>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</si>
  <si>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</si>
  <si>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</si>
  <si>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</si>
  <si>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</si>
  <si>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</si>
  <si>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</si>
  <si>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</si>
  <si>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</si>
  <si>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</si>
  <si>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</si>
  <si>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</si>
  <si>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</si>
  <si>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</si>
  <si>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</si>
  <si>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</si>
  <si>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</si>
  <si>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</si>
  <si>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</si>
  <si>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</si>
  <si>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</si>
  <si>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</si>
  <si>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</si>
  <si>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</si>
  <si>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</si>
  <si>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</si>
  <si>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</si>
  <si>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</si>
  <si>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</si>
  <si>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</si>
  <si>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</si>
  <si>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</si>
  <si>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</si>
  <si>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</si>
  <si>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</si>
  <si>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</si>
  <si>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</si>
  <si>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</si>
  <si>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</si>
  <si>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</si>
  <si>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</si>
  <si>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</si>
  <si>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</si>
  <si>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</si>
  <si>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</si>
  <si>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</si>
  <si>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</si>
  <si>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</si>
  <si>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</si>
  <si>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</si>
  <si>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</si>
  <si>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</si>
  <si>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</si>
  <si>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</si>
  <si>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</si>
  <si>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</si>
  <si>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</si>
  <si>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</si>
  <si>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</si>
  <si>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</si>
  <si>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</si>
  <si>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</si>
  <si>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</si>
  <si>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</si>
  <si>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</si>
  <si>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</si>
  <si>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</si>
  <si>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</si>
  <si>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</si>
  <si>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</si>
  <si>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</si>
  <si>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</si>
  <si>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</si>
  <si>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</si>
  <si>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</si>
  <si>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</si>
  <si>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</si>
  <si>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</si>
  <si>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</si>
  <si>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</si>
  <si>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</si>
  <si>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</si>
  <si>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</si>
  <si>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</si>
  <si>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</si>
  <si>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</si>
  <si>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</si>
  <si>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</si>
  <si>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</si>
  <si>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</si>
  <si>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</si>
  <si>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</si>
  <si>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</si>
  <si>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</si>
  <si>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</si>
  <si>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</si>
  <si>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</si>
  <si>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</si>
  <si>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</si>
  <si>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</si>
  <si>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</si>
  <si>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</si>
  <si>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</si>
  <si>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</si>
  <si>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</si>
  <si>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</si>
  <si>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</si>
  <si>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</si>
  <si>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</si>
  <si>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</si>
  <si>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</si>
  <si>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</si>
  <si>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</si>
  <si>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</si>
  <si>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</si>
  <si>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</si>
  <si>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</si>
  <si>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</si>
  <si>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</si>
  <si>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</si>
  <si>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</si>
  <si>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</si>
  <si>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</si>
  <si>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</si>
  <si>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</si>
  <si>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</si>
  <si>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</si>
  <si>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</si>
  <si>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</si>
  <si>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</si>
  <si>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</si>
  <si>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</si>
  <si>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</si>
  <si>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</si>
  <si>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</si>
  <si>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</si>
  <si>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</si>
  <si>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</si>
  <si>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</si>
  <si>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</si>
  <si>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</si>
  <si>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</si>
  <si>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</si>
  <si>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</si>
  <si>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</si>
  <si>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</si>
  <si>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</si>
  <si>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</si>
  <si>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</si>
  <si>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</si>
  <si>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</si>
  <si>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</si>
  <si>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</si>
  <si>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</si>
  <si>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</si>
  <si>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</si>
  <si>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</si>
  <si>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</si>
  <si>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</si>
  <si>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</si>
  <si>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</si>
  <si>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</si>
  <si>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</si>
  <si>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</si>
  <si>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</si>
  <si>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</si>
  <si>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</si>
  <si>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</si>
  <si>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</si>
  <si>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</si>
  <si>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</si>
  <si>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</si>
  <si>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</si>
  <si>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</si>
  <si>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</si>
  <si>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</si>
  <si>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</si>
  <si>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</si>
  <si>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</si>
  <si>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</si>
  <si>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</si>
  <si>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</si>
  <si>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</si>
  <si>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</si>
  <si>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</si>
  <si>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</si>
  <si>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</si>
  <si>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</si>
  <si>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</si>
  <si>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</si>
  <si>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</si>
  <si>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</si>
  <si>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</si>
  <si>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</si>
  <si>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</si>
  <si>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</si>
  <si>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</si>
  <si>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</si>
  <si>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</si>
  <si>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</si>
  <si>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</si>
  <si>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</si>
  <si>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</si>
  <si>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</si>
  <si>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</si>
  <si>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</si>
  <si>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</si>
  <si>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</si>
  <si>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</si>
  <si>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</si>
  <si>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</si>
  <si>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</si>
  <si>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</si>
  <si>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</si>
  <si>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</si>
  <si>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</si>
  <si>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</si>
  <si>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</si>
  <si>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</si>
  <si>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</si>
  <si>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</si>
  <si>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</si>
  <si>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</si>
  <si>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</si>
  <si>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</si>
  <si>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</si>
  <si>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</si>
  <si>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</si>
  <si>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</si>
  <si>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</si>
  <si>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</si>
  <si>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</si>
  <si>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</si>
  <si>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</si>
  <si>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</si>
  <si>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</si>
  <si>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</si>
  <si>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</si>
  <si>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</si>
  <si>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</si>
  <si>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</si>
  <si>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</si>
  <si>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</si>
  <si>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</si>
  <si>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</si>
  <si>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</si>
  <si>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</si>
  <si>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</si>
  <si>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</si>
  <si>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</si>
  <si>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</si>
  <si>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</si>
  <si>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</si>
  <si>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</si>
  <si>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</si>
  <si>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</si>
  <si>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</si>
  <si>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</si>
  <si>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</si>
  <si>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</si>
  <si>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</si>
  <si>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</si>
  <si>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</si>
  <si>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</si>
  <si>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</si>
  <si>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</si>
  <si>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</si>
  <si>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</si>
  <si>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</si>
  <si>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</si>
  <si>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</si>
  <si>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</si>
  <si>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</si>
  <si>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</si>
  <si>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</si>
  <si>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</si>
  <si>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</si>
  <si>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</si>
  <si>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</si>
  <si>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</si>
  <si>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</si>
  <si>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</si>
  <si>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</si>
  <si>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</si>
  <si>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</si>
  <si>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</si>
  <si>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</si>
  <si>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</si>
  <si>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</si>
  <si>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</si>
  <si>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</si>
  <si>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</si>
  <si>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</si>
  <si>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</si>
  <si>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</si>
  <si>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</si>
  <si>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</si>
  <si>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</si>
  <si>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</si>
  <si>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</si>
  <si>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</si>
  <si>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</si>
  <si>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</si>
  <si>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押一</t>
  </si>
  <si>
    <t>钢混</t>
  </si>
  <si>
    <t>非生产用房</t>
  </si>
  <si>
    <t>单套模式</t>
  </si>
  <si>
    <t>售价</t>
  </si>
  <si>
    <t>收益法</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</si>
  <si>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</si>
  <si>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</si>
  <si>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</si>
  <si>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</si>
  <si>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</si>
  <si>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</si>
  <si>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</si>
  <si>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</si>
  <si>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</si>
  <si>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</si>
  <si>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</si>
  <si>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</si>
  <si>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</si>
  <si>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</si>
  <si>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</si>
  <si>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</si>
  <si>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</si>
  <si>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</si>
  <si>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</si>
  <si>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</si>
  <si>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</si>
  <si>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</si>
  <si>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</si>
  <si>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</si>
  <si>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</si>
  <si>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</si>
  <si>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</si>
  <si>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</si>
  <si>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</si>
  <si>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</si>
  <si>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不临65条商业街</t>
  </si>
  <si>
    <t>好</t>
  </si>
  <si>
    <t>未包含在土地购买价格中</t>
  </si>
  <si>
    <t>已包含在土地取得成本中</t>
  </si>
  <si>
    <t>企业</t>
  </si>
  <si>
    <t>平整</t>
  </si>
  <si>
    <t>简装</t>
  </si>
  <si>
    <t>多层办公楼</t>
  </si>
  <si>
    <t>多层办公楼</t>
    <phoneticPr fontId="31" type="noConversion"/>
  </si>
  <si>
    <t>金海商富中心</t>
    <phoneticPr fontId="3" type="noConversion"/>
  </si>
  <si>
    <t>金海商富中心</t>
    <phoneticPr fontId="3" type="noConversion"/>
  </si>
  <si>
    <t>金海商富中心</t>
    <phoneticPr fontId="3" type="noConversion"/>
  </si>
  <si>
    <t>上海浦发</t>
    <phoneticPr fontId="6"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</si>
  <si>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</si>
  <si>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</si>
  <si>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</si>
  <si>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</si>
  <si>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</si>
  <si>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</si>
  <si>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</si>
  <si>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</si>
  <si>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</si>
  <si>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</si>
  <si>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</si>
  <si>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</si>
  <si>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工业</t>
    <phoneticPr fontId="7" type="noConversion"/>
  </si>
  <si>
    <t>工程进度</t>
  </si>
  <si>
    <t>生产用房</t>
  </si>
  <si>
    <t>估价对象容积率</t>
  </si>
  <si>
    <t>Ⅸ-密1</t>
  </si>
  <si>
    <t>容积率修正</t>
  </si>
  <si>
    <t>全部缴纳</t>
  </si>
  <si>
    <t>成本比率</t>
  </si>
  <si>
    <t>成本法</t>
  </si>
  <si>
    <t>已全部缴纳</t>
  </si>
  <si>
    <t>假设开发法</t>
  </si>
  <si>
    <t>一般</t>
  </si>
  <si>
    <t>较差</t>
  </si>
  <si>
    <t>总价</t>
  </si>
  <si>
    <t>万元</t>
  </si>
  <si>
    <t>地面单价</t>
  </si>
  <si>
    <r>
      <t>2022</t>
    </r>
    <r>
      <rPr>
        <sz val="10"/>
        <color indexed="8"/>
        <rFont val="宋体"/>
        <family val="3"/>
        <charset val="134"/>
      </rPr>
      <t>年复估价值</t>
    </r>
    <phoneticPr fontId="8" type="noConversion"/>
  </si>
  <si>
    <t>利息：取LPR</t>
  </si>
  <si>
    <t>与级别开发程度一致</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</si>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</sst>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47" fillId="2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163830</xdr:rowOff>
    </xdr:from>
    <xdr:to>
      <xdr:col>11</xdr:col>
      <xdr:colOff>228600</xdr:colOff>
      <xdr:row>70</xdr:row>
      <xdr:rowOff>96038</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536180"/>
          <a:ext cx="7772400" cy="4561358"/>
        </a:xfrm>
        <a:prstGeom prst="rect">
          <a:avLst/>
        </a:prstGeom>
      </xdr:spPr>
    </xdr:pic>
    <xdr:clientData/>
  </xdr:twoCellAnchor>
  <xdr:twoCellAnchor editAs="oneCell">
    <xdr:from>
      <xdr:col>0</xdr:col>
      <xdr:colOff>0</xdr:colOff>
      <xdr:row>70</xdr:row>
      <xdr:rowOff>163830</xdr:rowOff>
    </xdr:from>
    <xdr:to>
      <xdr:col>11</xdr:col>
      <xdr:colOff>228600</xdr:colOff>
      <xdr:row>101</xdr:row>
      <xdr:rowOff>166837</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165330"/>
          <a:ext cx="7772400" cy="5317957"/>
        </a:xfrm>
        <a:prstGeom prst="rect">
          <a:avLst/>
        </a:prstGeom>
      </xdr:spPr>
    </xdr:pic>
    <xdr:clientData/>
  </xdr:twoCellAnchor>
  <xdr:twoCellAnchor editAs="oneCell">
    <xdr:from>
      <xdr:col>0</xdr:col>
      <xdr:colOff>38100</xdr:colOff>
      <xdr:row>0</xdr:row>
      <xdr:rowOff>0</xdr:rowOff>
    </xdr:from>
    <xdr:to>
      <xdr:col>15</xdr:col>
      <xdr:colOff>152400</xdr:colOff>
      <xdr:row>24</xdr:row>
      <xdr:rowOff>0</xdr:rowOff>
    </xdr:to>
    <xdr:pic>
      <xdr:nvPicPr>
        <xdr:cNvPr id="9" name="图片 8"/>
        <xdr:cNvPicPr>
          <a:picLocks noChangeAspect="1"/>
        </xdr:cNvPicPr>
      </xdr:nvPicPr>
      <xdr:blipFill>
        <a:blip xmlns:r="http://schemas.openxmlformats.org/officeDocument/2006/relationships" r:embed="rId3"/>
        <a:stretch>
          <a:fillRect/>
        </a:stretch>
      </xdr:blipFill>
      <xdr:spPr>
        <a:xfrm>
          <a:off x="38100" y="0"/>
          <a:ext cx="10401300" cy="4114800"/>
        </a:xfrm>
        <a:prstGeom prst="rect">
          <a:avLst/>
        </a:prstGeom>
        <a:noFill/>
        <a:ln w="9525">
          <a:noFill/>
        </a:ln>
      </xdr:spPr>
    </xdr:pic>
    <xdr:clientData/>
  </xdr:twoCellAnchor>
  <xdr:twoCellAnchor editAs="oneCell">
    <xdr:from>
      <xdr:col>0</xdr:col>
      <xdr:colOff>252095</xdr:colOff>
      <xdr:row>26</xdr:row>
      <xdr:rowOff>0</xdr:rowOff>
    </xdr:from>
    <xdr:to>
      <xdr:col>9</xdr:col>
      <xdr:colOff>503555</xdr:colOff>
      <xdr:row>40</xdr:row>
      <xdr:rowOff>30480</xdr:rowOff>
    </xdr:to>
    <xdr:pic>
      <xdr:nvPicPr>
        <xdr:cNvPr id="10" name="图片 9"/>
        <xdr:cNvPicPr>
          <a:picLocks noChangeAspect="1"/>
        </xdr:cNvPicPr>
      </xdr:nvPicPr>
      <xdr:blipFill>
        <a:blip xmlns:r="http://schemas.openxmlformats.org/officeDocument/2006/relationships" r:embed="rId4"/>
        <a:stretch>
          <a:fillRect/>
        </a:stretch>
      </xdr:blipFill>
      <xdr:spPr>
        <a:xfrm>
          <a:off x="252095" y="4457700"/>
          <a:ext cx="6423660" cy="243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估价对象为北京市房地产，为所有。根据《国有土地使用证》[]，估价对象（分摊）出让国有建设用地使用权面积为18193.39平方米，建筑面积为37711.24平方米。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估价对象为北京市房地产,属开发建设的办公项目，该项目尚在开发建设中。根据《国有土地使用证》[]，估价对象（分摊）出让国有建设用地使用权面积为18193.39平方米，规划建筑面积为37711.24平方米。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为估价委托人在向上海浦发办理贷款手续过程中，确定房地产抵押贷款额度提供参考依据而评估房地产抵押价值。</v>
      </c>
    </row>
    <row r="12" spans="1:2" s="1203" customFormat="1">
      <c r="A12" s="1201" t="s">
        <v>528</v>
      </c>
      <c r="B12" s="1202" t="str">
        <f>'预评函-1'!A15</f>
        <v>2023年7月17日（评估专业人员实地查勘之日）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23528</v>
      </c>
    </row>
    <row r="21" spans="1:2" s="1203" customFormat="1">
      <c r="A21" s="1201" t="s">
        <v>537</v>
      </c>
      <c r="B21" s="1202">
        <f ca="1">'预评函-2'!D7</f>
        <v>6239</v>
      </c>
    </row>
    <row r="22" spans="1:2" s="1203" customFormat="1">
      <c r="A22" s="1201" t="s">
        <v>538</v>
      </c>
      <c r="B22" s="1202" t="str">
        <f ca="1">'预评函-2'!D6</f>
        <v>贰亿叁仟伍佰贰拾捌万元整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23528</v>
      </c>
    </row>
    <row r="31" spans="1:2" s="1203" customFormat="1">
      <c r="A31" s="1201" t="s">
        <v>576</v>
      </c>
      <c r="B31" s="1202">
        <f ca="1">'预评函-2'!D15</f>
        <v>6239</v>
      </c>
    </row>
    <row r="32" spans="1:2" s="1203" customFormat="1">
      <c r="A32" s="1201" t="s">
        <v>543</v>
      </c>
      <c r="B32" s="1202" t="str">
        <f ca="1">'预评函-2'!D14</f>
        <v>贰亿叁仟伍佰贰拾捌万元整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37711.240000000005</v>
      </c>
    </row>
    <row r="44" spans="1:2" s="1203" customFormat="1">
      <c r="A44" s="1201" t="s">
        <v>575</v>
      </c>
      <c r="B44" s="1202" t="str">
        <f>'预评函-3'!C2</f>
        <v>(分摊)土地面积</v>
      </c>
    </row>
    <row r="45" spans="1:2" s="1203" customFormat="1">
      <c r="A45" s="1201" t="s">
        <v>547</v>
      </c>
      <c r="B45" s="1202">
        <f>'预评函-3'!C4</f>
        <v>18193.39</v>
      </c>
    </row>
    <row r="46" spans="1:2" s="1203" customFormat="1">
      <c r="A46" s="1201" t="s">
        <v>573</v>
      </c>
      <c r="B46" s="1202" t="str">
        <f>'预评函-3'!D2</f>
        <v>出让国有建设用地使用权价值</v>
      </c>
    </row>
    <row r="47" spans="1:2" s="1203" customFormat="1">
      <c r="A47" s="1201" t="s">
        <v>548</v>
      </c>
      <c r="B47" s="1202">
        <f ca="1">'预评函-3'!D4</f>
        <v>11882</v>
      </c>
    </row>
    <row r="48" spans="1:2" s="1203" customFormat="1">
      <c r="A48" s="1201" t="s">
        <v>549</v>
      </c>
      <c r="B48" s="1202">
        <f ca="1">'预评函-3'!E4</f>
        <v>3151</v>
      </c>
    </row>
    <row r="49" spans="1:2" s="1203" customFormat="1">
      <c r="A49" s="1201" t="s">
        <v>550</v>
      </c>
      <c r="B49" s="1202" t="str">
        <f ca="1">'预评函-3'!D5</f>
        <v>壹亿壹仟捌佰捌拾贰万元整</v>
      </c>
    </row>
    <row r="50" spans="1:2" s="1203" customFormat="1">
      <c r="A50" s="1201" t="s">
        <v>574</v>
      </c>
      <c r="B50" s="1202" t="str">
        <f>'预评函-3'!F2</f>
        <v>在建建筑物价值</v>
      </c>
    </row>
    <row r="51" spans="1:2" s="1203" customFormat="1">
      <c r="A51" s="1201" t="s">
        <v>551</v>
      </c>
      <c r="B51" s="1202">
        <f ca="1">'预评函-3'!F4</f>
        <v>11646</v>
      </c>
    </row>
    <row r="52" spans="1:2" s="1203" customFormat="1">
      <c r="A52" s="1201" t="s">
        <v>552</v>
      </c>
      <c r="B52" s="1202">
        <f ca="1">'预评函-3'!G4</f>
        <v>3088</v>
      </c>
    </row>
    <row r="53" spans="1:2" s="1203" customFormat="1">
      <c r="A53" s="1201" t="s">
        <v>580</v>
      </c>
      <c r="B53" s="1202" t="str">
        <f ca="1">'预评函-3'!F5</f>
        <v>壹亿壹仟陆佰肆拾陆万元整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为估价委托人在向上海浦发办理贷款手续过程中，确定房地产抵押贷款额度提供参考依据而评估房地产抵押价值。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上海浦发办理贷款手续。上海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45124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45124</v>
      </c>
      <c r="C3" s="2374" t="s">
        <v>2171</v>
      </c>
      <c r="D3" s="2373">
        <f>B3</f>
        <v>45124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59" t="s">
        <v>3439</v>
      </c>
      <c r="C6" s="2384"/>
      <c r="D6" s="2385"/>
      <c r="E6" s="2661"/>
      <c r="F6" s="2663"/>
      <c r="G6" s="2663"/>
      <c r="H6" s="2663"/>
      <c r="I6" s="2663"/>
      <c r="J6" s="2438"/>
      <c r="K6" s="2614" t="str">
        <f>IF(COUNTIF(B6,"*上海银行*"),"上海银行","")</f>
        <v/>
      </c>
      <c r="L6" s="2612"/>
      <c r="M6" s="2612"/>
      <c r="N6" s="2438"/>
      <c r="O6" s="2449"/>
      <c r="P6" s="2438"/>
      <c r="Q6" s="2438"/>
      <c r="R6" s="2438"/>
    </row>
    <row r="7" spans="1:30">
      <c r="A7" s="2383"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3377</v>
      </c>
      <c r="C8" s="2389"/>
      <c r="D8" s="3508" t="s">
        <v>2177</v>
      </c>
      <c r="E8" s="2390" t="s">
        <v>3378</v>
      </c>
      <c r="F8" s="2391"/>
      <c r="G8" s="2662"/>
      <c r="H8" s="2662"/>
      <c r="I8" s="2662"/>
      <c r="J8" s="2438"/>
      <c r="K8" s="2613"/>
      <c r="L8" s="2612"/>
      <c r="M8" s="2612"/>
      <c r="N8" s="2438"/>
      <c r="O8" s="2449"/>
      <c r="P8" s="2438"/>
      <c r="Q8" s="2438"/>
      <c r="R8" s="2438"/>
    </row>
    <row r="9" spans="1:30" ht="13.5" thickBot="1">
      <c r="A9" s="2392" t="s">
        <v>2178</v>
      </c>
      <c r="B9" s="2393" t="s">
        <v>3378</v>
      </c>
      <c r="C9" s="2394"/>
      <c r="D9" s="3509"/>
      <c r="E9" s="2393"/>
      <c r="F9" s="2395"/>
      <c r="G9" s="2664"/>
      <c r="H9" s="2664"/>
      <c r="I9" s="2664"/>
      <c r="J9" s="2438"/>
      <c r="K9" s="2615"/>
      <c r="L9" s="2612"/>
      <c r="M9" s="2612"/>
      <c r="N9" s="2438"/>
      <c r="O9" s="2449"/>
      <c r="P9" s="2438"/>
      <c r="Q9" s="2438"/>
      <c r="R9" s="2438"/>
    </row>
    <row r="10" spans="1:30" ht="13.5" thickTop="1">
      <c r="A10" s="2396" t="s">
        <v>2179</v>
      </c>
      <c r="B10" s="2397" t="s">
        <v>3379</v>
      </c>
      <c r="C10" s="2398"/>
      <c r="D10" s="2382"/>
      <c r="E10" s="2399" t="s">
        <v>2180</v>
      </c>
      <c r="F10" s="2665"/>
      <c r="G10" s="2666"/>
      <c r="H10" s="2667"/>
      <c r="I10" s="2668"/>
      <c r="J10" s="2438"/>
      <c r="K10" s="2615"/>
      <c r="L10" s="2612"/>
      <c r="M10" s="2612"/>
      <c r="N10" s="2438"/>
      <c r="O10" s="2449"/>
      <c r="P10" s="2438"/>
      <c r="Q10" s="2438"/>
      <c r="R10" s="2438"/>
    </row>
    <row r="11" spans="1:30">
      <c r="A11" s="2400" t="s">
        <v>2181</v>
      </c>
      <c r="B11" s="2401" t="s">
        <v>3431</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c r="F13" s="856"/>
      <c r="G13" s="856"/>
      <c r="H13" s="856">
        <v>57526</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33.97</v>
      </c>
      <c r="I15" s="2409" t="str">
        <f>IF(A13="出让",IF(I13="","",ROUNDDOWN(MIN((I13-$D$3)/365,I14),2)),I14)</f>
        <v/>
      </c>
      <c r="J15" s="3063"/>
      <c r="K15" s="2450"/>
      <c r="L15" s="2450"/>
      <c r="M15" s="2508"/>
      <c r="N15" s="2450"/>
      <c r="O15" s="2508"/>
      <c r="P15" s="2438"/>
      <c r="Q15" s="2438"/>
      <c r="AD15" s="1745"/>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37711.240000000005</v>
      </c>
      <c r="D17" s="2322"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18193.39</v>
      </c>
      <c r="D18" s="1092"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3380</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20" t="s">
        <v>2215</v>
      </c>
      <c r="C27" s="2415" t="s">
        <v>3382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2216</v>
      </c>
      <c r="C28" s="2417" t="s">
        <v>3383</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2217</v>
      </c>
      <c r="C29" s="2419" t="s">
        <v>3380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t="s">
        <v>3381</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3384</v>
      </c>
      <c r="C34" s="2026" t="s">
        <v>3385</v>
      </c>
      <c r="D34" s="2026" t="s">
        <v>3386</v>
      </c>
      <c r="E34" s="2026" t="s">
        <v>3387</v>
      </c>
      <c r="F34" s="2026" t="s">
        <v>3388</v>
      </c>
      <c r="G34" s="2026"/>
      <c r="H34" s="2026"/>
      <c r="I34" s="2663"/>
      <c r="J34" s="2438"/>
      <c r="K34" s="2426">
        <f>COUNTIF(B34:H34,"——")</f>
        <v>0</v>
      </c>
      <c r="L34" s="323" t="s">
        <v>2221</v>
      </c>
      <c r="M34" s="323" t="s">
        <v>2222</v>
      </c>
      <c r="N34" s="323" t="s">
        <v>2223</v>
      </c>
      <c r="O34" s="323" t="s">
        <v>2224</v>
      </c>
      <c r="P34" s="323" t="s">
        <v>2225</v>
      </c>
      <c r="Q34" s="323" t="s">
        <v>2226</v>
      </c>
      <c r="R34" s="323" t="s">
        <v>2227</v>
      </c>
      <c r="S34" s="3527" t="s">
        <v>2228</v>
      </c>
      <c r="T34" s="2427" t="str">
        <f>NUMBERSTRING(7-K34,1)&amp;"通"</f>
        <v>七通</v>
      </c>
      <c r="U34" s="2438"/>
      <c r="V34" s="2438"/>
    </row>
    <row r="35" spans="1:30">
      <c r="A35" s="2428"/>
      <c r="B35" s="3534" t="s">
        <v>2229</v>
      </c>
      <c r="C35" s="3534"/>
      <c r="D35" s="3534"/>
      <c r="E35" s="3534"/>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7"/>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3456</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18193.39</v>
      </c>
      <c r="B3" s="11">
        <f>IF(C3="否",G5-AT5,G5)</f>
        <v>37711.240000000005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37711.240000000005</v>
      </c>
      <c r="H5" s="13">
        <f t="shared" ref="H5:AT5" si="0">SUM(H13:H656)</f>
        <v>36123.300000000003</v>
      </c>
      <c r="I5" s="13">
        <f t="shared" si="0"/>
        <v>36123.300000000003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1587.94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222.11</v>
      </c>
      <c r="AM5" s="13">
        <f t="shared" si="0"/>
        <v>0</v>
      </c>
      <c r="AN5" s="13">
        <f t="shared" si="0"/>
        <v>1365.83</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37711.240000000005</v>
      </c>
      <c r="BA5" s="15">
        <f t="shared" si="1"/>
        <v>36123.300000000003</v>
      </c>
      <c r="BB5" s="15">
        <f t="shared" si="1"/>
        <v>36123.300000000003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1587.94</v>
      </c>
      <c r="BM5" s="15">
        <f t="shared" si="1"/>
        <v>0</v>
      </c>
      <c r="BN5" s="15">
        <f t="shared" si="1"/>
        <v>0</v>
      </c>
      <c r="BO5" s="15">
        <f t="shared" si="1"/>
        <v>0</v>
      </c>
      <c r="BP5" s="15">
        <f t="shared" si="1"/>
        <v>0</v>
      </c>
      <c r="BQ5" s="15">
        <f t="shared" si="1"/>
        <v>222.11</v>
      </c>
      <c r="BR5" s="15">
        <f t="shared" si="1"/>
        <v>1365.83</v>
      </c>
      <c r="BS5" s="15">
        <f t="shared" si="1"/>
        <v>0</v>
      </c>
      <c r="BT5" s="16">
        <f t="shared" si="1"/>
        <v>0</v>
      </c>
    </row>
    <row r="6" spans="1:72" s="1589" customFormat="1" ht="12.75">
      <c r="A6" s="12" t="s">
        <v>1072</v>
      </c>
      <c r="B6" s="1586"/>
      <c r="C6" s="1586"/>
      <c r="D6" s="1587"/>
      <c r="E6" s="13">
        <f>H6+AC6+AT6</f>
        <v>18193.39</v>
      </c>
      <c r="F6" s="13" t="s">
        <v>0</v>
      </c>
      <c r="G6" s="13" t="s">
        <v>1</v>
      </c>
      <c r="H6" s="17">
        <f>SUMIF(I$12:AB$12,"总值",I6:AB6)</f>
        <v>17427.310000000001</v>
      </c>
      <c r="I6" s="13">
        <f t="shared" ref="I6:AB6" si="2">ROUND($A$3*I5/$B$3,2)</f>
        <v>17427.310000000001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766.07999999999993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107.15</v>
      </c>
      <c r="AM6" s="13">
        <f t="shared" si="3"/>
        <v>0</v>
      </c>
      <c r="AN6" s="13">
        <f t="shared" si="3"/>
        <v>658.93</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18193.39</v>
      </c>
      <c r="AZ6" s="13" t="s">
        <v>2</v>
      </c>
      <c r="BA6" s="13">
        <f>ROUND($AY$6*BA5/$AZ$5,2)</f>
        <v>17427.310000000001</v>
      </c>
      <c r="BB6" s="13">
        <f>ROUND($AY$6*BB5/$AZ$5,2)</f>
        <v>17427.310000000001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766.08</v>
      </c>
      <c r="BM6" s="13">
        <f t="shared" si="5"/>
        <v>0</v>
      </c>
      <c r="BN6" s="13">
        <f t="shared" si="5"/>
        <v>0</v>
      </c>
      <c r="BO6" s="13">
        <f t="shared" si="5"/>
        <v>0</v>
      </c>
      <c r="BP6" s="13">
        <f t="shared" si="5"/>
        <v>0</v>
      </c>
      <c r="BQ6" s="13">
        <f t="shared" si="5"/>
        <v>107.15</v>
      </c>
      <c r="BR6" s="13">
        <f t="shared" si="5"/>
        <v>658.93</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3440</v>
      </c>
      <c r="D13" s="1625" t="s">
        <v>3389</v>
      </c>
      <c r="E13" s="13">
        <f>IF($C$3="是",ROUND($A$3*G13/$B$3,2),ROUND($A$3*(G13-AT13)/$B$3,2))</f>
        <v>1747.25</v>
      </c>
      <c r="F13" s="29"/>
      <c r="G13" s="30">
        <f>H13+AC13+AT13</f>
        <v>3621.7</v>
      </c>
      <c r="H13" s="17">
        <f>SUMIF(I$12:AB$12,"总值",I13:AB13)</f>
        <v>3621.7</v>
      </c>
      <c r="I13" s="1626">
        <v>3621.7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1#戊类厂房</v>
      </c>
      <c r="AY13" s="1349">
        <f>ROUND($AY$6*AZ13/$AZ$5,2)</f>
        <v>1747.25</v>
      </c>
      <c r="AZ13" s="13">
        <f>BA13+BL13</f>
        <v>3621.7</v>
      </c>
      <c r="BA13" s="13">
        <f>SUM(BB13:BK13)</f>
        <v>3621.7</v>
      </c>
      <c r="BB13" s="13">
        <f>IF($D13="是",I13-J13,0)</f>
        <v>3621.7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1051" t="s">
        <v>3441</v>
      </c>
      <c r="D14" s="1625" t="s">
        <v>3389</v>
      </c>
      <c r="E14" s="13">
        <f>IF($C$3="是",ROUND($A$3*G14/$B$3,2),ROUND($A$3*(G14-AT14)/$B$3,2))</f>
        <v>1365</v>
      </c>
      <c r="F14" s="29"/>
      <c r="G14" s="30">
        <f>H14+AC14+AT14</f>
        <v>2829.38</v>
      </c>
      <c r="H14" s="17">
        <f>SUMIF(I$12:AB$12,"总值",I14:AB14)</f>
        <v>2829.38</v>
      </c>
      <c r="I14" s="1626">
        <v>2829.38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2-1#戊类厂房</v>
      </c>
      <c r="AY14" s="1349">
        <f>ROUND($AY$6*AZ14/$AZ$5,2)</f>
        <v>1365</v>
      </c>
      <c r="AZ14" s="13">
        <f>BA14+BL14</f>
        <v>2829.38</v>
      </c>
      <c r="BA14" s="13">
        <f>SUM(BB14:BK14)</f>
        <v>2829.38</v>
      </c>
      <c r="BB14" s="13">
        <f>IF($D14="是",I14-J14,0)</f>
        <v>2829.38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c r="C15" s="1051" t="s">
        <v>3442</v>
      </c>
      <c r="D15" s="1625" t="s">
        <v>3389</v>
      </c>
      <c r="E15" s="13">
        <f>IF($C$3="是",ROUND($A$3*G15/$B$3,2),ROUND($A$3*(G15-AT15)/$B$3,2))</f>
        <v>1365</v>
      </c>
      <c r="F15" s="29"/>
      <c r="G15" s="30">
        <f>H15+AC15+AT15</f>
        <v>2829.38</v>
      </c>
      <c r="H15" s="17">
        <f>SUMIF(I$12:AB$12,"总值",I15:AB15)</f>
        <v>2829.38</v>
      </c>
      <c r="I15" s="1626">
        <v>2829.38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2-2#戊类厂房</v>
      </c>
      <c r="AY15" s="1349">
        <f>ROUND($AY$6*AZ15/$AZ$5,2)</f>
        <v>1365</v>
      </c>
      <c r="AZ15" s="13">
        <f>BA15+BL15</f>
        <v>2829.38</v>
      </c>
      <c r="BA15" s="13">
        <f>SUM(BB15:BK15)</f>
        <v>2829.38</v>
      </c>
      <c r="BB15" s="13">
        <f>IF($D15="是",I15-J15,0)</f>
        <v>2829.38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051" t="s">
        <v>3443</v>
      </c>
      <c r="D16" s="1625" t="s">
        <v>3389</v>
      </c>
      <c r="E16" s="13">
        <f>IF($C$3="是",ROUND($A$3*G16/$B$3,2),ROUND($A$3*(G16-AT16)/$B$3,2))</f>
        <v>1761.75</v>
      </c>
      <c r="F16" s="29"/>
      <c r="G16" s="30">
        <f>H16+AC16+AT16</f>
        <v>3651.75</v>
      </c>
      <c r="H16" s="17">
        <f>SUMIF(I$12:AB$12,"总值",I16:AB16)</f>
        <v>3530.68</v>
      </c>
      <c r="I16" s="1626">
        <v>3530.68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121.07000000000001</v>
      </c>
      <c r="AD16" s="1627"/>
      <c r="AE16" s="1627"/>
      <c r="AF16" s="1627"/>
      <c r="AG16" s="1627"/>
      <c r="AH16" s="1627"/>
      <c r="AI16" s="1627"/>
      <c r="AJ16" s="1627"/>
      <c r="AK16" s="1627"/>
      <c r="AL16" s="1627">
        <f>85.12+35.95</f>
        <v>121.07000000000001</v>
      </c>
      <c r="AM16" s="1627"/>
      <c r="AN16" s="1627"/>
      <c r="AO16" s="1627"/>
      <c r="AP16" s="1627"/>
      <c r="AQ16" s="1627"/>
      <c r="AR16" s="1627"/>
      <c r="AS16" s="1627"/>
      <c r="AT16" s="1628"/>
      <c r="AU16" s="1629"/>
      <c r="AV16" s="8">
        <f t="shared" si="6"/>
        <v>0</v>
      </c>
      <c r="AW16" s="8">
        <f t="shared" si="6"/>
        <v>0</v>
      </c>
      <c r="AX16" s="8" t="str">
        <f t="shared" si="6"/>
        <v>3-1#戊类厂房</v>
      </c>
      <c r="AY16" s="1349">
        <f>ROUND($AY$6*AZ16/$AZ$5,2)</f>
        <v>1761.75</v>
      </c>
      <c r="AZ16" s="13">
        <f>BA16+BL16</f>
        <v>3651.75</v>
      </c>
      <c r="BA16" s="13">
        <f>SUM(BB16:BK16)</f>
        <v>3530.68</v>
      </c>
      <c r="BB16" s="13">
        <f>IF($D16="是",I16-J16,0)</f>
        <v>3530.68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121.07000000000001</v>
      </c>
      <c r="BM16" s="13">
        <f>IF($D16="是",AD16-AE16,0)</f>
        <v>0</v>
      </c>
      <c r="BN16" s="13">
        <f>IF($D16="是",AF16-AG16,0)</f>
        <v>0</v>
      </c>
      <c r="BO16" s="13">
        <f>IF($D16="是",AH16-AI16,0)</f>
        <v>0</v>
      </c>
      <c r="BP16" s="13">
        <f>IF($D16="是",AJ16-AK16,0)</f>
        <v>0</v>
      </c>
      <c r="BQ16" s="13">
        <f>IF($D16="是",AL16-AM16,0)</f>
        <v>121.07000000000001</v>
      </c>
      <c r="BR16" s="13">
        <f>IF($D16="是",AN16-AO16,0)</f>
        <v>0</v>
      </c>
      <c r="BS16" s="13">
        <f>IF($D16="是",AP16-AQ16,0)</f>
        <v>0</v>
      </c>
      <c r="BT16" s="19">
        <f>IF($D16="是",AR16-AS16,0)</f>
        <v>0</v>
      </c>
    </row>
    <row r="17" spans="1:72" s="1579" customFormat="1" ht="25.5">
      <c r="A17" s="1051"/>
      <c r="B17" s="1051"/>
      <c r="C17" s="1051" t="s">
        <v>3444</v>
      </c>
      <c r="D17" s="1625" t="s">
        <v>3389</v>
      </c>
      <c r="E17" s="13">
        <f>IF($C$3="是",ROUND($A$3*G17/$B$3,2),ROUND($A$3*(G17-AT17)/$B$3,2))</f>
        <v>1703.34</v>
      </c>
      <c r="F17" s="29"/>
      <c r="G17" s="30">
        <f>H17+AC17+AT17</f>
        <v>3530.68</v>
      </c>
      <c r="H17" s="17">
        <f>SUMIF(I$12:AB$12,"总值",I17:AB17)</f>
        <v>3530.68</v>
      </c>
      <c r="I17" s="1626">
        <v>3530.68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3-2#戊类厂房</v>
      </c>
      <c r="AY17" s="1349">
        <f>ROUND($AY$6*AZ17/$AZ$5,2)</f>
        <v>1703.34</v>
      </c>
      <c r="AZ17" s="13">
        <f>BA17+BL17</f>
        <v>3530.68</v>
      </c>
      <c r="BA17" s="13">
        <f>SUM(BB17:BK17)</f>
        <v>3530.68</v>
      </c>
      <c r="BB17" s="13">
        <f>IF($D17="是",I17-J17,0)</f>
        <v>3530.68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051" t="s">
        <v>3445</v>
      </c>
      <c r="D18" s="1625" t="s">
        <v>3389</v>
      </c>
      <c r="E18" s="32">
        <f t="shared" ref="E18:E112" si="7">IF($C$3="是",ROUND($A$3*G18/$B$3,2),ROUND($A$3*(G18-AT18)/$B$3,2))</f>
        <v>1365</v>
      </c>
      <c r="F18" s="33"/>
      <c r="G18" s="34">
        <f t="shared" ref="G18:G109" si="8">H18+AC18+AT18</f>
        <v>2829.38</v>
      </c>
      <c r="H18" s="35">
        <f t="shared" ref="H18:H109" si="9">SUMIF(I$12:AB$12,"总值",I18:AB18)</f>
        <v>2829.38</v>
      </c>
      <c r="I18" s="1626">
        <v>2829.38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1627"/>
      <c r="AM18" s="37"/>
      <c r="AN18" s="1627"/>
      <c r="AO18" s="37"/>
      <c r="AP18" s="37"/>
      <c r="AQ18" s="37"/>
      <c r="AR18" s="37"/>
      <c r="AS18" s="37"/>
      <c r="AT18" s="38"/>
      <c r="AU18" s="1631"/>
      <c r="AV18" s="1343">
        <f t="shared" ref="AV18:AV112" si="11">A18</f>
        <v>0</v>
      </c>
      <c r="AW18" s="1343">
        <f t="shared" ref="AW18:AW112" si="12">B18</f>
        <v>0</v>
      </c>
      <c r="AX18" s="1343" t="str">
        <f t="shared" ref="AX18:AX112" si="13">C18</f>
        <v>4-1#戊类厂房</v>
      </c>
      <c r="AY18" s="39">
        <f t="shared" ref="AY18:AY109" si="14">ROUND($AY$6*AZ18/$AZ$5,2)</f>
        <v>1365</v>
      </c>
      <c r="AZ18" s="32">
        <f t="shared" ref="AZ18:AZ109" si="15">BA18+BL18</f>
        <v>2829.38</v>
      </c>
      <c r="BA18" s="32">
        <f t="shared" ref="BA18:BA109" si="16">SUM(BB18:BK18)</f>
        <v>2829.38</v>
      </c>
      <c r="BB18" s="32">
        <f t="shared" ref="BB18:BB109" si="17">IF($D18="是",I18-J18,0)</f>
        <v>2829.38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c r="C19" s="1051" t="s">
        <v>3446</v>
      </c>
      <c r="D19" s="1625" t="s">
        <v>3389</v>
      </c>
      <c r="E19" s="32">
        <f t="shared" si="7"/>
        <v>1365</v>
      </c>
      <c r="F19" s="33"/>
      <c r="G19" s="34">
        <f t="shared" si="8"/>
        <v>2829.38</v>
      </c>
      <c r="H19" s="35">
        <f t="shared" si="9"/>
        <v>2829.38</v>
      </c>
      <c r="I19" s="1626">
        <v>2829.38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1627"/>
      <c r="AM19" s="37"/>
      <c r="AN19" s="1627"/>
      <c r="AO19" s="37"/>
      <c r="AP19" s="37"/>
      <c r="AQ19" s="37"/>
      <c r="AR19" s="37"/>
      <c r="AS19" s="37"/>
      <c r="AT19" s="38"/>
      <c r="AU19" s="1631"/>
      <c r="AV19" s="1343">
        <f t="shared" si="11"/>
        <v>0</v>
      </c>
      <c r="AW19" s="1343">
        <f t="shared" si="12"/>
        <v>0</v>
      </c>
      <c r="AX19" s="1343" t="str">
        <f t="shared" si="13"/>
        <v>4-2#戊类厂房</v>
      </c>
      <c r="AY19" s="39">
        <f t="shared" si="14"/>
        <v>1365</v>
      </c>
      <c r="AZ19" s="32">
        <f t="shared" si="15"/>
        <v>2829.38</v>
      </c>
      <c r="BA19" s="32">
        <f t="shared" si="16"/>
        <v>2829.38</v>
      </c>
      <c r="BB19" s="32">
        <f t="shared" si="17"/>
        <v>2829.38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1051" t="s">
        <v>3447</v>
      </c>
      <c r="D20" s="1625" t="s">
        <v>3389</v>
      </c>
      <c r="E20" s="32">
        <f t="shared" si="7"/>
        <v>1727.71</v>
      </c>
      <c r="F20" s="33"/>
      <c r="G20" s="34">
        <f t="shared" si="8"/>
        <v>3581.2</v>
      </c>
      <c r="H20" s="35">
        <f t="shared" si="9"/>
        <v>3530.68</v>
      </c>
      <c r="I20" s="1626">
        <v>3530.68</v>
      </c>
      <c r="J20" s="36"/>
      <c r="K20" s="36"/>
      <c r="L20" s="36"/>
      <c r="M20" s="36"/>
      <c r="N20" s="36"/>
      <c r="O20" s="36"/>
      <c r="P20" s="36"/>
      <c r="Q20" s="36"/>
      <c r="R20" s="36"/>
      <c r="S20" s="36"/>
      <c r="T20" s="36"/>
      <c r="U20" s="36"/>
      <c r="V20" s="36"/>
      <c r="W20" s="36"/>
      <c r="X20" s="36"/>
      <c r="Y20" s="36"/>
      <c r="Z20" s="36"/>
      <c r="AA20" s="36"/>
      <c r="AB20" s="36"/>
      <c r="AC20" s="32">
        <f t="shared" si="10"/>
        <v>50.52</v>
      </c>
      <c r="AD20" s="37"/>
      <c r="AE20" s="37"/>
      <c r="AF20" s="37"/>
      <c r="AG20" s="37"/>
      <c r="AH20" s="37"/>
      <c r="AI20" s="37"/>
      <c r="AJ20" s="37"/>
      <c r="AK20" s="37"/>
      <c r="AL20" s="1627">
        <v>50.52</v>
      </c>
      <c r="AM20" s="37"/>
      <c r="AN20" s="1627"/>
      <c r="AO20" s="37"/>
      <c r="AP20" s="37"/>
      <c r="AQ20" s="37"/>
      <c r="AR20" s="37"/>
      <c r="AS20" s="37"/>
      <c r="AT20" s="38"/>
      <c r="AU20" s="1631"/>
      <c r="AV20" s="1343">
        <f t="shared" si="11"/>
        <v>0</v>
      </c>
      <c r="AW20" s="1343">
        <f t="shared" si="12"/>
        <v>0</v>
      </c>
      <c r="AX20" s="1343" t="str">
        <f t="shared" si="13"/>
        <v>5-1#戊类厂房</v>
      </c>
      <c r="AY20" s="39">
        <f t="shared" si="14"/>
        <v>1727.71</v>
      </c>
      <c r="AZ20" s="32">
        <f t="shared" si="15"/>
        <v>3581.2</v>
      </c>
      <c r="BA20" s="32">
        <f t="shared" si="16"/>
        <v>3530.68</v>
      </c>
      <c r="BB20" s="32">
        <f t="shared" si="17"/>
        <v>3530.68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50.52</v>
      </c>
      <c r="BM20" s="32">
        <f t="shared" si="28"/>
        <v>0</v>
      </c>
      <c r="BN20" s="32">
        <f t="shared" si="29"/>
        <v>0</v>
      </c>
      <c r="BO20" s="32">
        <f t="shared" si="30"/>
        <v>0</v>
      </c>
      <c r="BP20" s="32">
        <f t="shared" si="31"/>
        <v>0</v>
      </c>
      <c r="BQ20" s="32">
        <f t="shared" si="32"/>
        <v>50.52</v>
      </c>
      <c r="BR20" s="32">
        <f t="shared" si="33"/>
        <v>0</v>
      </c>
      <c r="BS20" s="32">
        <f t="shared" si="34"/>
        <v>0</v>
      </c>
      <c r="BT20" s="40">
        <f t="shared" si="35"/>
        <v>0</v>
      </c>
    </row>
    <row r="21" spans="1:72" ht="28.5">
      <c r="A21" s="6"/>
      <c r="B21" s="31"/>
      <c r="C21" s="1051" t="s">
        <v>3448</v>
      </c>
      <c r="D21" s="1625" t="s">
        <v>3389</v>
      </c>
      <c r="E21" s="32">
        <f t="shared" si="7"/>
        <v>1703.34</v>
      </c>
      <c r="F21" s="33"/>
      <c r="G21" s="34">
        <f t="shared" si="8"/>
        <v>3530.68</v>
      </c>
      <c r="H21" s="35">
        <f t="shared" si="9"/>
        <v>3530.68</v>
      </c>
      <c r="I21" s="1626">
        <v>3530.68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1627"/>
      <c r="AM21" s="37"/>
      <c r="AN21" s="1627"/>
      <c r="AO21" s="37"/>
      <c r="AP21" s="37"/>
      <c r="AQ21" s="37"/>
      <c r="AR21" s="37"/>
      <c r="AS21" s="37"/>
      <c r="AT21" s="38"/>
      <c r="AU21" s="1631"/>
      <c r="AV21" s="1343">
        <f t="shared" si="11"/>
        <v>0</v>
      </c>
      <c r="AW21" s="1343">
        <f t="shared" si="12"/>
        <v>0</v>
      </c>
      <c r="AX21" s="1343" t="str">
        <f t="shared" si="13"/>
        <v>5-2#戊类厂房</v>
      </c>
      <c r="AY21" s="39">
        <f t="shared" si="14"/>
        <v>1703.34</v>
      </c>
      <c r="AZ21" s="32">
        <f t="shared" si="15"/>
        <v>3530.68</v>
      </c>
      <c r="BA21" s="32">
        <f t="shared" si="16"/>
        <v>3530.68</v>
      </c>
      <c r="BB21" s="32">
        <f t="shared" si="17"/>
        <v>3530.68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28.5">
      <c r="A22" s="6"/>
      <c r="B22" s="31"/>
      <c r="C22" s="1051" t="s">
        <v>3449</v>
      </c>
      <c r="D22" s="1625" t="s">
        <v>3389</v>
      </c>
      <c r="E22" s="32">
        <f t="shared" si="7"/>
        <v>1727.71</v>
      </c>
      <c r="F22" s="33"/>
      <c r="G22" s="34">
        <f t="shared" si="8"/>
        <v>3581.2</v>
      </c>
      <c r="H22" s="35">
        <f t="shared" si="9"/>
        <v>3530.68</v>
      </c>
      <c r="I22" s="1626">
        <v>3530.68</v>
      </c>
      <c r="J22" s="36"/>
      <c r="K22" s="36"/>
      <c r="L22" s="36"/>
      <c r="M22" s="36"/>
      <c r="N22" s="36"/>
      <c r="O22" s="36"/>
      <c r="P22" s="36"/>
      <c r="Q22" s="36"/>
      <c r="R22" s="36"/>
      <c r="S22" s="36"/>
      <c r="T22" s="36"/>
      <c r="U22" s="36"/>
      <c r="V22" s="36"/>
      <c r="W22" s="36"/>
      <c r="X22" s="36"/>
      <c r="Y22" s="36"/>
      <c r="Z22" s="36"/>
      <c r="AA22" s="36"/>
      <c r="AB22" s="36"/>
      <c r="AC22" s="32">
        <f t="shared" si="10"/>
        <v>50.52</v>
      </c>
      <c r="AD22" s="37"/>
      <c r="AE22" s="37"/>
      <c r="AF22" s="37"/>
      <c r="AG22" s="37"/>
      <c r="AH22" s="37"/>
      <c r="AI22" s="37"/>
      <c r="AJ22" s="37"/>
      <c r="AK22" s="37"/>
      <c r="AL22" s="1627">
        <v>50.52</v>
      </c>
      <c r="AM22" s="37"/>
      <c r="AN22" s="1627"/>
      <c r="AO22" s="37"/>
      <c r="AP22" s="37"/>
      <c r="AQ22" s="37"/>
      <c r="AR22" s="37"/>
      <c r="AS22" s="37"/>
      <c r="AT22" s="38"/>
      <c r="AU22" s="1631"/>
      <c r="AV22" s="1343">
        <f t="shared" si="11"/>
        <v>0</v>
      </c>
      <c r="AW22" s="1343">
        <f t="shared" si="12"/>
        <v>0</v>
      </c>
      <c r="AX22" s="1343" t="str">
        <f t="shared" si="13"/>
        <v>6-1#戊类厂房</v>
      </c>
      <c r="AY22" s="39">
        <f t="shared" si="14"/>
        <v>1727.71</v>
      </c>
      <c r="AZ22" s="32">
        <f t="shared" si="15"/>
        <v>3581.2</v>
      </c>
      <c r="BA22" s="32">
        <f t="shared" si="16"/>
        <v>3530.68</v>
      </c>
      <c r="BB22" s="32">
        <f t="shared" si="17"/>
        <v>3530.68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50.52</v>
      </c>
      <c r="BM22" s="32">
        <f t="shared" si="28"/>
        <v>0</v>
      </c>
      <c r="BN22" s="32">
        <f t="shared" si="29"/>
        <v>0</v>
      </c>
      <c r="BO22" s="32">
        <f t="shared" si="30"/>
        <v>0</v>
      </c>
      <c r="BP22" s="32">
        <f t="shared" si="31"/>
        <v>0</v>
      </c>
      <c r="BQ22" s="32">
        <f t="shared" si="32"/>
        <v>50.52</v>
      </c>
      <c r="BR22" s="32">
        <f t="shared" si="33"/>
        <v>0</v>
      </c>
      <c r="BS22" s="32">
        <f t="shared" si="34"/>
        <v>0</v>
      </c>
      <c r="BT22" s="40">
        <f t="shared" si="35"/>
        <v>0</v>
      </c>
    </row>
    <row r="23" spans="1:72" ht="28.5">
      <c r="A23" s="6"/>
      <c r="B23" s="31"/>
      <c r="C23" s="1051" t="s">
        <v>3450</v>
      </c>
      <c r="D23" s="1625" t="s">
        <v>3389</v>
      </c>
      <c r="E23" s="32">
        <f t="shared" si="7"/>
        <v>1703.34</v>
      </c>
      <c r="F23" s="33"/>
      <c r="G23" s="34">
        <f t="shared" si="8"/>
        <v>3530.68</v>
      </c>
      <c r="H23" s="35">
        <f t="shared" si="9"/>
        <v>3530.68</v>
      </c>
      <c r="I23" s="1626">
        <v>3530.68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6-2#戊类厂房</v>
      </c>
      <c r="AY23" s="39">
        <f t="shared" si="14"/>
        <v>1703.34</v>
      </c>
      <c r="AZ23" s="32">
        <f t="shared" si="15"/>
        <v>3530.68</v>
      </c>
      <c r="BA23" s="32">
        <f t="shared" si="16"/>
        <v>3530.68</v>
      </c>
      <c r="BB23" s="32">
        <f t="shared" si="17"/>
        <v>3530.68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60" t="s">
        <v>3451</v>
      </c>
      <c r="D24" s="1625" t="s">
        <v>3389</v>
      </c>
      <c r="E24" s="32">
        <f t="shared" si="7"/>
        <v>658.93</v>
      </c>
      <c r="F24" s="33"/>
      <c r="G24" s="34">
        <f t="shared" si="8"/>
        <v>1365.83</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1365.83</v>
      </c>
      <c r="AD24" s="37"/>
      <c r="AE24" s="37"/>
      <c r="AF24" s="37"/>
      <c r="AG24" s="37"/>
      <c r="AH24" s="37"/>
      <c r="AI24" s="37"/>
      <c r="AJ24" s="37"/>
      <c r="AK24" s="37"/>
      <c r="AL24" s="37"/>
      <c r="AM24" s="37"/>
      <c r="AN24" s="37">
        <v>1365.83</v>
      </c>
      <c r="AO24" s="37"/>
      <c r="AP24" s="37"/>
      <c r="AQ24" s="37"/>
      <c r="AR24" s="37"/>
      <c r="AS24" s="37"/>
      <c r="AT24" s="38"/>
      <c r="AU24" s="1631"/>
      <c r="AV24" s="1343">
        <f t="shared" si="11"/>
        <v>0</v>
      </c>
      <c r="AW24" s="1343">
        <f t="shared" si="12"/>
        <v>0</v>
      </c>
      <c r="AX24" s="1343" t="str">
        <f t="shared" si="13"/>
        <v>地下室</v>
      </c>
      <c r="AY24" s="39">
        <f t="shared" si="14"/>
        <v>658.93</v>
      </c>
      <c r="AZ24" s="32">
        <f t="shared" si="15"/>
        <v>1365.83</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1365.83</v>
      </c>
      <c r="BM24" s="32">
        <f t="shared" si="28"/>
        <v>0</v>
      </c>
      <c r="BN24" s="32">
        <f t="shared" si="29"/>
        <v>0</v>
      </c>
      <c r="BO24" s="32">
        <f t="shared" si="30"/>
        <v>0</v>
      </c>
      <c r="BP24" s="32">
        <f t="shared" si="31"/>
        <v>0</v>
      </c>
      <c r="BQ24" s="32">
        <f t="shared" si="32"/>
        <v>0</v>
      </c>
      <c r="BR24" s="32">
        <f t="shared" si="33"/>
        <v>1365.83</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8"/>
      <c r="G2" s="2649"/>
      <c r="H2" s="2650"/>
      <c r="I2" s="2325" t="s">
        <v>1132</v>
      </c>
      <c r="J2" s="2658"/>
      <c r="K2" s="2658"/>
      <c r="L2" s="2658"/>
      <c r="M2" s="2658"/>
      <c r="N2" s="2660"/>
      <c r="O2" s="2658"/>
      <c r="P2" s="2658"/>
    </row>
    <row r="3" spans="1:16" ht="15.75" thickBot="1">
      <c r="A3" s="3545" t="s">
        <v>1105</v>
      </c>
      <c r="B3" s="3545"/>
      <c r="C3" s="3545"/>
      <c r="D3" s="43">
        <f>'数据-基础表'!AY6</f>
        <v>18193.39</v>
      </c>
      <c r="E3" s="43">
        <f>'数据-基础表'!AZ5</f>
        <v>37711.240000000005</v>
      </c>
      <c r="F3" s="2658"/>
      <c r="G3" s="1145"/>
      <c r="H3" s="1026" t="s">
        <v>1106</v>
      </c>
      <c r="I3" s="855">
        <f>ROUND('数据-基础表'!B3/'数据-基础表'!A3,2)</f>
        <v>2.0699999999999998</v>
      </c>
      <c r="J3" s="2658"/>
      <c r="K3" s="2658"/>
      <c r="L3" s="2658"/>
      <c r="M3" s="2658"/>
      <c r="N3" s="2660"/>
      <c r="O3" s="2658"/>
      <c r="P3" s="2658"/>
    </row>
    <row r="4" spans="1:16" ht="15">
      <c r="A4" s="3546"/>
      <c r="B4" s="3547"/>
      <c r="C4" s="3548"/>
      <c r="D4" s="1641" t="s">
        <v>1107</v>
      </c>
      <c r="E4" s="1642" t="s">
        <v>1108</v>
      </c>
      <c r="F4" s="2658"/>
      <c r="G4" s="2651" t="s">
        <v>1133</v>
      </c>
      <c r="H4" s="1026" t="s">
        <v>1113</v>
      </c>
      <c r="I4" s="855">
        <f>ROUND(SUMIF('数据-基础表'!I9:AS9,"地上",'数据-基础表'!I5:AS5)/'数据-基础表'!A3,2)</f>
        <v>2</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5"/>
      <c r="H5" s="1026" t="s">
        <v>1106</v>
      </c>
      <c r="I5" s="855">
        <f>ROUND(E31/D31,2)</f>
        <v>2.0699999999999998</v>
      </c>
      <c r="J5" s="2658"/>
      <c r="K5" s="2658"/>
      <c r="L5" s="2658"/>
      <c r="M5" s="2658"/>
      <c r="N5" s="2658"/>
      <c r="O5" s="2658"/>
      <c r="P5" s="2658"/>
    </row>
    <row r="6" spans="1:16" ht="15" thickBot="1">
      <c r="A6" s="1644"/>
      <c r="B6" s="3549" t="s">
        <v>1111</v>
      </c>
      <c r="C6" s="3549"/>
      <c r="D6" s="45">
        <f>ROUND($D$3*E6/$E$3,2)</f>
        <v>18193.39</v>
      </c>
      <c r="E6" s="46">
        <f>E3-E5</f>
        <v>37711.240000000005</v>
      </c>
      <c r="F6" s="2658"/>
      <c r="G6" s="2652" t="s">
        <v>1112</v>
      </c>
      <c r="H6" s="1146" t="s">
        <v>1113</v>
      </c>
      <c r="I6" s="2653">
        <f>ROUND(F31/D31,2)</f>
        <v>2</v>
      </c>
      <c r="J6" s="2658"/>
      <c r="K6" s="2658"/>
      <c r="L6" s="2658"/>
      <c r="M6" s="2658"/>
      <c r="N6" s="2658"/>
      <c r="O6" s="2658"/>
      <c r="P6" s="2658"/>
    </row>
    <row r="7" spans="1:16" ht="15.75" thickBot="1">
      <c r="A7" s="3541"/>
      <c r="B7" s="3542"/>
      <c r="C7" s="3543"/>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17427.310000000001</v>
      </c>
      <c r="E8" s="48">
        <f>SUMIF('数据-基础表'!BB10:BK10,"地上",'数据-基础表'!BB5:BK5)</f>
        <v>36123.300000000003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17427.310000000001</v>
      </c>
      <c r="E16" s="50">
        <f>SUM(E8:E15)</f>
        <v>36123.300000000003</v>
      </c>
      <c r="F16" s="2658"/>
      <c r="G16" s="2659"/>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3452</v>
      </c>
      <c r="D19" s="45">
        <f>ROUND($D$3*E19/$E$3,2)</f>
        <v>17427.310000000001</v>
      </c>
      <c r="E19" s="53">
        <f t="shared" ref="E19:E26" si="1">SUM(F19:G19)</f>
        <v>36123.300000000003</v>
      </c>
      <c r="F19" s="2794">
        <f>'数据-基础表'!I5</f>
        <v>36123.300000000003</v>
      </c>
      <c r="G19" s="2795"/>
      <c r="H19" s="670">
        <f>ROUND($D$3*I19/$E$3,2)</f>
        <v>766.08</v>
      </c>
      <c r="I19" s="48">
        <f t="shared" ref="I19:I26" si="2">IF($I$17="自定义",P19,M19)</f>
        <v>1587.94</v>
      </c>
      <c r="J19" s="1139"/>
      <c r="K19" s="1138">
        <f t="shared" ref="K19:K26" si="3">ROUND(E$28*E19/E$27,2)</f>
        <v>1587.94</v>
      </c>
      <c r="L19" s="1026">
        <f t="shared" ref="L19:L26" si="4">ROUND(IF(COUNTIF(C19,"*住宅*")&gt;0,E$29*E19/E$32,0),2)</f>
        <v>0</v>
      </c>
      <c r="M19" s="1150">
        <f>K19+L19</f>
        <v>1587.94</v>
      </c>
      <c r="N19" s="1668"/>
      <c r="O19" s="1669"/>
      <c r="P19" s="1150">
        <f>N19+O19</f>
        <v>0</v>
      </c>
      <c r="R19" s="1026">
        <f t="shared" ref="R19:S26" si="5">D19+H19</f>
        <v>18193.390000000003</v>
      </c>
      <c r="S19" s="1027">
        <f t="shared" si="5"/>
        <v>37711.240000000005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17427.310000000001</v>
      </c>
      <c r="E27" s="1141">
        <f>IF(SUM(E19:E26)='数据-基础表'!BA5,SUM(E19:E26),IF(F27="地上面积有误","面积有误","地下面积有误"))</f>
        <v>36123.300000000003</v>
      </c>
      <c r="F27" s="1140">
        <f>IF(SUM(F19:F26)=E8,SUM(F19:F26),"地上面积有误")</f>
        <v>36123.300000000003</v>
      </c>
      <c r="G27" s="1142">
        <f>SUM(G19:G26)</f>
        <v>0</v>
      </c>
      <c r="H27" s="1143">
        <f>SUM(H19:H26)</f>
        <v>766.08</v>
      </c>
      <c r="I27" s="1144">
        <f>SUM(I19:I26)</f>
        <v>1587.94</v>
      </c>
      <c r="J27" s="1139"/>
      <c r="K27" s="1147">
        <f>SUM(K19:K26)</f>
        <v>1587.94</v>
      </c>
      <c r="L27" s="1148">
        <f>SUM(L19:L26)</f>
        <v>0</v>
      </c>
      <c r="M27" s="1151">
        <f>SUM(M19:M26)</f>
        <v>1587.94</v>
      </c>
      <c r="N27" s="1147">
        <f t="shared" ref="N27:O27" si="10">SUM(N19:N26)</f>
        <v>0</v>
      </c>
      <c r="O27" s="1148">
        <f t="shared" si="10"/>
        <v>0</v>
      </c>
      <c r="P27" s="1149">
        <f>SUM(P19:P26)</f>
        <v>0</v>
      </c>
      <c r="R27" s="1028">
        <f>IF(SUM(R19:R26)=$D$3,SUM(R19:R26),SUM(R19:R26)&amp;"误差"&amp;ROUND(SUM(R19:R26)-$D$3,2))</f>
        <v>18193.390000000003</v>
      </c>
      <c r="S27" s="1026">
        <f>IF(SUM(S19:S26)=$E$3,SUM(S19:S26),SUM(S19:S26)&amp;"误差"&amp;ROUND(SUM(S19:S26)-E3,2))</f>
        <v>37711.240000000005</v>
      </c>
    </row>
    <row r="28" spans="1:19">
      <c r="A28" s="1670"/>
      <c r="B28" s="47" t="s">
        <v>1155</v>
      </c>
      <c r="C28" s="1038" t="s">
        <v>1156</v>
      </c>
      <c r="D28" s="45">
        <f>ROUND($D$3*E28/$E$3,2)</f>
        <v>766.08</v>
      </c>
      <c r="E28" s="53">
        <f>SUM(F28:G28)</f>
        <v>1587.94</v>
      </c>
      <c r="F28" s="56">
        <f>'数据-基础表'!BQ5+'数据-基础表'!BS5</f>
        <v>222.11</v>
      </c>
      <c r="G28" s="57">
        <f>'数据-基础表'!BR5+'数据-基础表'!BT5</f>
        <v>1365.83</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766.08</v>
      </c>
      <c r="E30" s="1140">
        <f>SUM(E28:E29)</f>
        <v>1587.94</v>
      </c>
      <c r="F30" s="1140">
        <f>SUM(F28:F29)</f>
        <v>222.11</v>
      </c>
      <c r="G30" s="1142">
        <f>SUM(G28:G29)</f>
        <v>1365.83</v>
      </c>
      <c r="H30" s="2658"/>
      <c r="I30" s="2658"/>
      <c r="J30" s="2658"/>
      <c r="K30" s="2658"/>
      <c r="L30" s="2658"/>
      <c r="M30" s="2658"/>
      <c r="N30" s="2658"/>
      <c r="O30" s="2658"/>
      <c r="P30" s="2658"/>
    </row>
    <row r="31" spans="1:19" ht="15.75" thickBot="1">
      <c r="A31" s="1676"/>
      <c r="B31" s="1677"/>
      <c r="C31" s="835" t="s">
        <v>1158</v>
      </c>
      <c r="D31" s="676">
        <f>D27+D30</f>
        <v>18193.390000000003</v>
      </c>
      <c r="E31" s="676">
        <f>E27+E30</f>
        <v>37711.240000000005</v>
      </c>
      <c r="F31" s="677">
        <f>F27+F30</f>
        <v>36345.410000000003</v>
      </c>
      <c r="G31" s="678">
        <f>G27+G30</f>
        <v>1365.83</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57526</v>
      </c>
      <c r="F6" s="64">
        <f>SUMIF(项目基本情况!C$12:I$12,C6,项目基本情况!C$15:I$15)</f>
        <v>33.97</v>
      </c>
      <c r="G6" s="65">
        <f>IF(ISERROR(ROUND(POWER(1+H6,D6-F6)*(POWER(1+H6,F6)-1)/(POWER(1+H6,D6)-1),3)),0,ROUND(POWER(1+H6,D6-F6)*(POWER(1+H6,F6)-1)/(POWER(1+H6,D6)-1),3))</f>
        <v>0.872</v>
      </c>
      <c r="H6" s="732">
        <v>4.4999999999999998E-2</v>
      </c>
      <c r="I6" s="732">
        <v>0.05</v>
      </c>
      <c r="J6" s="66">
        <v>7.0000000000000007E-2</v>
      </c>
      <c r="K6" s="1030">
        <f>SUMIF('数据-汇总表'!C$19:C$33,A6,'数据-汇总表'!E$19:E$33)</f>
        <v>36123.300000000003</v>
      </c>
      <c r="L6" s="3453">
        <v>3000</v>
      </c>
      <c r="M6" s="67">
        <f t="shared" ref="M6:M14" si="0">ROUND(K6*L6/10000,0)</f>
        <v>10837</v>
      </c>
      <c r="N6" s="731">
        <v>0.99</v>
      </c>
      <c r="O6" s="67">
        <f>IF($N$5="成新度","——",ROUND(M6*N6,0))</f>
        <v>10729</v>
      </c>
      <c r="P6" s="68">
        <f>IF($N$5="成新度","——",M6-O6)</f>
        <v>108</v>
      </c>
      <c r="Q6" s="734">
        <v>0.1</v>
      </c>
      <c r="R6" s="69">
        <f ca="1">SUMIF('数据-汇总表'!C$19:C$33,A6,'数据-汇总表'!R$19:R$27)</f>
        <v>18193.390000000003</v>
      </c>
      <c r="S6" s="51">
        <f>IF('数据-汇总表'!$I$17="按面积比例",SUMIF('数据-汇总表'!C$19:C$33,A6,'数据-汇总表'!K$19:K$33),SUMIF('数据-汇总表'!C$19:C$33,A6,'数据-汇总表'!N$19:N$33))</f>
        <v>1587.94</v>
      </c>
      <c r="T6" s="1172">
        <f>ROUND($L$14*S6/10000,0)</f>
        <v>0</v>
      </c>
      <c r="U6" s="3456">
        <v>1.7</v>
      </c>
      <c r="V6" s="3454">
        <v>2.5000000000000001E-2</v>
      </c>
      <c r="W6" s="70">
        <v>0.2</v>
      </c>
      <c r="X6" s="1040"/>
      <c r="Y6" s="71">
        <v>1</v>
      </c>
      <c r="Z6" s="72"/>
      <c r="AA6" s="66"/>
      <c r="AB6" s="66"/>
      <c r="AC6" s="1040"/>
      <c r="AD6" s="73"/>
      <c r="AE6" s="1041">
        <f ca="1">IF(AN6="",0,SUMIF(INDIRECT("'"&amp;AN6&amp;"'"&amp;"!E:E"),$AE$5,INDIRECT("'"&amp;AN6&amp;"'"&amp;"!F:F")))</f>
        <v>33.96</v>
      </c>
      <c r="AF6" s="1348"/>
      <c r="AG6" s="138">
        <f>IF(AF6="",0,AE6-AF6)</f>
        <v>0</v>
      </c>
      <c r="AH6" s="74"/>
      <c r="AI6" s="76">
        <v>365</v>
      </c>
      <c r="AJ6" s="77"/>
      <c r="AK6" s="3457">
        <v>8.0000000000000002E-3</v>
      </c>
      <c r="AL6" s="79">
        <v>1E-3</v>
      </c>
      <c r="AM6" s="3458">
        <v>8.0000000000000002E-3</v>
      </c>
      <c r="AN6" s="1715" t="s">
        <v>3396</v>
      </c>
      <c r="AO6" s="52">
        <f ca="1">SUMIF(INDIRECT("'"&amp;AN6&amp;"'"&amp;"!A:A"),"总价",INDIRECT("'"&amp;AN6&amp;"'"&amp;"!B:B"))</f>
        <v>30066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1587.94</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0.872</v>
      </c>
      <c r="H16" s="90">
        <f>ROUND(SUMPRODUCT(H6:H13,K6:K13)/SUMPRODUCT((H6:H13&gt;0)*(K6:K13)),3)</f>
        <v>4.4999999999999998E-2</v>
      </c>
      <c r="I16" s="91"/>
      <c r="J16" s="91"/>
      <c r="K16" s="92">
        <f>SUM(K6:K15)</f>
        <v>37711.240000000005</v>
      </c>
      <c r="L16" s="93">
        <f>ROUND(M16*10000/SUM(K6:K14),0)</f>
        <v>2874</v>
      </c>
      <c r="M16" s="93">
        <f>SUM(M6:M14)</f>
        <v>10837</v>
      </c>
      <c r="N16" s="94">
        <f>ROUND(SUMPRODUCT(M6:M14,N6:N14)/M16,3)</f>
        <v>0.99</v>
      </c>
      <c r="O16" s="93">
        <f>SUM(O6:O14)</f>
        <v>10729</v>
      </c>
      <c r="P16" s="93">
        <f>SUM(P6:P14)</f>
        <v>108</v>
      </c>
      <c r="Q16" s="95">
        <f>ROUND(SUMPRODUCT(Q6:Q13,K6:K13)/SUMPRODUCT((Q6:Q13&gt;0)*(K6:K13)),2)</f>
        <v>0.1</v>
      </c>
      <c r="R16" s="1034">
        <f ca="1">SUM(R6:R13)</f>
        <v>18193.390000000003</v>
      </c>
      <c r="S16" s="96">
        <f>SUM(S6:S13)</f>
        <v>1587.94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ROUND(1-(1-0%)*(2023-2008)/60,2)</f>
        <v>0.75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0.99</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0.99</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1.0000000000000009E-2</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31.5" customHeight="1"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686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3469</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2" sqref="G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37711.240000000005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23528</v>
      </c>
      <c r="C5" s="2511">
        <f ca="1">IF(B5=D14,结果表!H102,ROUND(B5*10000/$B$1,0))</f>
        <v>6239</v>
      </c>
      <c r="D5" s="2511" t="e">
        <f ca="1">ROUND(B5*10000/$B$2,0)</f>
        <v>#DIV/0!</v>
      </c>
      <c r="E5" s="2685"/>
      <c r="F5" s="2686"/>
      <c r="G5" s="2686"/>
      <c r="H5" s="2687"/>
      <c r="I5" s="2687"/>
      <c r="J5" s="2687"/>
      <c r="K5" s="2687"/>
    </row>
    <row r="6" spans="1:11" ht="16.5">
      <c r="A6" s="2511" t="s">
        <v>656</v>
      </c>
      <c r="B6" s="2511">
        <f ca="1">SUM(G14:G23)</f>
        <v>23528</v>
      </c>
      <c r="C6" s="2511">
        <f ca="1">IF(B6=G14,结果表!H108,ROUND(B6*10000/$B$1,0))</f>
        <v>6239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37711.240000000005</v>
      </c>
      <c r="C14" s="2517"/>
      <c r="D14" s="2517">
        <f ca="1">结果表!H118</f>
        <v>23528</v>
      </c>
      <c r="E14" s="2517">
        <f ca="1">ROUND(D14*10000/B14,0)</f>
        <v>6239</v>
      </c>
      <c r="F14" s="2517" t="e">
        <f ca="1">ROUND(D14*10000/C14,0)</f>
        <v>#DIV/0!</v>
      </c>
      <c r="G14" s="2517">
        <f ca="1">结果表!H107</f>
        <v>23528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103" zoomScaleNormal="100" zoomScaleSheetLayoutView="100" zoomScalePageLayoutView="80" workbookViewId="0">
      <selection activeCell="L116" sqref="L1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3460</v>
      </c>
      <c r="D4" s="1756" t="s">
        <v>3462</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45</v>
      </c>
      <c r="D14" s="3613">
        <v>55</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45</v>
      </c>
      <c r="D17" s="132">
        <f>SUM(D5:D16)</f>
        <v>55</v>
      </c>
      <c r="E17" s="129"/>
      <c r="F17" s="129"/>
      <c r="G17" s="129"/>
      <c r="H17" s="129"/>
      <c r="I17" s="129"/>
      <c r="K17" s="302"/>
      <c r="L17" s="302" t="s">
        <v>1286</v>
      </c>
      <c r="M17" s="302" t="s">
        <v>1287</v>
      </c>
    </row>
    <row r="18" spans="1:36" ht="31.9" customHeight="1" thickBot="1">
      <c r="A18" s="1759" t="s">
        <v>1288</v>
      </c>
      <c r="B18" s="1760"/>
      <c r="C18" s="133">
        <f>ROUND(C17/SUM(C17:D17),2)</f>
        <v>0.45</v>
      </c>
      <c r="D18" s="133">
        <f>1-C18</f>
        <v>0.55000000000000004</v>
      </c>
      <c r="E18" s="3644" t="s">
        <v>2131</v>
      </c>
      <c r="F18" s="3645"/>
      <c r="G18" s="3645"/>
      <c r="H18" s="3645"/>
      <c r="I18" s="3645"/>
      <c r="K18" s="302" t="s">
        <v>1289</v>
      </c>
      <c r="L18" s="302">
        <f>IF(C1="",'数据-汇总表'!E3,SUMIF(项目类型,C1,'数据-汇总表'!E17:E26)+SUMIF(项目类型,C1,'数据-汇总表'!I17:I26))</f>
        <v>37711.240000000005</v>
      </c>
      <c r="M18" s="302">
        <f>IF(C1="",'数据-汇总表'!E3,SUMIF(项目类型,C1,'数据-汇总表'!E17:E26))</f>
        <v>37711.240000000005</v>
      </c>
    </row>
    <row r="19" spans="1:36" ht="15">
      <c r="A19" s="1761" t="s">
        <v>1290</v>
      </c>
      <c r="B19" s="1762" t="s">
        <v>1291</v>
      </c>
      <c r="C19" s="134">
        <f ca="1">SUMIF(INDIRECT("'"&amp;C4&amp;"'"&amp;"!A:A"),结果表!B19,INDIRECT("'"&amp;C4&amp;"'"&amp;"!B:B"))</f>
        <v>18700</v>
      </c>
      <c r="D19" s="135">
        <f ca="1">SUMIF(INDIRECT("'"&amp;D4&amp;"'"&amp;"!A:A"),结果表!B19,INDIRECT("'"&amp;D4&amp;"'"&amp;"!B:B"))</f>
        <v>27479</v>
      </c>
      <c r="E19" s="1761" t="s">
        <v>1292</v>
      </c>
      <c r="F19" s="1762" t="s">
        <v>1291</v>
      </c>
      <c r="G19" s="136">
        <f ca="1">ROUND(C19*$C$18+D19*$D$18,0)</f>
        <v>23528</v>
      </c>
      <c r="H19" s="1763" t="s">
        <v>1293</v>
      </c>
      <c r="I19" s="129"/>
      <c r="K19" s="302" t="s">
        <v>1294</v>
      </c>
      <c r="L19" s="302">
        <f>IF(C1="",'数据-汇总表'!D3,SUMIF(项目类型,C1,'数据-汇总表'!D17:D26)+SUMIF(项目类型,C1,'数据-汇总表'!H17:H27))</f>
        <v>18193.39</v>
      </c>
      <c r="M19" s="302">
        <f>IF(C1="",'数据-汇总表'!D3,SUMIF(项目类型,C1,'数据-汇总表'!D17:D26))</f>
        <v>18193.39</v>
      </c>
    </row>
    <row r="20" spans="1:36" ht="15">
      <c r="A20" s="1764"/>
      <c r="B20" s="1026" t="s">
        <v>1295</v>
      </c>
      <c r="C20" s="137">
        <f ca="1">SUMIF(INDIRECT("'"&amp;C4&amp;"'"&amp;"!A:A"),结果表!B20,INDIRECT("'"&amp;C4&amp;"'"&amp;"!B:B"))</f>
        <v>4959</v>
      </c>
      <c r="D20" s="138">
        <f ca="1">SUMIF(INDIRECT("'"&amp;D4&amp;"'"&amp;"!A:A"),结果表!B20,INDIRECT("'"&amp;D4&amp;"'"&amp;"!B:B"))</f>
        <v>7287</v>
      </c>
      <c r="E20" s="1764"/>
      <c r="F20" s="1026" t="s">
        <v>1295</v>
      </c>
      <c r="G20" s="139">
        <f ca="1">ROUND(C20*$C$18+D20*$D$18,0)</f>
        <v>6239</v>
      </c>
      <c r="H20" s="808" t="s">
        <v>1296</v>
      </c>
      <c r="I20" s="129"/>
    </row>
    <row r="21" spans="1:36" ht="15" customHeight="1" thickBot="1">
      <c r="A21" s="828"/>
      <c r="B21" s="1765" t="s">
        <v>1297</v>
      </c>
      <c r="C21" s="719">
        <f ca="1">ROUND(C19*10000/L19,0)</f>
        <v>10278</v>
      </c>
      <c r="D21" s="720">
        <f ca="1">ROUND(D19*10000/L19,0)</f>
        <v>15104</v>
      </c>
      <c r="E21" s="828"/>
      <c r="F21" s="1765" t="s">
        <v>1297</v>
      </c>
      <c r="G21" s="140">
        <f ca="1">ROUND(G19*10000/L19,0)</f>
        <v>12932</v>
      </c>
      <c r="H21" s="1766" t="s">
        <v>1296</v>
      </c>
      <c r="I21" s="129"/>
    </row>
    <row r="22" spans="1:36" ht="15" thickBot="1">
      <c r="A22" s="1688" t="s">
        <v>1298</v>
      </c>
      <c r="B22" s="1767"/>
      <c r="C22" s="1768"/>
      <c r="D22" s="721">
        <f ca="1">IF(C19&lt;D19,D19/C19-1,C19/D19-1)</f>
        <v>0.46946524064171125</v>
      </c>
      <c r="E22" s="129"/>
      <c r="F22" s="3462" t="s">
        <v>3468</v>
      </c>
      <c r="G22" s="3462"/>
      <c r="H22" s="3462"/>
      <c r="I22" s="129"/>
    </row>
    <row r="23" spans="1:36" ht="13.5" thickBot="1">
      <c r="A23" s="1747"/>
      <c r="B23" s="1747"/>
      <c r="C23" s="1747"/>
      <c r="D23" s="1747"/>
      <c r="E23" s="129"/>
      <c r="F23" s="3462" t="s">
        <v>3465</v>
      </c>
      <c r="G23" s="3462">
        <v>23513</v>
      </c>
      <c r="H23" s="3462" t="s">
        <v>3466</v>
      </c>
      <c r="I23" s="129"/>
    </row>
    <row r="24" spans="1:36" ht="14.25">
      <c r="A24" s="3637" t="s">
        <v>1299</v>
      </c>
      <c r="B24" s="1762" t="s">
        <v>1291</v>
      </c>
      <c r="C24" s="136">
        <f>IF(B30=0,0,D30)</f>
        <v>0</v>
      </c>
      <c r="D24" s="1769"/>
      <c r="E24" s="129"/>
      <c r="F24" s="3462" t="s">
        <v>3426</v>
      </c>
      <c r="G24" s="3462">
        <v>6235</v>
      </c>
      <c r="H24" s="3462" t="s">
        <v>3358</v>
      </c>
      <c r="I24" s="129"/>
    </row>
    <row r="25" spans="1:36" ht="14.25">
      <c r="A25" s="3638"/>
      <c r="B25" s="1026" t="s">
        <v>1295</v>
      </c>
      <c r="C25" s="141">
        <f>IF(B30=0,0,C30)</f>
        <v>0</v>
      </c>
      <c r="D25" s="1770"/>
      <c r="E25" s="129"/>
      <c r="F25" s="3462" t="s">
        <v>3467</v>
      </c>
      <c r="G25" s="3462">
        <v>12924</v>
      </c>
      <c r="H25" s="3462" t="s">
        <v>3358</v>
      </c>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23528</v>
      </c>
      <c r="D32" s="1775" t="s">
        <v>3465</v>
      </c>
      <c r="E32" s="129"/>
      <c r="F32" s="129"/>
      <c r="G32" s="129"/>
      <c r="H32" s="129"/>
      <c r="I32" s="129"/>
    </row>
    <row r="33" spans="1:15" ht="15">
      <c r="A33" s="786" t="s">
        <v>1306</v>
      </c>
      <c r="B33" s="1776"/>
      <c r="C33" s="1777" t="s">
        <v>3459</v>
      </c>
      <c r="D33" s="1778" t="s">
        <v>3396</v>
      </c>
      <c r="E33" s="1779" t="s">
        <v>1307</v>
      </c>
      <c r="F33" s="1780" t="str">
        <f>IF(D32="楼面单价","取值（单价）","取值（总价）")</f>
        <v>取值（总价）</v>
      </c>
      <c r="G33" s="129"/>
      <c r="H33" s="129"/>
      <c r="I33" s="129"/>
    </row>
    <row r="34" spans="1:15" ht="15">
      <c r="A34" s="1781"/>
      <c r="B34" s="1782" t="s">
        <v>1308</v>
      </c>
      <c r="C34" s="148">
        <f ca="1">IF(C33="自定义",F34,C32-C35)</f>
        <v>11882</v>
      </c>
      <c r="D34" s="861">
        <f ca="1">IF(C33="自定义",ROUND(C34/C32,3),IF(C33="收益比率",SUMIF(INDIRECT("'"&amp;D33&amp;"'"&amp;"!b:b"),"土地收益比率",INDIRECT("'"&amp;D33&amp;"'"&amp;"!c:c")),SUMIF(INDIRECT("'"&amp;D33&amp;"'"&amp;"!b:b"),"土地成本比率",INDIRECT("'"&amp;D33&amp;"'"&amp;"!c:c"))))</f>
        <v>0.505</v>
      </c>
      <c r="E34" s="1783" t="s">
        <v>1309</v>
      </c>
      <c r="F34" s="1330"/>
      <c r="G34" s="129"/>
      <c r="H34" s="129"/>
      <c r="I34" s="129"/>
    </row>
    <row r="35" spans="1:15" ht="15.75" thickBot="1">
      <c r="A35" s="1784"/>
      <c r="B35" s="1785" t="s">
        <v>1310</v>
      </c>
      <c r="C35" s="1170">
        <f ca="1">IF(C33="自定义",F35,ROUND(C32*D35,0))</f>
        <v>11646</v>
      </c>
      <c r="D35" s="1171">
        <f ca="1">IF(C33="自定义",ROUND(C35/C32,3),IF(C33="收益比率",SUMIF(INDIRECT("'"&amp;D33&amp;"'"&amp;"!b:b"),"建筑物收益比率",INDIRECT("'"&amp;D33&amp;"'"&amp;"!c:c")),SUMIF(INDIRECT("'"&amp;D33&amp;"'"&amp;"!b:b"),"建筑物成本比率",INDIRECT("'"&amp;D33&amp;"'"&amp;"!c:c"))))</f>
        <v>0.495</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23528</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2">
        <v>1</v>
      </c>
      <c r="K46" s="3555" t="s">
        <v>1331</v>
      </c>
      <c r="L46" s="3555"/>
      <c r="M46" s="3556"/>
      <c r="N46" s="3556"/>
      <c r="O46" s="3556"/>
    </row>
    <row r="47" spans="1:15" ht="12" customHeight="1">
      <c r="A47" s="160" t="s">
        <v>1332</v>
      </c>
      <c r="B47" s="161"/>
      <c r="C47" s="162"/>
      <c r="D47" s="1087" t="s">
        <v>1333</v>
      </c>
      <c r="E47" s="302" t="s">
        <v>1334</v>
      </c>
      <c r="F47" s="163" t="s">
        <v>1335</v>
      </c>
      <c r="G47" s="2545" t="s">
        <v>1336</v>
      </c>
      <c r="H47" s="2546"/>
      <c r="I47" s="159"/>
      <c r="J47" s="2522">
        <v>2</v>
      </c>
      <c r="K47" s="3555" t="s">
        <v>1337</v>
      </c>
      <c r="L47" s="3555"/>
      <c r="M47" s="3557">
        <f>'数据-取费表'!B2</f>
        <v>45124</v>
      </c>
      <c r="N47" s="3557"/>
      <c r="O47" s="3557"/>
    </row>
    <row r="48" spans="1:15" ht="25.5">
      <c r="A48" s="3617" t="s">
        <v>1338</v>
      </c>
      <c r="B48" s="3618"/>
      <c r="C48" s="3618"/>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55" t="s">
        <v>1340</v>
      </c>
      <c r="L48" s="3555"/>
      <c r="M48" s="3558">
        <f ca="1">H101</f>
        <v>23528</v>
      </c>
      <c r="N48" s="3558"/>
      <c r="O48" s="3558"/>
    </row>
    <row r="49" spans="1:35" ht="25.5" customHeight="1">
      <c r="A49" s="2333" t="s">
        <v>1341</v>
      </c>
      <c r="B49" s="3603" t="s">
        <v>1342</v>
      </c>
      <c r="C49" s="3603"/>
      <c r="D49" s="1590">
        <v>0</v>
      </c>
      <c r="E49" s="324" t="s">
        <v>1343</v>
      </c>
      <c r="F49" s="2423" t="s">
        <v>28</v>
      </c>
      <c r="G49" s="3586"/>
      <c r="H49" s="2310" t="s">
        <v>2134</v>
      </c>
      <c r="I49" s="2311"/>
      <c r="J49" s="2522">
        <v>4</v>
      </c>
      <c r="K49" s="3555" t="str">
        <f>IF(项目基本情况!E8="房地产抵押价值","房地产抵押价值","抵押担保权已注销时的房地产抵押价值")</f>
        <v>房地产抵押价值</v>
      </c>
      <c r="L49" s="3555"/>
      <c r="M49" s="3558">
        <f ca="1">IF(项目基本情况!E8="房地产抵押价值",H107,H109)</f>
        <v>23528</v>
      </c>
      <c r="N49" s="3558"/>
      <c r="O49" s="3558"/>
    </row>
    <row r="50" spans="1:35" ht="25.5" customHeight="1">
      <c r="A50" s="2550"/>
      <c r="B50" s="3603" t="s">
        <v>1344</v>
      </c>
      <c r="C50" s="3603"/>
      <c r="D50" s="2551"/>
      <c r="E50" s="332"/>
      <c r="F50" s="2423"/>
      <c r="G50" s="3587"/>
      <c r="H50" s="2312" t="s">
        <v>2135</v>
      </c>
      <c r="I50" s="2311"/>
      <c r="J50" s="3554" t="s">
        <v>1345</v>
      </c>
      <c r="K50" s="3554"/>
      <c r="L50" s="3554"/>
      <c r="M50" s="3554"/>
      <c r="N50" s="3554"/>
      <c r="O50" s="3554"/>
    </row>
    <row r="51" spans="1:35" ht="20.45" customHeight="1">
      <c r="A51" s="2552"/>
      <c r="B51" s="3603" t="s">
        <v>1346</v>
      </c>
      <c r="C51" s="3603"/>
      <c r="D51" s="1087"/>
      <c r="E51" s="327"/>
      <c r="F51" s="2423"/>
      <c r="G51" s="3588"/>
      <c r="H51" s="2312" t="s">
        <v>2136</v>
      </c>
      <c r="I51" s="2311"/>
      <c r="J51" s="2523" t="s">
        <v>1347</v>
      </c>
      <c r="K51" s="3555" t="s">
        <v>1348</v>
      </c>
      <c r="L51" s="3555"/>
      <c r="M51" s="2523" t="s">
        <v>1349</v>
      </c>
      <c r="N51" s="2523" t="s">
        <v>1350</v>
      </c>
      <c r="O51" s="2523" t="s">
        <v>1351</v>
      </c>
    </row>
    <row r="52" spans="1:35" ht="24" customHeight="1">
      <c r="A52" s="2335" t="s">
        <v>1352</v>
      </c>
      <c r="B52" s="3603" t="s">
        <v>1353</v>
      </c>
      <c r="C52" s="3603"/>
      <c r="D52" s="1087">
        <f ca="1">ROUND(D45*'数据-取费表'!B41/(1+'数据-取费表'!C42),0)</f>
        <v>1232</v>
      </c>
      <c r="E52" s="2334" t="s">
        <v>1354</v>
      </c>
      <c r="F52" s="2553">
        <f>'数据-取费表'!B41</f>
        <v>5.5000000000000007E-2</v>
      </c>
      <c r="G52" s="2554"/>
      <c r="H52" s="2543"/>
      <c r="I52" s="1807"/>
      <c r="J52" s="2522">
        <v>1</v>
      </c>
      <c r="K52" s="3580" t="s">
        <v>1355</v>
      </c>
      <c r="L52" s="3580"/>
      <c r="M52" s="2524" t="b">
        <f>D48</f>
        <v>0</v>
      </c>
      <c r="N52" s="2522" t="str">
        <f>E48</f>
        <v>销售额×税（费）率</v>
      </c>
      <c r="O52" s="2525">
        <f>F48</f>
        <v>5.5000000000000007E-2</v>
      </c>
    </row>
    <row r="53" spans="1:35" ht="12" customHeight="1">
      <c r="A53" s="2335" t="s">
        <v>1356</v>
      </c>
      <c r="B53" s="3604" t="s">
        <v>2291</v>
      </c>
      <c r="C53" s="3605"/>
      <c r="D53" s="1087">
        <f ca="1">ROUND(D45*'数据-取费表'!B41/(1+'数据-取费表'!C42),0)</f>
        <v>1232</v>
      </c>
      <c r="E53" s="2334" t="s">
        <v>1354</v>
      </c>
      <c r="F53" s="2553">
        <f>'数据-取费表'!B41</f>
        <v>5.5000000000000007E-2</v>
      </c>
      <c r="G53" s="2554"/>
      <c r="H53" s="2543"/>
      <c r="I53" s="1807"/>
      <c r="J53" s="2522">
        <v>2</v>
      </c>
      <c r="K53" s="3580" t="s">
        <v>1357</v>
      </c>
      <c r="L53" s="3580"/>
      <c r="M53" s="2524">
        <f t="shared" ref="M53:O54" ca="1" si="0">D55</f>
        <v>12</v>
      </c>
      <c r="N53" s="2522" t="str">
        <f t="shared" si="0"/>
        <v>销售额×税（费）率</v>
      </c>
      <c r="O53" s="2525" t="str">
        <f t="shared" si="0"/>
        <v>免征</v>
      </c>
    </row>
    <row r="54" spans="1:35" ht="12" customHeight="1">
      <c r="A54" s="2335" t="s">
        <v>1358</v>
      </c>
      <c r="B54" s="3604" t="s">
        <v>2292</v>
      </c>
      <c r="C54" s="3605"/>
      <c r="D54" s="1087">
        <f ca="1">C68</f>
        <v>1232</v>
      </c>
      <c r="E54" s="327" t="s">
        <v>1359</v>
      </c>
      <c r="F54" s="2553">
        <f>'数据-取费表'!B41</f>
        <v>5.5000000000000007E-2</v>
      </c>
      <c r="G54" s="2554"/>
      <c r="H54" s="2555"/>
      <c r="I54" s="1807"/>
      <c r="J54" s="2522">
        <v>3</v>
      </c>
      <c r="K54" s="3580" t="s">
        <v>1360</v>
      </c>
      <c r="L54" s="3580"/>
      <c r="M54" s="2524">
        <f t="shared" ca="1" si="0"/>
        <v>13338</v>
      </c>
      <c r="N54" s="2522" t="str">
        <f t="shared" si="0"/>
        <v>增值额×税（费）率</v>
      </c>
      <c r="O54" s="2526" t="str">
        <f t="shared" si="0"/>
        <v>免征</v>
      </c>
    </row>
    <row r="55" spans="1:35" ht="24" customHeight="1">
      <c r="A55" s="3640" t="s">
        <v>1361</v>
      </c>
      <c r="B55" s="3618"/>
      <c r="C55" s="3618"/>
      <c r="D55" s="2324">
        <f ca="1">IF(H55="个人住宅",0,ROUND(D45*I55,0))</f>
        <v>12</v>
      </c>
      <c r="E55" s="2334" t="s">
        <v>1362</v>
      </c>
      <c r="F55" s="2553" t="str">
        <f>IF(H55="正常",I55,"免征")</f>
        <v>免征</v>
      </c>
      <c r="G55" s="2554"/>
      <c r="H55" s="2549"/>
      <c r="I55" s="165">
        <f>'数据-取费表'!B49</f>
        <v>5.0000000000000001E-4</v>
      </c>
      <c r="J55" s="2522">
        <f>IF(H59="非个人房产","",4)</f>
        <v>4</v>
      </c>
      <c r="K55" s="3580" t="str">
        <f>IF(H59="非个人房产","——","个人所得税")</f>
        <v>个人所得税</v>
      </c>
      <c r="L55" s="3580"/>
      <c r="M55" s="2527">
        <f ca="1">D59</f>
        <v>224</v>
      </c>
      <c r="N55" s="2040" t="str">
        <f>E59</f>
        <v>差额计税</v>
      </c>
      <c r="O55" s="2528">
        <f>F59</f>
        <v>0.01</v>
      </c>
    </row>
    <row r="56" spans="1:35" ht="24.75">
      <c r="A56" s="3640" t="s">
        <v>1363</v>
      </c>
      <c r="B56" s="3618"/>
      <c r="C56" s="3618"/>
      <c r="D56" s="2324">
        <f ca="1">IF(H56="个人住宅",D57,D58)</f>
        <v>13338</v>
      </c>
      <c r="E56" s="2334" t="s">
        <v>1364</v>
      </c>
      <c r="F56" s="2553" t="str">
        <f>IF(H56="正常",F58,"免征")</f>
        <v>免征</v>
      </c>
      <c r="G56" s="2556" t="s">
        <v>1365</v>
      </c>
      <c r="H56" s="2557"/>
      <c r="I56" s="1808"/>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4"/>
      <c r="H57" s="2558"/>
      <c r="I57" s="1808"/>
      <c r="J57" s="3580">
        <f>IF(AND(J55="",J56=""),4,IF(项目基本情况!K6="上海银行",结果表!J56+1,结果表!J55+1))</f>
        <v>5</v>
      </c>
      <c r="K57" s="3580" t="s">
        <v>1367</v>
      </c>
      <c r="L57" s="2529" t="s">
        <v>1368</v>
      </c>
      <c r="M57" s="2530"/>
      <c r="N57" s="2531">
        <f ca="1">SUMIF(M52:M56,"&lt;9e307")</f>
        <v>13574</v>
      </c>
      <c r="O57" s="2532"/>
      <c r="P57" s="2689">
        <f ca="1">N57/M49</f>
        <v>0.57692961577694657</v>
      </c>
    </row>
    <row r="58" spans="1:35" ht="24.75">
      <c r="A58" s="2335" t="s">
        <v>1352</v>
      </c>
      <c r="B58" s="3604" t="s">
        <v>1369</v>
      </c>
      <c r="C58" s="3603"/>
      <c r="D58" s="2324">
        <f ca="1">IF(H58="转让取得",C81,C97)</f>
        <v>13338</v>
      </c>
      <c r="E58" s="2334" t="s">
        <v>1364</v>
      </c>
      <c r="F58" s="302" t="s">
        <v>28</v>
      </c>
      <c r="G58" s="2554"/>
      <c r="H58" s="2557"/>
      <c r="I58" s="1808"/>
      <c r="J58" s="3580"/>
      <c r="K58" s="3580"/>
      <c r="L58" s="2529" t="s">
        <v>1370</v>
      </c>
      <c r="M58" s="2533"/>
      <c r="N58" s="2534" t="str">
        <f ca="1">NUMBERSTRING(INT(N57*10000),2)&amp;"元整"</f>
        <v>壹亿叁仟伍佰柒拾肆万元整</v>
      </c>
      <c r="O58" s="2535"/>
    </row>
    <row r="59" spans="1:35" ht="24.75" thickBot="1">
      <c r="A59" s="3584" t="s">
        <v>1371</v>
      </c>
      <c r="B59" s="3585"/>
      <c r="C59" s="3585"/>
      <c r="D59" s="2559">
        <f ca="1">IF(H59="非个人房产","——",IF(H59="个人住宅（满五唯一有凭证）",0,IF(H59="个人其他（无凭证）",ROUND(D45*F59,0),ROUND(C67*F59,0))))</f>
        <v>224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82">
        <f>J57+1</f>
        <v>6</v>
      </c>
      <c r="K59" s="3580" t="s">
        <v>1372</v>
      </c>
      <c r="L59" s="2522" t="s">
        <v>1368</v>
      </c>
      <c r="M59" s="2536"/>
      <c r="N59" s="2537">
        <f ca="1">M49-N57</f>
        <v>9954</v>
      </c>
      <c r="O59" s="2538"/>
    </row>
    <row r="60" spans="1:35" ht="12" customHeight="1">
      <c r="A60" s="1809"/>
      <c r="B60" s="1747"/>
      <c r="C60" s="1747"/>
      <c r="D60" s="1747"/>
      <c r="E60" s="1578"/>
      <c r="F60" s="1808"/>
      <c r="G60" s="1808"/>
      <c r="H60" s="1810"/>
      <c r="I60" s="129"/>
      <c r="J60" s="3583"/>
      <c r="K60" s="3580"/>
      <c r="L60" s="2529" t="s">
        <v>1370</v>
      </c>
      <c r="M60" s="2533"/>
      <c r="N60" s="2534" t="str">
        <f ca="1">NUMBERSTRING(INT(N59*10000),2)&amp;"元整"</f>
        <v>玖仟玖佰伍拾肆万元整</v>
      </c>
      <c r="O60" s="2535"/>
    </row>
    <row r="61" spans="1:35" ht="13.5" thickBot="1">
      <c r="A61" s="3639" t="s">
        <v>1373</v>
      </c>
      <c r="B61" s="3639"/>
      <c r="C61" s="3639"/>
      <c r="D61" s="3639"/>
      <c r="E61" s="3639"/>
      <c r="F61" s="1808"/>
      <c r="G61" s="1808"/>
      <c r="H61" s="1810"/>
      <c r="I61" s="129"/>
      <c r="J61" s="2522">
        <f>J59+1</f>
        <v>7</v>
      </c>
      <c r="K61" s="3580" t="s">
        <v>1374</v>
      </c>
      <c r="L61" s="3580"/>
      <c r="M61" s="2539"/>
      <c r="N61" s="2540">
        <f ca="1">ROUND(N59*10000/'数据-汇总表'!E3,0)</f>
        <v>2640</v>
      </c>
      <c r="O61" s="2541"/>
    </row>
    <row r="62" spans="1:35" ht="12.75">
      <c r="A62" s="3599" t="s">
        <v>1375</v>
      </c>
      <c r="B62" s="3600"/>
      <c r="C62" s="2021"/>
      <c r="D62" s="2021" t="s">
        <v>1376</v>
      </c>
      <c r="E62" s="166" t="s">
        <v>1377</v>
      </c>
      <c r="F62" s="1808"/>
      <c r="G62" s="1808"/>
      <c r="H62" s="1810"/>
      <c r="I62" s="129"/>
    </row>
    <row r="63" spans="1:35" ht="12.75">
      <c r="A63" s="173" t="s">
        <v>330</v>
      </c>
      <c r="B63" s="167" t="s">
        <v>1378</v>
      </c>
      <c r="C63" s="2563">
        <f ca="1">ROUND((C64+C65)/(1+'数据-取费表'!C42),0)</f>
        <v>22408</v>
      </c>
      <c r="D63" s="167"/>
      <c r="E63" s="168"/>
      <c r="F63" s="1808"/>
      <c r="G63" s="1808"/>
      <c r="H63" s="1810"/>
      <c r="I63" s="129"/>
      <c r="J63" s="3563" t="s">
        <v>1379</v>
      </c>
      <c r="K63" s="1332" t="s">
        <v>1380</v>
      </c>
      <c r="L63" s="1332">
        <f ca="1">IF(M49&gt;10000,M49*0.5%,IF(AND(M49&gt;1000,M49&lt;=10000),M49*1%,IF(AND(M49&gt;100,M49&lt;=1000),M49*3%,IF(AND(M49&gt;10,M49&lt;=100),M49*5%,M49*8%))))</f>
        <v>117.64</v>
      </c>
      <c r="M63" s="302">
        <f ca="1">ROUND(L63,1)</f>
        <v>117.6</v>
      </c>
      <c r="N63" s="2542"/>
      <c r="Z63" s="1752"/>
      <c r="AI63" s="1753"/>
    </row>
    <row r="64" spans="1:35" ht="14.25" customHeight="1">
      <c r="A64" s="169" t="s">
        <v>325</v>
      </c>
      <c r="B64" s="170" t="s">
        <v>1381</v>
      </c>
      <c r="C64" s="2564">
        <f ca="1">D45</f>
        <v>23528</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117.64</v>
      </c>
      <c r="M64" s="302">
        <f t="shared" ref="M64:M65" ca="1" si="1">ROUND(L64,1)</f>
        <v>117.6</v>
      </c>
      <c r="N64" s="2543" t="s">
        <v>1383</v>
      </c>
      <c r="Z64" s="1752"/>
      <c r="AI64" s="1753"/>
    </row>
    <row r="65" spans="1:35" ht="14.25" customHeight="1">
      <c r="A65" s="169" t="s">
        <v>326</v>
      </c>
      <c r="B65" s="170" t="s">
        <v>1384</v>
      </c>
      <c r="C65" s="2565"/>
      <c r="D65" s="170"/>
      <c r="E65" s="172"/>
      <c r="F65" s="1808"/>
      <c r="G65" s="1808"/>
      <c r="H65" s="1810"/>
      <c r="I65" s="129"/>
      <c r="J65" s="3563"/>
      <c r="K65" s="1332" t="s">
        <v>1385</v>
      </c>
      <c r="L65" s="1332">
        <f ca="1">IF(M49&gt;1000,M49*0.1%,IF(AND(M49&gt;500,M49&lt;=1000),M49*0.5%,IF(AND(M49&gt;50,M49&lt;=500),M49*1%,IF(AND(M49&gt;1,M49&lt;=50),M49*1.5%))))</f>
        <v>23.528000000000002</v>
      </c>
      <c r="M65" s="302">
        <f t="shared" ca="1" si="1"/>
        <v>23.5</v>
      </c>
      <c r="N65" s="2543" t="s">
        <v>1383</v>
      </c>
      <c r="Z65" s="1752"/>
      <c r="AI65" s="1753"/>
    </row>
    <row r="66" spans="1:35" ht="14.25" customHeight="1">
      <c r="A66" s="173" t="s">
        <v>327</v>
      </c>
      <c r="B66" s="174" t="s">
        <v>1386</v>
      </c>
      <c r="C66" s="2566"/>
      <c r="D66" s="174" t="s">
        <v>26</v>
      </c>
      <c r="E66" s="1338" t="s">
        <v>671</v>
      </c>
      <c r="F66" s="1808"/>
      <c r="G66" s="1808"/>
      <c r="H66" s="1810"/>
      <c r="I66" s="129"/>
      <c r="J66" s="3563"/>
      <c r="K66" s="1332" t="s">
        <v>1387</v>
      </c>
      <c r="L66" s="1332">
        <f ca="1">M49*0.5%</f>
        <v>117.64</v>
      </c>
      <c r="M66" s="302">
        <f ca="1">IF(L66&gt;0.5,0.5,ROUND(L66,0))</f>
        <v>0.5</v>
      </c>
      <c r="N66" s="2543" t="s">
        <v>1388</v>
      </c>
      <c r="Z66" s="1752"/>
      <c r="AI66" s="1753"/>
    </row>
    <row r="67" spans="1:35" ht="14.25" customHeight="1">
      <c r="A67" s="173" t="s">
        <v>328</v>
      </c>
      <c r="B67" s="174" t="s">
        <v>1389</v>
      </c>
      <c r="C67" s="2567">
        <f ca="1">C63-C66</f>
        <v>22408</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9.6028000000000002</v>
      </c>
      <c r="M67" s="302">
        <f ca="1">ROUND(L67*0.9,1)</f>
        <v>8.6</v>
      </c>
      <c r="N67" s="2542"/>
      <c r="Z67" s="1752"/>
      <c r="AI67" s="1753"/>
    </row>
    <row r="68" spans="1:35" ht="14.25" customHeight="1" thickBot="1">
      <c r="A68" s="176" t="s">
        <v>329</v>
      </c>
      <c r="B68" s="177" t="s">
        <v>1391</v>
      </c>
      <c r="C68" s="2568">
        <f ca="1">IF(C67&lt;=0,0,ROUND(C67*D68,0))</f>
        <v>1232</v>
      </c>
      <c r="D68" s="2569">
        <f>'数据-取费表'!B41</f>
        <v>5.5000000000000007E-2</v>
      </c>
      <c r="E68" s="178"/>
      <c r="F68" s="1808"/>
      <c r="G68" s="1808"/>
      <c r="H68" s="1810"/>
      <c r="I68" s="129"/>
      <c r="J68" s="3563"/>
      <c r="K68" s="1332" t="s">
        <v>1392</v>
      </c>
      <c r="L68" s="1332">
        <f ca="1">IF(M49&gt;10000,M49*0.5%,IF(AND(M49&gt;5000,M49&lt;=10000),M49*1%,IF(AND(M49&gt;1000,M49&lt;=5000),M49*2%,IF(AND(M49&gt;200,M49&lt;=1000),M49*3%,M49*5%))))</f>
        <v>117.64</v>
      </c>
      <c r="M68" s="302">
        <f ca="1">ROUND(L68,1)</f>
        <v>117.6</v>
      </c>
      <c r="N68" s="2542"/>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385</v>
      </c>
      <c r="N69" s="2544">
        <f ca="1">M69/M49</f>
        <v>1.6363481808908533E-2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22408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112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112</v>
      </c>
      <c r="D78" s="2576">
        <f>'数据-取费表'!B43</f>
        <v>5.000000000000001E-3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22296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199.07142857142858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13338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22408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112</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5" t="s">
        <v>2129</v>
      </c>
      <c r="H90" s="3566"/>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6" t="s">
        <v>1422</v>
      </c>
      <c r="F92" s="3597"/>
      <c r="G92" s="3597"/>
      <c r="H92" s="359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112</v>
      </c>
      <c r="D93" s="2576">
        <f>'数据-取费表'!B43</f>
        <v>5.000000000000001E-3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22296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199.07142857142858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13338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4" t="str">
        <f>C4</f>
        <v>成本法</v>
      </c>
      <c r="D101" s="2585" t="str">
        <f>D4</f>
        <v>假设开发法</v>
      </c>
      <c r="E101" s="3559" t="s">
        <v>1431</v>
      </c>
      <c r="F101" s="3560"/>
      <c r="G101" s="1827" t="s">
        <v>1432</v>
      </c>
      <c r="H101" s="2594">
        <f ca="1">H118</f>
        <v>23528</v>
      </c>
      <c r="I101" s="129"/>
    </row>
    <row r="102" spans="1:35" ht="18.75" customHeight="1">
      <c r="A102" s="3591" t="s">
        <v>1433</v>
      </c>
      <c r="B102" s="2583" t="s">
        <v>1432</v>
      </c>
      <c r="C102" s="2584">
        <f ca="1">IF(D32="楼面单价",ROUND(C19,0),C19)</f>
        <v>18700</v>
      </c>
      <c r="D102" s="2585">
        <f ca="1">IF(D32="楼面单价",ROUND(D19,0),D19)</f>
        <v>27479</v>
      </c>
      <c r="E102" s="3559"/>
      <c r="F102" s="3560"/>
      <c r="G102" s="1827" t="s">
        <v>1434</v>
      </c>
      <c r="H102" s="2554">
        <f ca="1">I118</f>
        <v>6239</v>
      </c>
      <c r="I102" s="129"/>
    </row>
    <row r="103" spans="1:35" ht="42.75" customHeight="1">
      <c r="A103" s="3591"/>
      <c r="B103" s="2583" t="s">
        <v>1434</v>
      </c>
      <c r="C103" s="2586">
        <f ca="1">C20</f>
        <v>4959</v>
      </c>
      <c r="D103" s="2587">
        <f ca="1">D20</f>
        <v>7287</v>
      </c>
      <c r="E103" s="3552" t="s">
        <v>1435</v>
      </c>
      <c r="F103" s="3553"/>
      <c r="G103" s="1828" t="s">
        <v>1436</v>
      </c>
      <c r="H103" s="2594">
        <f>IF(D36="正常操作",H104+H105+H106,H105+H106)</f>
        <v>0</v>
      </c>
      <c r="I103" s="129"/>
    </row>
    <row r="104" spans="1:35" ht="18.75" customHeight="1">
      <c r="A104" s="3591" t="s">
        <v>1437</v>
      </c>
      <c r="B104" s="2588" t="s">
        <v>1432</v>
      </c>
      <c r="C104" s="2589">
        <f ca="1">H118</f>
        <v>23528</v>
      </c>
      <c r="D104" s="2590"/>
      <c r="E104" s="1674" t="s">
        <v>1438</v>
      </c>
      <c r="F104" s="1666"/>
      <c r="G104" s="1828" t="s">
        <v>1436</v>
      </c>
      <c r="H104" s="2595">
        <f>IF(D36="同一抵押权人同一抵押物续贷",C36&amp;"（续贷，未扣减，详见特别提示）",C36)</f>
        <v>0</v>
      </c>
      <c r="I104" s="129"/>
    </row>
    <row r="105" spans="1:35" ht="18.75" customHeight="1" thickBot="1">
      <c r="A105" s="3601"/>
      <c r="B105" s="2591" t="s">
        <v>1434</v>
      </c>
      <c r="C105" s="2592">
        <f ca="1">I118</f>
        <v>6239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2" t="str">
        <f>IF(项目基本情况!E8="已注销","——","3.房地产抵押价值")</f>
        <v>3.房地产抵押价值</v>
      </c>
      <c r="F107" s="3560"/>
      <c r="G107" s="1827" t="s">
        <v>1432</v>
      </c>
      <c r="H107" s="2594">
        <f ca="1">IF(E107="——","——",H101-H103)</f>
        <v>23528</v>
      </c>
      <c r="I107" s="129"/>
    </row>
    <row r="108" spans="1:35" ht="18.75" customHeight="1">
      <c r="A108" s="129"/>
      <c r="B108" s="129"/>
      <c r="C108" s="129"/>
      <c r="D108" s="129"/>
      <c r="E108" s="3592"/>
      <c r="F108" s="3560"/>
      <c r="G108" s="1827" t="s">
        <v>1434</v>
      </c>
      <c r="H108" s="2554">
        <f ca="1">IF(H107=H101,H102,ROUND(H107*10000/'数据-汇总表'!E3,0))</f>
        <v>6239</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7" t="str">
        <f>IF(E109="——","——",H101-H105-H106)</f>
        <v>——</v>
      </c>
      <c r="I109" s="129"/>
    </row>
    <row r="110" spans="1:35" ht="18.75" customHeight="1">
      <c r="A110" s="129"/>
      <c r="B110" s="129"/>
      <c r="C110" s="129"/>
      <c r="D110" s="129"/>
      <c r="E110" s="3592"/>
      <c r="F110" s="3560"/>
      <c r="G110" s="1827" t="s">
        <v>1434</v>
      </c>
      <c r="H110" s="2554"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4" t="str">
        <f>IF(E111="——","——",N59)</f>
        <v>——</v>
      </c>
      <c r="I111" s="129"/>
    </row>
    <row r="112" spans="1:35" ht="18.75" customHeight="1" thickBot="1">
      <c r="A112" s="129"/>
      <c r="B112" s="129"/>
      <c r="C112" s="129"/>
      <c r="D112" s="129"/>
      <c r="E112" s="3594"/>
      <c r="F112" s="3595"/>
      <c r="G112" s="1830" t="s">
        <v>1434</v>
      </c>
      <c r="H112" s="2598"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37711.240000000005</v>
      </c>
      <c r="C118" s="2329">
        <f>M19</f>
        <v>18193.39</v>
      </c>
      <c r="D118" s="2329">
        <f ca="1">ROUND(IF(D32="总价",C34,E118*B118/10000),0)</f>
        <v>11882</v>
      </c>
      <c r="E118" s="2329">
        <f ca="1">ROUND(IF(C33="自定义",IF(D32="楼面单价",C34,D118*10000/B118),I118-G118),0)</f>
        <v>3151</v>
      </c>
      <c r="F118" s="2329">
        <f ca="1">ROUND(IF(D32="总价",C35,G118*B118/10000),0)</f>
        <v>11646</v>
      </c>
      <c r="G118" s="2329">
        <f ca="1">ROUND(IF(D32="楼面单价",C35,F118*10000/B118),0)</f>
        <v>3088</v>
      </c>
      <c r="H118" s="2329">
        <f ca="1">ROUND(IF(D32="总价",C32,I118*B118/10000),0)</f>
        <v>23528</v>
      </c>
      <c r="I118" s="2329">
        <f ca="1">ROUND(IF(D32="楼面单价",C32,H118*10000/B118),0)</f>
        <v>6239</v>
      </c>
    </row>
    <row r="119" spans="1:27" ht="18.75" customHeight="1">
      <c r="A119" s="3567" t="s">
        <v>1452</v>
      </c>
      <c r="B119" s="3567"/>
      <c r="C119" s="3567"/>
      <c r="D119" s="3573" t="str">
        <f ca="1">NUMBERSTRING(INT(D118*10000),2)&amp;"元整"</f>
        <v>壹亿壹仟捌佰捌拾贰万元整</v>
      </c>
      <c r="E119" s="3574"/>
      <c r="F119" s="3573" t="str">
        <f ca="1">NUMBERSTRING(INT(F118*10000),2)&amp;"元整"</f>
        <v>壹亿壹仟陆佰肆拾陆万元整</v>
      </c>
      <c r="G119" s="3574"/>
      <c r="H119" s="3573" t="str">
        <f ca="1">NUMBERSTRING(INT(H118*10000),2)&amp;"元整"</f>
        <v>贰亿叁仟伍佰贰拾捌万元整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23528</v>
      </c>
      <c r="E122" s="3569"/>
      <c r="F122" s="3569"/>
      <c r="G122" s="3569"/>
      <c r="H122" s="3569"/>
      <c r="I122" s="3570"/>
      <c r="AA122" s="725"/>
    </row>
    <row r="123" spans="1:27" ht="18.75" customHeight="1">
      <c r="A123" s="3567" t="s">
        <v>1452</v>
      </c>
      <c r="B123" s="3567"/>
      <c r="C123" s="3567"/>
      <c r="D123" s="3573" t="str">
        <f ca="1">NUMBERSTRING(INT(D122*10000),2)&amp;"元整"</f>
        <v>贰亿叁仟伍佰贰拾捌万元整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18700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3173</v>
      </c>
      <c r="D5" s="211" t="s">
        <v>1469</v>
      </c>
      <c r="E5" s="212" t="s">
        <v>1470</v>
      </c>
      <c r="F5" s="212" t="s">
        <v>1471</v>
      </c>
      <c r="G5" s="213"/>
    </row>
    <row r="6" spans="1:9" s="214" customFormat="1" ht="13.5" customHeight="1">
      <c r="A6" s="778" t="s">
        <v>1472</v>
      </c>
      <c r="B6" s="215" t="s">
        <v>1473</v>
      </c>
      <c r="C6" s="216">
        <f>基准地价修正!E33</f>
        <v>2413</v>
      </c>
      <c r="D6" s="217"/>
      <c r="E6" s="218"/>
      <c r="F6" s="218"/>
      <c r="G6" s="219"/>
    </row>
    <row r="7" spans="1:9" s="214" customFormat="1" ht="13.5" customHeight="1">
      <c r="A7" s="778" t="s">
        <v>1474</v>
      </c>
      <c r="B7" s="215" t="s">
        <v>1475</v>
      </c>
      <c r="C7" s="220">
        <f>ROUND(C6*F7,0)</f>
        <v>74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686</v>
      </c>
      <c r="D8" s="222"/>
      <c r="E8" s="220"/>
      <c r="F8" s="221"/>
      <c r="G8" s="1856" t="s">
        <v>3429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3458</v>
      </c>
      <c r="H9" s="1137"/>
      <c r="I9" s="1858" t="s">
        <v>1479</v>
      </c>
    </row>
    <row r="10" spans="1:9" s="214" customFormat="1" ht="13.5" customHeight="1">
      <c r="A10" s="779" t="s">
        <v>356</v>
      </c>
      <c r="B10" s="224" t="s">
        <v>1480</v>
      </c>
      <c r="C10" s="225">
        <f ca="1">ROUND(D10*E10/10000,0)</f>
        <v>717</v>
      </c>
      <c r="D10" s="845">
        <f ca="1">IF(B1="",'数据-汇总表'!E6,IF(INDIRECT("'数据-取费表'!c"&amp;$G$1)="住宅",INDIRECT("'数据-取费表'!s"&amp;$G$1),INDIRECT("'数据-取费表'!k"&amp;$G$1)+INDIRECT("'数据-取费表'!s"&amp;$G$1)))</f>
        <v>37711.240000000005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37711.240000000005</v>
      </c>
      <c r="E19" s="211">
        <f>'数据-取费表'!B31</f>
        <v>200</v>
      </c>
      <c r="F19" s="231"/>
      <c r="G19" s="1856" t="s">
        <v>3430</v>
      </c>
    </row>
    <row r="20" spans="1:7" s="214" customFormat="1" ht="13.5" customHeight="1">
      <c r="A20" s="255" t="s">
        <v>1493</v>
      </c>
      <c r="B20" s="210" t="s">
        <v>1494</v>
      </c>
      <c r="C20" s="232">
        <f>ROUND((C5+C19)*F20,0)</f>
        <v>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113</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320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320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11959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10729</v>
      </c>
      <c r="D34" s="217"/>
      <c r="E34" s="220"/>
      <c r="F34" s="257">
        <f ca="1">IF('数据-取费表'!B24=0,1,IF(B1="",'数据-取费表'!N16,INDIRECT("'数据-取费表'!n"&amp;$G$1)))</f>
        <v>0.99</v>
      </c>
      <c r="G34" s="219" t="s">
        <v>1526</v>
      </c>
    </row>
    <row r="35" spans="1:7" ht="13.5" customHeight="1">
      <c r="A35" s="780" t="s">
        <v>351</v>
      </c>
      <c r="B35" s="215" t="s">
        <v>1527</v>
      </c>
      <c r="C35" s="220">
        <f ca="1">ROUND(C34*F35,0)</f>
        <v>322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747</v>
      </c>
      <c r="D37" s="217">
        <f ca="1">D19</f>
        <v>37711.240000000005</v>
      </c>
      <c r="E37" s="249">
        <f>'数据-取费表'!B35</f>
        <v>200</v>
      </c>
      <c r="F37" s="259"/>
      <c r="G37" s="261" t="s">
        <v>1532</v>
      </c>
    </row>
    <row r="38" spans="1:7" ht="13.5" customHeight="1">
      <c r="A38" s="780" t="s">
        <v>354</v>
      </c>
      <c r="B38" s="215" t="s">
        <v>1533</v>
      </c>
      <c r="C38" s="220">
        <f ca="1">ROUND(C34*F38,0)</f>
        <v>161</v>
      </c>
      <c r="D38" s="220"/>
      <c r="E38" s="220"/>
      <c r="F38" s="259">
        <f>'数据-取费表'!B36</f>
        <v>1.4999999999999999E-2</v>
      </c>
      <c r="G38" s="219" t="s">
        <v>1528</v>
      </c>
    </row>
    <row r="39" spans="1:7" s="214" customFormat="1" ht="13.5" customHeight="1">
      <c r="A39" s="255" t="s">
        <v>1534</v>
      </c>
      <c r="B39" s="210" t="s">
        <v>1535</v>
      </c>
      <c r="C39" s="232">
        <f ca="1">ROUND(C33*F20,0)</f>
        <v>239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214</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210</v>
      </c>
      <c r="D42" s="238"/>
      <c r="E42" s="238"/>
      <c r="F42" s="239"/>
      <c r="G42" s="3646" t="s">
        <v>1544</v>
      </c>
    </row>
    <row r="43" spans="1:7" ht="13.5" customHeight="1">
      <c r="A43" s="780" t="s">
        <v>347</v>
      </c>
      <c r="B43" s="215" t="s">
        <v>1545</v>
      </c>
      <c r="C43" s="238">
        <f ca="1">ROUND(IF('数据-取费表'!B22&lt;=1,C39*F22*'数据-取费表'!B21/2,C39*(POWER((1+F22),'数据-取费表'!B21/2)-1)),0)</f>
        <v>4</v>
      </c>
      <c r="D43" s="238"/>
      <c r="E43" s="238"/>
      <c r="F43" s="239"/>
      <c r="G43" s="3647"/>
    </row>
    <row r="44" spans="1:7" ht="13.5" customHeight="1">
      <c r="A44" s="780" t="s">
        <v>348</v>
      </c>
      <c r="B44" s="215" t="s">
        <v>1546</v>
      </c>
      <c r="C44" s="238">
        <f ca="1">ROUND(IF('数据-取费表'!B22&lt;=1,C40*F22*'数据-取费表'!B21/2,C40*(POWER((1+F22),'数据-取费表'!B21/2)-1)),4)</f>
        <v>4.0000000000000002E-4</v>
      </c>
      <c r="D44" s="238"/>
      <c r="E44" s="238"/>
      <c r="F44" s="239"/>
      <c r="G44" s="3648"/>
    </row>
    <row r="45" spans="1:7" s="214" customFormat="1" ht="13.5" customHeight="1">
      <c r="A45" s="255" t="s">
        <v>1547</v>
      </c>
      <c r="B45" s="244" t="s">
        <v>1513</v>
      </c>
      <c r="C45" s="245">
        <f ca="1">C46</f>
        <v>1220</v>
      </c>
      <c r="D45" s="235">
        <f ca="1">C47</f>
        <v>2E-3</v>
      </c>
      <c r="E45" s="236" t="s">
        <v>1539</v>
      </c>
      <c r="F45" s="246">
        <f ca="1">F27</f>
        <v>0.1</v>
      </c>
      <c r="G45" s="247" t="s">
        <v>1548</v>
      </c>
    </row>
    <row r="46" spans="1:7" s="214" customFormat="1" ht="13.5" customHeight="1">
      <c r="A46" s="780" t="s">
        <v>346</v>
      </c>
      <c r="B46" s="248" t="s">
        <v>1549</v>
      </c>
      <c r="C46" s="249">
        <f ca="1">ROUND((C33+C39)*F27,0)</f>
        <v>1220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14734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14734</v>
      </c>
      <c r="D51" s="232"/>
      <c r="E51" s="232"/>
      <c r="F51" s="264"/>
      <c r="G51" s="234" t="s">
        <v>1560</v>
      </c>
    </row>
    <row r="52" spans="1:7" s="208" customFormat="1" ht="16.5" thickBot="1">
      <c r="A52" s="265" t="s">
        <v>1561</v>
      </c>
      <c r="B52" s="266"/>
      <c r="C52" s="267">
        <f ca="1">C31+C51</f>
        <v>18700</v>
      </c>
      <c r="D52" s="266"/>
      <c r="E52" s="266"/>
      <c r="F52" s="266"/>
      <c r="G52" s="268"/>
    </row>
    <row r="55" spans="1:7" ht="15">
      <c r="B55" s="270" t="s">
        <v>1562</v>
      </c>
      <c r="C55" s="271"/>
    </row>
    <row r="56" spans="1:7">
      <c r="B56" s="273" t="s">
        <v>802</v>
      </c>
      <c r="C56" s="275">
        <f ca="1">1-C57</f>
        <v>0.21199999999999997</v>
      </c>
    </row>
    <row r="57" spans="1:7">
      <c r="B57" s="273" t="s">
        <v>803</v>
      </c>
      <c r="C57" s="274">
        <f ca="1">ROUND(C51/C52,3)</f>
        <v>0.78800000000000003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3394</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26831</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54" t="s">
        <v>1771</v>
      </c>
      <c r="S4" s="3655"/>
      <c r="T4" s="3654" t="s">
        <v>1772</v>
      </c>
      <c r="U4" s="3655"/>
      <c r="V4" s="3683" t="s">
        <v>1773</v>
      </c>
      <c r="W4" s="3683"/>
      <c r="X4" s="1958"/>
      <c r="Y4" s="3654" t="s">
        <v>1775</v>
      </c>
      <c r="Z4" s="3655"/>
      <c r="AA4" s="3649" t="s">
        <v>1771</v>
      </c>
      <c r="AB4" s="3649" t="s">
        <v>1772</v>
      </c>
      <c r="AC4" s="3668" t="s">
        <v>1773</v>
      </c>
    </row>
    <row r="5" spans="1:29" ht="15">
      <c r="A5" s="358"/>
      <c r="B5" s="359"/>
      <c r="C5" s="3660" t="s">
        <v>1673</v>
      </c>
      <c r="D5" s="3661"/>
      <c r="E5" s="3658" t="s">
        <v>3436</v>
      </c>
      <c r="F5" s="3659"/>
      <c r="G5" s="3664" t="s">
        <v>3437</v>
      </c>
      <c r="H5" s="3661"/>
      <c r="I5" s="3664" t="s">
        <v>3438</v>
      </c>
      <c r="J5" s="3661"/>
      <c r="K5" s="559"/>
      <c r="L5" s="2714"/>
      <c r="M5" s="2715"/>
      <c r="N5" s="2715"/>
      <c r="O5" s="2715"/>
      <c r="P5" s="3677"/>
      <c r="Q5" s="3678"/>
      <c r="R5" s="3656"/>
      <c r="S5" s="3657"/>
      <c r="T5" s="3656"/>
      <c r="U5" s="3657"/>
      <c r="V5" s="3684"/>
      <c r="W5" s="3684"/>
      <c r="X5" s="1355"/>
      <c r="Y5" s="3656"/>
      <c r="Z5" s="3657"/>
      <c r="AA5" s="3650"/>
      <c r="AB5" s="3650"/>
      <c r="AC5" s="3669"/>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679"/>
      <c r="Q6" s="3680"/>
      <c r="R6" s="3656"/>
      <c r="S6" s="3657"/>
      <c r="T6" s="3681"/>
      <c r="U6" s="3682"/>
      <c r="V6" s="3684"/>
      <c r="W6" s="3684"/>
      <c r="X6" s="1355"/>
      <c r="Y6" s="3681"/>
      <c r="Z6" s="3682"/>
      <c r="AA6" s="3651"/>
      <c r="AB6" s="3651"/>
      <c r="AC6" s="3670"/>
    </row>
    <row r="7" spans="1:29" s="108" customFormat="1" ht="15.75" thickBot="1">
      <c r="A7" s="362" t="s">
        <v>1679</v>
      </c>
      <c r="B7" s="363"/>
      <c r="C7" s="364">
        <f>'数据-取费表'!B2</f>
        <v>45124</v>
      </c>
      <c r="D7" s="365">
        <v>100</v>
      </c>
      <c r="E7" s="366">
        <v>45078</v>
      </c>
      <c r="F7" s="367">
        <f>SUMIF(59:59,YEAR(E7)&amp;"-"&amp;MONTH(E7),60:60)</f>
        <v>100</v>
      </c>
      <c r="G7" s="366">
        <v>45078</v>
      </c>
      <c r="H7" s="365">
        <f>SUMIF(59:59,YEAR(G7)&amp;"-"&amp;MONTH(G7),60:60)</f>
        <v>100</v>
      </c>
      <c r="I7" s="366">
        <v>45078</v>
      </c>
      <c r="J7" s="365">
        <f>SUMIF(59:59,YEAR(I7)&amp;"-"&amp;MONTH(I7),60:60)</f>
        <v>100</v>
      </c>
      <c r="K7" s="560"/>
      <c r="L7" s="2716"/>
      <c r="M7" s="2717"/>
      <c r="N7" s="2717"/>
      <c r="O7" s="2717"/>
      <c r="P7" s="3685" t="s">
        <v>1680</v>
      </c>
      <c r="Q7" s="3686"/>
      <c r="R7" s="701" t="s">
        <v>14</v>
      </c>
      <c r="S7" s="702">
        <f t="shared" ref="S7:S15" si="0">F7</f>
        <v>100</v>
      </c>
      <c r="T7" s="701" t="s">
        <v>14</v>
      </c>
      <c r="U7" s="702">
        <f t="shared" ref="U7:U15" si="1">H7</f>
        <v>100</v>
      </c>
      <c r="V7" s="701" t="s">
        <v>14</v>
      </c>
      <c r="W7" s="702">
        <f t="shared" ref="W7:W15" si="2">J7</f>
        <v>100</v>
      </c>
      <c r="X7" s="703"/>
      <c r="Y7" s="3652" t="s">
        <v>1680</v>
      </c>
      <c r="Z7" s="3653"/>
      <c r="AA7" s="704">
        <f>D7/F7</f>
        <v>1</v>
      </c>
      <c r="AB7" s="704">
        <f>D7/H7</f>
        <v>1</v>
      </c>
      <c r="AC7" s="1959">
        <f>D7/J7</f>
        <v>1</v>
      </c>
    </row>
    <row r="8" spans="1:29" s="108" customFormat="1" ht="15.75" thickBot="1">
      <c r="A8" s="362" t="s">
        <v>1681</v>
      </c>
      <c r="B8" s="363"/>
      <c r="C8" s="368" t="s">
        <v>3422</v>
      </c>
      <c r="D8" s="365">
        <v>100</v>
      </c>
      <c r="E8" s="368" t="s">
        <v>3422</v>
      </c>
      <c r="F8" s="367">
        <f>SUMIF(62:62,E8,63:63)-SUMIF(62:62,C8,63:63)+100</f>
        <v>100</v>
      </c>
      <c r="G8" s="368" t="s">
        <v>3422</v>
      </c>
      <c r="H8" s="365">
        <f>SUMIF(62:62,G8,63:63)-SUMIF(62:62,C8,63:63)+100</f>
        <v>100</v>
      </c>
      <c r="I8" s="368" t="s">
        <v>3422</v>
      </c>
      <c r="J8" s="365">
        <f>SUMIF(62:62,I8,63:63)-SUMIF(62:62,C8,63:63)+100</f>
        <v>100</v>
      </c>
      <c r="K8" s="560"/>
      <c r="L8" s="2716"/>
      <c r="M8" s="2717"/>
      <c r="N8" s="2717"/>
      <c r="O8" s="2717"/>
      <c r="P8" s="3685" t="s">
        <v>1683</v>
      </c>
      <c r="Q8" s="3653"/>
      <c r="R8" s="701" t="s">
        <v>14</v>
      </c>
      <c r="S8" s="702">
        <f t="shared" si="0"/>
        <v>100</v>
      </c>
      <c r="T8" s="701" t="s">
        <v>14</v>
      </c>
      <c r="U8" s="702">
        <f t="shared" si="1"/>
        <v>100</v>
      </c>
      <c r="V8" s="701" t="s">
        <v>14</v>
      </c>
      <c r="W8" s="702">
        <f t="shared" si="2"/>
        <v>100</v>
      </c>
      <c r="X8" s="703"/>
      <c r="Y8" s="3652" t="s">
        <v>1683</v>
      </c>
      <c r="Z8" s="3653"/>
      <c r="AA8" s="704">
        <f t="shared" ref="AA8:AA47" si="3">D8/F8</f>
        <v>1</v>
      </c>
      <c r="AB8" s="704">
        <f t="shared" ref="AB8:AB47" si="4">D8/H8</f>
        <v>1</v>
      </c>
      <c r="AC8" s="1959">
        <f t="shared" ref="AC8:AC47" si="5">D8/J8</f>
        <v>1</v>
      </c>
    </row>
    <row r="9" spans="1:29" s="108" customFormat="1">
      <c r="A9" s="369" t="s">
        <v>1684</v>
      </c>
      <c r="B9" s="63" t="s">
        <v>1685</v>
      </c>
      <c r="C9" s="3452"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67"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7"/>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7"/>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7"/>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7"/>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7"/>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87"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2">
        <f t="shared" si="5"/>
        <v>1</v>
      </c>
    </row>
    <row r="16" spans="1:29" ht="15">
      <c r="A16" s="379"/>
      <c r="B16" s="578"/>
      <c r="C16" s="1904" t="s">
        <v>3424</v>
      </c>
      <c r="D16" s="399"/>
      <c r="E16" s="1904" t="s">
        <v>3424</v>
      </c>
      <c r="F16" s="399"/>
      <c r="G16" s="1904" t="s">
        <v>3424</v>
      </c>
      <c r="H16" s="401"/>
      <c r="I16" s="1904" t="s">
        <v>3424</v>
      </c>
      <c r="J16" s="399"/>
      <c r="K16" s="564"/>
      <c r="L16" s="2721"/>
      <c r="M16" s="2715"/>
      <c r="N16" s="2715"/>
      <c r="O16" s="2715"/>
      <c r="P16" s="3688"/>
      <c r="Q16" s="1352"/>
      <c r="R16" s="705"/>
      <c r="S16" s="706"/>
      <c r="T16" s="705"/>
      <c r="U16" s="706"/>
      <c r="V16" s="705"/>
      <c r="W16" s="706"/>
      <c r="X16" s="1355"/>
      <c r="Y16" s="369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04" t="s">
        <v>3424</v>
      </c>
      <c r="D18" s="401"/>
      <c r="E18" s="1904" t="s">
        <v>3424</v>
      </c>
      <c r="F18" s="401"/>
      <c r="G18" s="1904" t="s">
        <v>3424</v>
      </c>
      <c r="H18" s="399"/>
      <c r="I18" s="1904" t="s">
        <v>3424</v>
      </c>
      <c r="J18" s="399"/>
      <c r="K18" s="564"/>
      <c r="L18" s="2721"/>
      <c r="M18" s="2715"/>
      <c r="N18" s="2715"/>
      <c r="O18" s="2715"/>
      <c r="P18" s="3688"/>
      <c r="Q18" s="1352"/>
      <c r="R18" s="705"/>
      <c r="S18" s="706"/>
      <c r="T18" s="705"/>
      <c r="U18" s="706"/>
      <c r="V18" s="705"/>
      <c r="W18" s="706"/>
      <c r="X18" s="1355"/>
      <c r="Y18" s="369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04" t="s">
        <v>3424</v>
      </c>
      <c r="D20" s="399"/>
      <c r="E20" s="1904" t="s">
        <v>3424</v>
      </c>
      <c r="F20" s="399"/>
      <c r="G20" s="1904" t="s">
        <v>3424</v>
      </c>
      <c r="H20" s="399"/>
      <c r="I20" s="1904" t="s">
        <v>3424</v>
      </c>
      <c r="J20" s="399"/>
      <c r="K20" s="564"/>
      <c r="L20" s="2721"/>
      <c r="M20" s="2715"/>
      <c r="N20" s="2715"/>
      <c r="O20" s="2715"/>
      <c r="P20" s="3688"/>
      <c r="Q20" s="1352"/>
      <c r="R20" s="705"/>
      <c r="S20" s="706"/>
      <c r="T20" s="705"/>
      <c r="U20" s="706"/>
      <c r="V20" s="705"/>
      <c r="W20" s="706"/>
      <c r="X20" s="1355"/>
      <c r="Y20" s="369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t="s">
        <v>3413</v>
      </c>
      <c r="D22" s="399"/>
      <c r="E22" s="1964" t="s">
        <v>3413</v>
      </c>
      <c r="F22" s="399"/>
      <c r="G22" s="1964" t="s">
        <v>3413</v>
      </c>
      <c r="H22" s="399"/>
      <c r="I22" s="1964" t="s">
        <v>3413</v>
      </c>
      <c r="J22" s="399"/>
      <c r="K22" s="1130"/>
      <c r="L22" s="2721"/>
      <c r="M22" s="2715"/>
      <c r="N22" s="2715"/>
      <c r="O22" s="2715"/>
      <c r="P22" s="3688"/>
      <c r="Q22" s="1352"/>
      <c r="R22" s="705"/>
      <c r="S22" s="706"/>
      <c r="T22" s="705"/>
      <c r="U22" s="706"/>
      <c r="V22" s="705"/>
      <c r="W22" s="706"/>
      <c r="X22" s="1355"/>
      <c r="Y22" s="369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88"/>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04" t="s">
        <v>3424</v>
      </c>
      <c r="D24" s="399"/>
      <c r="E24" s="1904" t="s">
        <v>3424</v>
      </c>
      <c r="F24" s="399"/>
      <c r="G24" s="1904" t="s">
        <v>3424</v>
      </c>
      <c r="H24" s="399"/>
      <c r="I24" s="1904" t="s">
        <v>3424</v>
      </c>
      <c r="J24" s="399"/>
      <c r="K24" s="564"/>
      <c r="L24" s="2721"/>
      <c r="M24" s="2715"/>
      <c r="N24" s="2715"/>
      <c r="O24" s="2715"/>
      <c r="P24" s="3688"/>
      <c r="Q24" s="1352"/>
      <c r="R24" s="705"/>
      <c r="S24" s="706"/>
      <c r="T24" s="705"/>
      <c r="U24" s="706"/>
      <c r="V24" s="705"/>
      <c r="W24" s="706"/>
      <c r="X24" s="1355"/>
      <c r="Y24" s="369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88"/>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8"/>
      <c r="Q26" s="1352"/>
      <c r="R26" s="705"/>
      <c r="S26" s="706"/>
      <c r="T26" s="705"/>
      <c r="U26" s="706"/>
      <c r="V26" s="705"/>
      <c r="W26" s="706"/>
      <c r="X26" s="1355"/>
      <c r="Y26" s="3690"/>
      <c r="Z26" s="1356"/>
      <c r="AA26" s="1353">
        <v>1</v>
      </c>
      <c r="AB26" s="1353">
        <v>1</v>
      </c>
      <c r="AC26" s="1962">
        <v>1</v>
      </c>
    </row>
    <row r="27" spans="1:29" ht="15">
      <c r="A27" s="379"/>
      <c r="B27" s="580" t="s">
        <v>1783</v>
      </c>
      <c r="C27" s="582" t="s">
        <v>3404</v>
      </c>
      <c r="D27" s="386">
        <v>100</v>
      </c>
      <c r="E27" s="565" t="s">
        <v>3403</v>
      </c>
      <c r="F27" s="386">
        <f>SUMIF(89:89,E27,90:90)-SUMIF(89:89,C27,90:90)+100</f>
        <v>102</v>
      </c>
      <c r="G27" s="565" t="s">
        <v>3403</v>
      </c>
      <c r="H27" s="386">
        <f>SUMIF(89:89,G27,90:90)-SUMIF(89:89,C27,90:90)+100</f>
        <v>102</v>
      </c>
      <c r="I27" s="565" t="s">
        <v>3403</v>
      </c>
      <c r="J27" s="386">
        <f>SUMIF(89:89,I27,90:90)-SUMIF(89:89,C27,90:90)+100</f>
        <v>102</v>
      </c>
      <c r="K27" s="561">
        <v>2</v>
      </c>
      <c r="L27" s="2721"/>
      <c r="M27" s="2715"/>
      <c r="N27" s="2715"/>
      <c r="O27" s="2715"/>
      <c r="P27" s="3688"/>
      <c r="Q27" s="1352" t="str">
        <f t="shared" ref="Q27:Q47" si="11">B27</f>
        <v>楼层</v>
      </c>
      <c r="R27" s="705" t="s">
        <v>14</v>
      </c>
      <c r="S27" s="706">
        <f>F27</f>
        <v>102</v>
      </c>
      <c r="T27" s="705" t="s">
        <v>14</v>
      </c>
      <c r="U27" s="706">
        <f>H27</f>
        <v>102</v>
      </c>
      <c r="V27" s="705" t="s">
        <v>14</v>
      </c>
      <c r="W27" s="706">
        <f>J27</f>
        <v>102</v>
      </c>
      <c r="X27" s="1355"/>
      <c r="Y27" s="3690"/>
      <c r="Z27" s="1356" t="str">
        <f>Q27</f>
        <v>楼层</v>
      </c>
      <c r="AA27" s="1353">
        <f t="shared" si="3"/>
        <v>0.98039215686274506</v>
      </c>
      <c r="AB27" s="1353">
        <f t="shared" si="4"/>
        <v>0.98039215686274506</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8"/>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8"/>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1694</v>
      </c>
      <c r="B33" s="63" t="s">
        <v>1817</v>
      </c>
      <c r="C33" s="1967" t="s">
        <v>3434</v>
      </c>
      <c r="D33" s="418">
        <v>100</v>
      </c>
      <c r="E33" s="1967" t="s">
        <v>3406</v>
      </c>
      <c r="F33" s="412">
        <f>SUMIF(101:101,E33,102:102)-SUMIF(101:101,C33,102:102)+100</f>
        <v>101</v>
      </c>
      <c r="G33" s="1967" t="s">
        <v>3406</v>
      </c>
      <c r="H33" s="386">
        <f>SUMIF(101:101,G33,102:102)-SUMIF(101:101,C33,102:102)+100</f>
        <v>101</v>
      </c>
      <c r="I33" s="1967" t="s">
        <v>3406</v>
      </c>
      <c r="J33" s="418">
        <f>SUMIF(101:101,I33,102:102)-SUMIF(101:101,C33,102:102)+100</f>
        <v>101</v>
      </c>
      <c r="K33" s="561">
        <v>1</v>
      </c>
      <c r="L33" s="2721"/>
      <c r="M33" s="2715"/>
      <c r="N33" s="2715"/>
      <c r="O33" s="2715"/>
      <c r="P33" s="3691" t="s">
        <v>1696</v>
      </c>
      <c r="Q33" s="1352" t="str">
        <f t="shared" si="11"/>
        <v>建筑类型</v>
      </c>
      <c r="R33" s="705" t="s">
        <v>14</v>
      </c>
      <c r="S33" s="706">
        <f t="shared" si="12"/>
        <v>101</v>
      </c>
      <c r="T33" s="705" t="s">
        <v>14</v>
      </c>
      <c r="U33" s="706">
        <f t="shared" si="13"/>
        <v>101</v>
      </c>
      <c r="V33" s="705" t="s">
        <v>14</v>
      </c>
      <c r="W33" s="706">
        <f t="shared" si="14"/>
        <v>101</v>
      </c>
      <c r="X33" s="1355"/>
      <c r="Y33" s="3694" t="s">
        <v>1696</v>
      </c>
      <c r="Z33" s="1356" t="str">
        <f t="shared" si="15"/>
        <v>建筑类型</v>
      </c>
      <c r="AA33" s="1353">
        <f t="shared" si="3"/>
        <v>0.99009900990099009</v>
      </c>
      <c r="AB33" s="1353">
        <f t="shared" si="4"/>
        <v>0.99009900990099009</v>
      </c>
      <c r="AC33" s="1962">
        <f t="shared" si="5"/>
        <v>0.99009900990099009</v>
      </c>
    </row>
    <row r="34" spans="1:29" s="422" customFormat="1" ht="15">
      <c r="A34" s="419"/>
      <c r="B34" s="375" t="s">
        <v>1697</v>
      </c>
      <c r="C34" s="420">
        <f>'数据-汇总表'!E19</f>
        <v>36123.300000000003</v>
      </c>
      <c r="D34" s="127">
        <v>100</v>
      </c>
      <c r="E34" s="381">
        <v>250.91</v>
      </c>
      <c r="F34" s="376">
        <f>LOOKUP(E34,104:104,105:105)-LOOKUP(C34,104:104,105:105)+100</f>
        <v>104</v>
      </c>
      <c r="G34" s="380">
        <v>111.9</v>
      </c>
      <c r="H34" s="127">
        <f>LOOKUP(G34,104:104,105:105)-LOOKUP(C34,104:104,105:105)+100</f>
        <v>104</v>
      </c>
      <c r="I34" s="380">
        <v>127.91</v>
      </c>
      <c r="J34" s="127">
        <f>LOOKUP(I34,104:104,105:105)-LOOKUP(C34,104:104,105:105)+100</f>
        <v>104</v>
      </c>
      <c r="K34" s="562"/>
      <c r="L34" s="2720"/>
      <c r="M34" s="2722"/>
      <c r="N34" s="2722"/>
      <c r="O34" s="2722"/>
      <c r="P34" s="3692"/>
      <c r="Q34" s="707" t="str">
        <f t="shared" si="11"/>
        <v>项目建筑规模</v>
      </c>
      <c r="R34" s="708" t="s">
        <v>14</v>
      </c>
      <c r="S34" s="709">
        <f t="shared" si="12"/>
        <v>104</v>
      </c>
      <c r="T34" s="708" t="s">
        <v>14</v>
      </c>
      <c r="U34" s="709">
        <f t="shared" si="13"/>
        <v>104</v>
      </c>
      <c r="V34" s="708" t="s">
        <v>14</v>
      </c>
      <c r="W34" s="709">
        <f t="shared" si="14"/>
        <v>104</v>
      </c>
      <c r="X34" s="710"/>
      <c r="Y34" s="3694"/>
      <c r="Z34" s="711" t="str">
        <f t="shared" si="15"/>
        <v>项目建筑规模</v>
      </c>
      <c r="AA34" s="1353">
        <f t="shared" si="3"/>
        <v>0.96153846153846156</v>
      </c>
      <c r="AB34" s="1353">
        <f t="shared" si="4"/>
        <v>0.96153846153846156</v>
      </c>
      <c r="AC34" s="1962">
        <f t="shared" si="5"/>
        <v>0.96153846153846156</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v>1</v>
      </c>
      <c r="L35" s="2721"/>
      <c r="M35" s="2715"/>
      <c r="N35" s="2715"/>
      <c r="O35" s="2715"/>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2">
        <f t="shared" si="5"/>
        <v>1</v>
      </c>
    </row>
    <row r="36" spans="1:29" ht="15">
      <c r="A36" s="423"/>
      <c r="B36" s="375" t="s">
        <v>1785</v>
      </c>
      <c r="C36" s="411" t="s">
        <v>3425</v>
      </c>
      <c r="D36" s="386">
        <v>100</v>
      </c>
      <c r="E36" s="411" t="s">
        <v>3425</v>
      </c>
      <c r="F36" s="412">
        <f>SUMIF(108:108,E36,109:109)-SUMIF(108:108,C36,109:109)+100</f>
        <v>100</v>
      </c>
      <c r="G36" s="411" t="s">
        <v>3425</v>
      </c>
      <c r="H36" s="386">
        <f>SUMIF(108:108,G36,109:109)-SUMIF(108:108,C36,109:109)+100</f>
        <v>100</v>
      </c>
      <c r="I36" s="411" t="s">
        <v>3425</v>
      </c>
      <c r="J36" s="386">
        <f>SUMIF(108:108,I36,109:109)-SUMIF(108:108,C36,109:109)+100</f>
        <v>100</v>
      </c>
      <c r="K36" s="561">
        <v>1</v>
      </c>
      <c r="L36" s="2721"/>
      <c r="M36" s="2715"/>
      <c r="N36" s="2715"/>
      <c r="O36" s="2715"/>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2">
        <f t="shared" si="5"/>
        <v>1</v>
      </c>
    </row>
    <row r="37" spans="1:29" ht="15">
      <c r="A37" s="423"/>
      <c r="B37" s="375" t="s">
        <v>1786</v>
      </c>
      <c r="C37" s="425">
        <f>'数据-取费表'!Y6</f>
        <v>1</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0</v>
      </c>
      <c r="L37" s="2721"/>
      <c r="M37" s="2715"/>
      <c r="N37" s="2715"/>
      <c r="O37" s="2715"/>
      <c r="P37" s="3692"/>
      <c r="Q37" s="1352" t="str">
        <f t="shared" si="11"/>
        <v>成新度</v>
      </c>
      <c r="R37" s="705" t="s">
        <v>14</v>
      </c>
      <c r="S37" s="706">
        <f t="shared" si="12"/>
        <v>100</v>
      </c>
      <c r="T37" s="705" t="s">
        <v>14</v>
      </c>
      <c r="U37" s="706">
        <f t="shared" si="13"/>
        <v>100</v>
      </c>
      <c r="V37" s="705" t="s">
        <v>14</v>
      </c>
      <c r="W37" s="706">
        <f t="shared" si="14"/>
        <v>100</v>
      </c>
      <c r="X37" s="1355"/>
      <c r="Y37" s="3694"/>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1</v>
      </c>
      <c r="L38" s="2716"/>
      <c r="M38" s="2717"/>
      <c r="N38" s="2717"/>
      <c r="O38" s="2717"/>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1</v>
      </c>
      <c r="L39" s="2721"/>
      <c r="M39" s="2715"/>
      <c r="N39" s="2715"/>
      <c r="O39" s="2715"/>
      <c r="P39" s="3692" t="s">
        <v>1696</v>
      </c>
      <c r="Q39" s="1352" t="str">
        <f t="shared" si="11"/>
        <v>物业管理</v>
      </c>
      <c r="R39" s="705" t="s">
        <v>14</v>
      </c>
      <c r="S39" s="706">
        <f t="shared" si="12"/>
        <v>100</v>
      </c>
      <c r="T39" s="705" t="s">
        <v>14</v>
      </c>
      <c r="U39" s="706">
        <f t="shared" si="13"/>
        <v>100</v>
      </c>
      <c r="V39" s="705" t="s">
        <v>14</v>
      </c>
      <c r="W39" s="706">
        <f t="shared" si="14"/>
        <v>100</v>
      </c>
      <c r="X39" s="1355"/>
      <c r="Y39" s="3694" t="s">
        <v>1696</v>
      </c>
      <c r="Z39" s="1356" t="str">
        <f t="shared" si="15"/>
        <v>物业管理</v>
      </c>
      <c r="AA39" s="1353">
        <f t="shared" si="3"/>
        <v>1</v>
      </c>
      <c r="AB39" s="1353">
        <f t="shared" si="4"/>
        <v>1</v>
      </c>
      <c r="AC39" s="1962">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21"/>
      <c r="M40" s="2715"/>
      <c r="N40" s="2715"/>
      <c r="O40" s="2715"/>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2">
        <f t="shared" si="5"/>
        <v>1</v>
      </c>
    </row>
    <row r="43" spans="1:29" ht="15">
      <c r="A43" s="423"/>
      <c r="B43" s="375" t="s">
        <v>1792</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21"/>
      <c r="M43" s="2715"/>
      <c r="N43" s="2715"/>
      <c r="O43" s="2715"/>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2">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1</v>
      </c>
      <c r="L44" s="2721"/>
      <c r="M44" s="2715"/>
      <c r="N44" s="2715"/>
      <c r="O44" s="2715"/>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3">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2">
        <f t="shared" si="5"/>
        <v>1</v>
      </c>
    </row>
    <row r="48" spans="1:29" ht="15">
      <c r="A48" s="430" t="s">
        <v>1708</v>
      </c>
      <c r="B48" s="431"/>
      <c r="C48" s="1154" t="s">
        <v>0</v>
      </c>
      <c r="D48" s="1155"/>
      <c r="E48" s="1156">
        <v>29500</v>
      </c>
      <c r="F48" s="1157"/>
      <c r="G48" s="1158">
        <v>28597</v>
      </c>
      <c r="H48" s="1159"/>
      <c r="I48" s="1156">
        <v>28145</v>
      </c>
      <c r="J48" s="436"/>
      <c r="K48" s="714"/>
      <c r="L48" s="2723"/>
      <c r="M48" s="2715"/>
      <c r="N48" s="2715"/>
      <c r="O48" s="2715"/>
      <c r="P48" s="3667" t="str">
        <f>A48</f>
        <v>成交单价（元/平方米）</v>
      </c>
      <c r="Q48" s="3696"/>
      <c r="R48" s="3697">
        <f>E48</f>
        <v>29500</v>
      </c>
      <c r="S48" s="3697"/>
      <c r="T48" s="3697">
        <f>G48</f>
        <v>28597</v>
      </c>
      <c r="U48" s="3697"/>
      <c r="V48" s="3697">
        <f>I48</f>
        <v>28145</v>
      </c>
      <c r="W48" s="3697"/>
      <c r="X48" s="397"/>
      <c r="Y48" s="712"/>
      <c r="Z48" s="397"/>
      <c r="AA48" s="397"/>
      <c r="AB48" s="397"/>
      <c r="AC48" s="578"/>
    </row>
    <row r="49" spans="1:29" ht="15.75" thickBot="1">
      <c r="A49" s="437" t="s">
        <v>1793</v>
      </c>
      <c r="B49" s="438"/>
      <c r="C49" s="1160">
        <f>R50</f>
        <v>26831</v>
      </c>
      <c r="D49" s="2317" t="s">
        <v>2138</v>
      </c>
      <c r="E49" s="1161">
        <f>R49</f>
        <v>27534</v>
      </c>
      <c r="F49" s="2318"/>
      <c r="G49" s="1160">
        <f>T49</f>
        <v>26691</v>
      </c>
      <c r="H49" s="2318"/>
      <c r="I49" s="1161">
        <f>V49</f>
        <v>26269</v>
      </c>
      <c r="J49" s="2318"/>
      <c r="K49" s="2320">
        <f>F49+H49+J49</f>
        <v>0</v>
      </c>
      <c r="L49" s="2723"/>
      <c r="M49" s="2715"/>
      <c r="N49" s="2715"/>
      <c r="O49" s="2715"/>
      <c r="P49" s="3667" t="str">
        <f>A49</f>
        <v>比较价值（元/平方米）</v>
      </c>
      <c r="Q49" s="3696"/>
      <c r="R49" s="3697">
        <f>IF(F1="售价",ROUND(PRODUCT(R48,AA7:AA47),0),ROUND(PRODUCT(R48,AA7:AA47),1))</f>
        <v>27534</v>
      </c>
      <c r="S49" s="3697"/>
      <c r="T49" s="3697">
        <f>IF(F1="售价",ROUND(PRODUCT(T48,AB7:AB47),0),ROUND(PRODUCT(T48,AB7:AB47),1))</f>
        <v>26691</v>
      </c>
      <c r="U49" s="3697"/>
      <c r="V49" s="3697">
        <f>IF(F1="售价",ROUND(PRODUCT(V48,AC7:AC47),0),ROUND(PRODUCT(V48,AC7:AC47),1))</f>
        <v>26269</v>
      </c>
      <c r="W49" s="3697"/>
      <c r="X49" s="397"/>
      <c r="Y49" s="397"/>
      <c r="Z49" s="397"/>
      <c r="AA49" s="397"/>
      <c r="AB49" s="397"/>
      <c r="AC49" s="578"/>
    </row>
    <row r="50" spans="1:29" ht="15.75" thickBot="1">
      <c r="A50" s="441" t="s">
        <v>1794</v>
      </c>
      <c r="B50" s="442"/>
      <c r="C50" s="1163">
        <f>R50</f>
        <v>26831</v>
      </c>
      <c r="D50" s="1163"/>
      <c r="E50" s="1163"/>
      <c r="F50" s="1163"/>
      <c r="G50" s="1163"/>
      <c r="H50" s="1163"/>
      <c r="I50" s="1163"/>
      <c r="J50" s="443"/>
      <c r="K50" s="715"/>
      <c r="L50" s="2723"/>
      <c r="M50" s="2715"/>
      <c r="N50" s="2715"/>
      <c r="O50" s="2715"/>
      <c r="P50" s="3698" t="str">
        <f>A50</f>
        <v>估价对象XX用房的比较价值（楼面单价，元/平方米）</v>
      </c>
      <c r="Q50" s="3699"/>
      <c r="R50" s="3700">
        <f>IF(F1="售价",ROUND(IF(D49="简单平均",AVERAGE(R49:V49),R49*F49+T49*H49+V49*J49),0),ROUND(IF(D49="简单平均",AVERAGE(R49:V49),R49*F49+T49*H49+V49*J49),1))</f>
        <v>26831</v>
      </c>
      <c r="S50" s="3700"/>
      <c r="T50" s="3700"/>
      <c r="U50" s="3700"/>
      <c r="V50" s="3700"/>
      <c r="W50" s="370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7.1402629476283952E-2</v>
      </c>
      <c r="F53" s="449" t="str">
        <f>IF(OR(E53&gt;=0.3,E53&lt;=-0.3),"超过30%","")</f>
        <v/>
      </c>
      <c r="G53" s="448">
        <f>IF(G48&lt;G49,G49/G48-1,G48/G49-1)</f>
        <v>7.1409838522348279E-2</v>
      </c>
      <c r="H53" s="449" t="str">
        <f>IF(OR(G53&gt;=0.3,G53&lt;=-0.3),"超过30%","")</f>
        <v/>
      </c>
      <c r="I53" s="448">
        <f>IF(I48&lt;I49,I49/I48-1,I48/I49-1)</f>
        <v>7.1414975827020388E-2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3.1583679892098537E-2</v>
      </c>
      <c r="F54" s="449" t="str">
        <f>IF(OR(E54&gt;=0.2,E54&lt;=-0.2),"超过20%","")</f>
        <v/>
      </c>
      <c r="G54" s="448">
        <f>IF(G49&lt;I49,I49/G49-1,G49/I49-1)</f>
        <v>1.6064562792645232E-2</v>
      </c>
      <c r="H54" s="449" t="str">
        <f>IF(OR(G54&gt;=0.2,G54&lt;=-0.2),"超过20%","")</f>
        <v/>
      </c>
      <c r="I54" s="448">
        <f>IF(I49&lt;E49,E49/I49-1,I49/E49-1)</f>
        <v>4.8155620693593137E-2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3.1576738818757111E-2</v>
      </c>
      <c r="F55" s="449" t="str">
        <f>IF(OR(E55&gt;=0.3,E55&lt;=-0.3),"超过30%","")</f>
        <v/>
      </c>
      <c r="G55" s="448">
        <f>IF(G48&lt;I48,I48/G48-1,G48/I48-1)</f>
        <v>1.6059690886480738E-2</v>
      </c>
      <c r="H55" s="449" t="str">
        <f>IF(OR(G55&gt;=0.3,G55&lt;=-0.3),"超过30%","")</f>
        <v/>
      </c>
      <c r="I55" s="448">
        <f>IF(I48&lt;E48,E48/I48-1,I48/E48-1)</f>
        <v>4.8143542369870396E-2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49" t="s">
        <v>3397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0" t="s">
        <v>3398</v>
      </c>
      <c r="D87" s="3450" t="s">
        <v>3399</v>
      </c>
      <c r="E87" s="3450" t="s">
        <v>3400</v>
      </c>
      <c r="F87" s="3450" t="s">
        <v>3401</v>
      </c>
      <c r="G87" s="3450" t="s">
        <v>3402</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t="s">
        <v>3403</v>
      </c>
      <c r="D89" s="503" t="s">
        <v>3404</v>
      </c>
      <c r="E89" s="503" t="s">
        <v>3405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1" t="s">
        <v>3407</v>
      </c>
      <c r="D101" s="3451" t="s">
        <v>3435</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v>4000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55">
        <v>98</v>
      </c>
      <c r="D105" s="3455">
        <v>100</v>
      </c>
      <c r="E105" s="3455">
        <v>98</v>
      </c>
      <c r="F105" s="3455">
        <v>96</v>
      </c>
      <c r="G105" s="345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0" t="s">
        <v>3408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0" t="s">
        <v>3409</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0" t="s">
        <v>3421</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0"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3413</v>
      </c>
      <c r="D117" s="503" t="s">
        <v>3414</v>
      </c>
      <c r="E117" s="503" t="s">
        <v>3415</v>
      </c>
      <c r="F117" s="503" t="s">
        <v>3416</v>
      </c>
      <c r="G117" s="503" t="s">
        <v>3417</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0" t="s">
        <v>3410</v>
      </c>
      <c r="D123" s="3450" t="s">
        <v>3411</v>
      </c>
      <c r="E123" s="3450" t="s">
        <v>3412</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40" sqref="G4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27479</v>
      </c>
      <c r="C2" s="276" t="s">
        <v>1595</v>
      </c>
      <c r="D2" s="276"/>
      <c r="E2" s="2805"/>
      <c r="F2" s="2805"/>
      <c r="G2" s="2805"/>
      <c r="H2" s="2805"/>
      <c r="I2" s="2805"/>
      <c r="J2" s="2805"/>
      <c r="K2" s="2805"/>
    </row>
    <row r="3" spans="1:33" ht="18" customHeight="1" thickBot="1">
      <c r="A3" s="203" t="s">
        <v>1464</v>
      </c>
      <c r="B3" s="204">
        <f ca="1">ROUND(B2*10000/IF(C1="",'数据-汇总表'!E3,INDIRECT("'数据-取费表'!K"&amp;$K$1)),0)</f>
        <v>7287</v>
      </c>
      <c r="C3" s="276" t="s">
        <v>1596</v>
      </c>
      <c r="D3" s="276"/>
      <c r="E3" s="2805"/>
      <c r="F3" s="2805"/>
      <c r="G3" s="2805"/>
      <c r="H3" s="2805"/>
      <c r="I3" s="2805"/>
      <c r="J3" s="2805"/>
      <c r="K3" s="2805"/>
    </row>
    <row r="4" spans="1:33" s="785" customFormat="1" ht="16.5" customHeight="1">
      <c r="A4" s="782" t="s">
        <v>1597</v>
      </c>
      <c r="B4" s="783"/>
      <c r="C4" s="824">
        <f ca="1">SUM(C8:K8)</f>
        <v>30066</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8323</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36123.300000000003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30066</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108</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1613</v>
      </c>
      <c r="C12" s="21">
        <f ca="1">ROUND(C11*F12,0)</f>
        <v>3</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8</v>
      </c>
      <c r="D14" s="846">
        <f ca="1">IF(C1="",'数据-汇总表'!E3,INDIRECT("'数据-取费表'!K"&amp;$K$1)+INDIRECT("'数据-取费表'!S"&amp;$K$1))</f>
        <v>37711.240000000005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121</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37711.240000000005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31</v>
      </c>
      <c r="D18" s="846"/>
      <c r="E18" s="21"/>
      <c r="F18" s="804"/>
      <c r="G18" s="1862" t="s">
        <v>3461</v>
      </c>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717</v>
      </c>
      <c r="D20" s="846">
        <f ca="1">IF(C1="",'数据-汇总表'!E6,IF(INDIRECT("'数据-取费表'!c"&amp;$K$1)="住宅",INDIRECT("'数据-取费表'!s"&amp;$K$1),INDIRECT("'数据-取费表'!k"&amp;$K$1)+INDIRECT("'数据-取费表'!s"&amp;$K$1)))</f>
        <v>37711.240000000005</v>
      </c>
      <c r="E20" s="21">
        <f>'数据-取费表'!B28</f>
        <v>190</v>
      </c>
      <c r="F20" s="804"/>
      <c r="G20" s="12"/>
      <c r="H20" s="809"/>
      <c r="I20" s="809"/>
      <c r="J20" s="809"/>
      <c r="K20" s="810"/>
    </row>
    <row r="21" spans="1:33" s="803" customFormat="1" ht="13.5" customHeight="1">
      <c r="A21" s="790" t="s">
        <v>357</v>
      </c>
      <c r="B21" s="813" t="s">
        <v>1628</v>
      </c>
      <c r="C21" s="814">
        <f ca="1">C16+C17+C18</f>
        <v>152</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4.0000000000000002E-4</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4.0000000000000002E-4</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16</v>
      </c>
      <c r="D28" s="280">
        <f ca="1">C29</f>
        <v>1E-3</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1E-3</v>
      </c>
      <c r="D29" s="284"/>
      <c r="E29" s="285"/>
      <c r="F29" s="290"/>
      <c r="G29" s="131" t="s">
        <v>1644</v>
      </c>
      <c r="H29" s="807"/>
      <c r="I29" s="807"/>
      <c r="J29" s="807"/>
      <c r="K29" s="808"/>
    </row>
    <row r="30" spans="1:33" s="291" customFormat="1" ht="13.5" customHeight="1">
      <c r="A30" s="800" t="s">
        <v>359</v>
      </c>
      <c r="B30" s="822" t="s">
        <v>1645</v>
      </c>
      <c r="C30" s="292">
        <f ca="1">ROUND((C21+C22+C23)*F28,0)</f>
        <v>16</v>
      </c>
      <c r="D30" s="284"/>
      <c r="E30" s="285"/>
      <c r="F30" s="290"/>
      <c r="G30" s="131"/>
      <c r="H30" s="807"/>
      <c r="I30" s="807"/>
      <c r="J30" s="807"/>
      <c r="K30" s="808"/>
    </row>
    <row r="31" spans="1:33" s="803" customFormat="1" ht="13.5" customHeight="1" thickBot="1">
      <c r="A31" s="1866" t="s">
        <v>1646</v>
      </c>
      <c r="B31" s="833" t="s">
        <v>1647</v>
      </c>
      <c r="C31" s="834">
        <f ca="1">ROUND(C4*F31/(1+'数据-取费表'!C42),0)</f>
        <v>1575</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27479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3471</v>
      </c>
      <c r="E1" s="1363" t="s">
        <v>678</v>
      </c>
      <c r="F1" s="1062">
        <f ca="1">J53</f>
        <v>33.96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30066</v>
      </c>
      <c r="C2" s="1387" t="s">
        <v>805</v>
      </c>
      <c r="D2" s="1387"/>
      <c r="E2" s="1388"/>
      <c r="F2" s="1389"/>
      <c r="G2" s="2705"/>
      <c r="H2" s="2694"/>
      <c r="I2" s="2694"/>
      <c r="J2" s="2694"/>
      <c r="K2" s="2695"/>
      <c r="L2" s="2694"/>
      <c r="M2" s="2694"/>
    </row>
    <row r="3" spans="1:37" ht="18" customHeight="1" thickBot="1">
      <c r="A3" s="1390" t="s">
        <v>806</v>
      </c>
      <c r="B3" s="1391">
        <f ca="1">IF(ISERROR(B2*10000/F43),0,ROUND(B2*10000/F43,0))</f>
        <v>8323</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1795</v>
      </c>
      <c r="D5" s="1364" t="s">
        <v>693</v>
      </c>
      <c r="E5" s="1071"/>
      <c r="F5" s="1072"/>
      <c r="G5" s="1384"/>
      <c r="H5" s="299">
        <v>1</v>
      </c>
      <c r="I5" s="300" t="s">
        <v>692</v>
      </c>
      <c r="J5" s="1070">
        <f ca="1">J6+J10+J12</f>
        <v>0</v>
      </c>
      <c r="K5" s="1364" t="s">
        <v>693</v>
      </c>
      <c r="L5" s="1071"/>
      <c r="M5" s="1072"/>
    </row>
    <row r="6" spans="1:37" ht="18" customHeight="1">
      <c r="A6" s="1069" t="s">
        <v>398</v>
      </c>
      <c r="B6" s="3703" t="s">
        <v>694</v>
      </c>
      <c r="C6" s="1074">
        <f ca="1">ROUND(F6*F8*F7*(1-F9)/10000,0)</f>
        <v>1793</v>
      </c>
      <c r="D6" s="155" t="s">
        <v>2109</v>
      </c>
      <c r="E6" s="302" t="s">
        <v>696</v>
      </c>
      <c r="F6" s="303">
        <f ca="1">INDIRECT("'数据-取费表'!u"&amp;$G$1)</f>
        <v>1.7</v>
      </c>
      <c r="G6" s="1384"/>
      <c r="H6" s="1069" t="s">
        <v>398</v>
      </c>
      <c r="I6" s="3703" t="s">
        <v>694</v>
      </c>
      <c r="J6" s="301">
        <f ca="1">ROUND(M6*M8*M7*(1-M9)/10000,0)</f>
        <v>0</v>
      </c>
      <c r="K6" s="155" t="s">
        <v>2108</v>
      </c>
      <c r="L6" s="302" t="s">
        <v>696</v>
      </c>
      <c r="M6" s="303">
        <f ca="1">INDIRECT("'数据-取费表'!z"&amp;$G$1)</f>
        <v>0</v>
      </c>
    </row>
    <row r="7" spans="1:37" ht="18" customHeight="1">
      <c r="A7" s="1073"/>
      <c r="B7" s="3704"/>
      <c r="C7" s="1075"/>
      <c r="D7" s="307"/>
      <c r="E7" s="1076" t="s">
        <v>697</v>
      </c>
      <c r="F7" s="303">
        <f ca="1">IF(INDIRECT("'数据-取费表'!ah"&amp;$G$1)="",INDIRECT("'数据-取费表'!k"&amp;$G$1),INDIRECT("'数据-取费表'!ah"&amp;$G$1))</f>
        <v>36123.300000000003</v>
      </c>
      <c r="G7" s="1384"/>
      <c r="H7" s="304"/>
      <c r="I7" s="3704"/>
      <c r="J7" s="306"/>
      <c r="K7" s="307"/>
      <c r="L7" s="302" t="s">
        <v>697</v>
      </c>
      <c r="M7" s="303">
        <f ca="1">F7</f>
        <v>36123.300000000003</v>
      </c>
    </row>
    <row r="8" spans="1:37" ht="18" customHeight="1">
      <c r="A8" s="304"/>
      <c r="B8" s="3704"/>
      <c r="C8" s="306"/>
      <c r="D8" s="307"/>
      <c r="E8" s="302" t="s">
        <v>698</v>
      </c>
      <c r="F8" s="303">
        <f ca="1">INDIRECT("'数据-取费表'!ai"&amp;$G$1)</f>
        <v>365</v>
      </c>
      <c r="G8" s="1384"/>
      <c r="H8" s="304"/>
      <c r="I8" s="3704"/>
      <c r="J8" s="306"/>
      <c r="K8" s="307"/>
      <c r="L8" s="302" t="s">
        <v>698</v>
      </c>
      <c r="M8" s="303">
        <f ca="1">INDIRECT("'数据-取费表'!ai"&amp;$G$1)</f>
        <v>365</v>
      </c>
    </row>
    <row r="9" spans="1:37" ht="18" customHeight="1">
      <c r="A9" s="304"/>
      <c r="B9" s="3705"/>
      <c r="C9" s="306"/>
      <c r="D9" s="307"/>
      <c r="E9" s="302" t="s">
        <v>699</v>
      </c>
      <c r="F9" s="312">
        <f ca="1">INDIRECT("'数据-取费表'!w"&amp;$G$1)</f>
        <v>0.2</v>
      </c>
      <c r="G9" s="1384"/>
      <c r="H9" s="304"/>
      <c r="I9" s="3705"/>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14884</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10837</v>
      </c>
      <c r="D14" s="1345" t="s">
        <v>708</v>
      </c>
      <c r="E14" s="1342"/>
      <c r="F14" s="319"/>
      <c r="G14" s="1384"/>
      <c r="H14" s="982" t="s">
        <v>398</v>
      </c>
      <c r="I14" s="302" t="s">
        <v>709</v>
      </c>
      <c r="J14" s="21">
        <f ca="1">C29</f>
        <v>14884</v>
      </c>
      <c r="K14" s="12"/>
      <c r="L14" s="807"/>
      <c r="M14" s="808"/>
    </row>
    <row r="15" spans="1:37" s="1397" customFormat="1" ht="18" customHeight="1" thickBot="1">
      <c r="A15" s="982" t="s">
        <v>399</v>
      </c>
      <c r="B15" s="302" t="s">
        <v>710</v>
      </c>
      <c r="C15" s="21">
        <f ca="1">ROUND(C14*F15,0)</f>
        <v>325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122</v>
      </c>
      <c r="K16" s="1087" t="s">
        <v>715</v>
      </c>
      <c r="L16" s="1088"/>
      <c r="M16" s="1072"/>
    </row>
    <row r="17" spans="1:37" s="1397" customFormat="1" ht="18" customHeight="1">
      <c r="A17" s="982" t="s">
        <v>681</v>
      </c>
      <c r="B17" s="302" t="s">
        <v>716</v>
      </c>
      <c r="C17" s="21">
        <f ca="1">ROUND(F17*(F43+INDIRECT("'数据-取费表'!S"&amp;$G$1))/10000,0)</f>
        <v>754</v>
      </c>
      <c r="D17" s="302" t="s">
        <v>717</v>
      </c>
      <c r="E17" s="302" t="s">
        <v>718</v>
      </c>
      <c r="F17" s="23">
        <f>'数据-取费表'!B35</f>
        <v>200</v>
      </c>
      <c r="G17" s="1396"/>
      <c r="H17" s="982" t="s">
        <v>398</v>
      </c>
      <c r="I17" s="302" t="s">
        <v>719</v>
      </c>
      <c r="J17" s="2316">
        <f ca="1">ROUND(IF(AND(项目基本情况!B11="自然人",项目基本情况!B10="北京市"),J6*M17/(1+'数据-取费表'!C42),J18+J19+J20),2)</f>
        <v>2.73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12079</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242</v>
      </c>
      <c r="D20" s="323" t="s">
        <v>729</v>
      </c>
      <c r="E20" s="302" t="s">
        <v>712</v>
      </c>
      <c r="F20" s="322">
        <f>'数据-取费表'!B37</f>
        <v>0.02</v>
      </c>
      <c r="G20" s="1396"/>
      <c r="H20" s="982" t="s">
        <v>680</v>
      </c>
      <c r="I20" s="155" t="s">
        <v>730</v>
      </c>
      <c r="J20" s="22">
        <f ca="1">ROUND(M20*M21/10000,2)</f>
        <v>2.73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18193.390000000003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119.07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218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-122</v>
      </c>
      <c r="K25" s="1095" t="s">
        <v>753</v>
      </c>
      <c r="L25" s="1096"/>
      <c r="M25" s="1097"/>
    </row>
    <row r="26" spans="1:37">
      <c r="A26" s="982" t="s">
        <v>397</v>
      </c>
      <c r="B26" s="302" t="s">
        <v>754</v>
      </c>
      <c r="C26" s="21">
        <f ca="1">ROUND((C19+C20)*F26,0)</f>
        <v>1232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14884</v>
      </c>
      <c r="D29" s="1092"/>
      <c r="E29" s="1090"/>
      <c r="F29" s="1093"/>
      <c r="G29" s="1396"/>
      <c r="H29" s="334" t="s">
        <v>396</v>
      </c>
      <c r="I29" s="335" t="s">
        <v>768</v>
      </c>
      <c r="J29" s="336">
        <f ca="1">ROUND(J26/(1+F40)^F41,0)</f>
        <v>0</v>
      </c>
      <c r="K29" s="337" t="s">
        <v>769</v>
      </c>
      <c r="L29" s="338"/>
      <c r="M29" s="339">
        <f ca="1">INDIRECT("'数据-取费表'!k"&amp;$G$1)</f>
        <v>36123.300000000003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301.56</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93.92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204.91</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2.73</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18193.390000000003</v>
      </c>
      <c r="G35" s="1384"/>
      <c r="H35" s="2696"/>
      <c r="I35" s="1398"/>
      <c r="J35" s="1399"/>
      <c r="K35" s="2700"/>
      <c r="L35" s="2699"/>
      <c r="M35" s="2699"/>
    </row>
    <row r="36" spans="1:18" ht="18" customHeight="1">
      <c r="A36" s="1102" t="s">
        <v>402</v>
      </c>
      <c r="B36" s="302" t="s">
        <v>738</v>
      </c>
      <c r="C36" s="21">
        <f ca="1">ROUND(C29*F36,2)</f>
        <v>119.07</v>
      </c>
      <c r="D36" s="1344" t="s">
        <v>771</v>
      </c>
      <c r="E36" s="302" t="s">
        <v>712</v>
      </c>
      <c r="F36" s="328">
        <f ca="1">INDIRECT("'数据-取费表'!Ak"&amp;$G$1)</f>
        <v>8.0000000000000002E-3</v>
      </c>
      <c r="G36" s="1384"/>
      <c r="H36" s="2699"/>
      <c r="I36" s="1398"/>
      <c r="J36" s="1399"/>
      <c r="K36" s="2543"/>
      <c r="L36" s="2699"/>
      <c r="M36" s="2699"/>
    </row>
    <row r="37" spans="1:18" ht="18" customHeight="1">
      <c r="A37" s="982" t="s">
        <v>437</v>
      </c>
      <c r="B37" s="302" t="s">
        <v>742</v>
      </c>
      <c r="C37" s="21">
        <f ca="1">ROUND(C13*F37,2)</f>
        <v>14.88</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14.36</v>
      </c>
      <c r="D38" s="1092" t="s">
        <v>748</v>
      </c>
      <c r="E38" s="1090" t="s">
        <v>744</v>
      </c>
      <c r="F38" s="1086">
        <f ca="1">INDIRECT("'数据-取费表'!Am"&amp;$G$1)</f>
        <v>8.0000000000000002E-3</v>
      </c>
      <c r="G38" s="1384"/>
      <c r="H38" s="2699"/>
      <c r="I38" s="1398"/>
      <c r="J38" s="1399"/>
      <c r="K38" s="2703"/>
      <c r="L38" s="2699"/>
      <c r="M38" s="2699"/>
    </row>
    <row r="39" spans="1:18" ht="24.6" customHeight="1" thickTop="1">
      <c r="A39" s="1079" t="s">
        <v>394</v>
      </c>
      <c r="B39" s="1094" t="s">
        <v>772</v>
      </c>
      <c r="C39" s="310">
        <f ca="1">C5-C30</f>
        <v>1345</v>
      </c>
      <c r="D39" s="1095" t="s">
        <v>773</v>
      </c>
      <c r="E39" s="1096"/>
      <c r="F39" s="1097"/>
      <c r="G39" s="1384"/>
      <c r="H39" s="2699"/>
      <c r="I39" s="1398"/>
      <c r="J39" s="1399"/>
      <c r="K39" s="2703"/>
      <c r="L39" s="2699"/>
      <c r="M39" s="2699"/>
    </row>
    <row r="40" spans="1:18" ht="18" customHeight="1">
      <c r="A40" s="299" t="s">
        <v>395</v>
      </c>
      <c r="B40" s="300" t="s">
        <v>774</v>
      </c>
      <c r="C40" s="301">
        <f ca="1">ROUND(C39*(1-((1+F42)/(1+F40))^F41)/(F40-F42),0)</f>
        <v>30066</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33.96</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8323</v>
      </c>
      <c r="D43" s="337" t="s">
        <v>777</v>
      </c>
      <c r="E43" s="338" t="s">
        <v>778</v>
      </c>
      <c r="F43" s="339">
        <f ca="1">INDIRECT("'数据-取费表'!k"&amp;$G$1)</f>
        <v>36123.300000000003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-32283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30066</v>
      </c>
      <c r="R47" s="1420" t="s">
        <v>818</v>
      </c>
    </row>
    <row r="48" spans="1:18" s="1384" customFormat="1" ht="28.5" thickBot="1">
      <c r="A48" s="1110" t="s">
        <v>438</v>
      </c>
      <c r="B48" s="300" t="s">
        <v>692</v>
      </c>
      <c r="C48" s="1359">
        <f ca="1">C49+C53+C55</f>
        <v>0</v>
      </c>
      <c r="D48" s="1112"/>
      <c r="E48" s="1113"/>
      <c r="F48" s="962"/>
      <c r="G48" s="722"/>
      <c r="H48" s="723"/>
      <c r="I48" s="1421" t="s">
        <v>819</v>
      </c>
      <c r="J48" s="1422" t="s">
        <v>3454</v>
      </c>
      <c r="K48" s="1423" t="s">
        <v>820</v>
      </c>
      <c r="L48" s="1424">
        <f ca="1">INDIRECT("'数据-取费表'!f"&amp;$G$1)</f>
        <v>33.97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14884</v>
      </c>
      <c r="R49" s="1420" t="s">
        <v>818</v>
      </c>
    </row>
    <row r="50" spans="1:18" s="1384" customFormat="1" ht="13.5" thickBot="1">
      <c r="A50" s="976"/>
      <c r="B50" s="979"/>
      <c r="C50" s="1118"/>
      <c r="D50" s="953"/>
      <c r="E50" s="1056" t="s">
        <v>697</v>
      </c>
      <c r="F50" s="1057">
        <f ca="1">F7</f>
        <v>36123.300000000003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5957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33.96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33.96</v>
      </c>
      <c r="K53" s="3701" t="s">
        <v>837</v>
      </c>
      <c r="L53" s="3702"/>
      <c r="O53" s="1418" t="s">
        <v>409</v>
      </c>
      <c r="P53" s="1419" t="s">
        <v>838</v>
      </c>
      <c r="Q53" s="1420">
        <f ca="1">Q47+Q48</f>
        <v>30066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14884</v>
      </c>
      <c r="D56" s="1447"/>
      <c r="E56" s="1448"/>
      <c r="F56" s="1440"/>
      <c r="I56" s="1449" t="s">
        <v>842</v>
      </c>
      <c r="J56" s="1450" t="s">
        <v>3389</v>
      </c>
      <c r="K56" s="1421" t="s">
        <v>843</v>
      </c>
      <c r="L56" s="1424" t="str">
        <f ca="1">IF(L48&lt;J51,"——",L48-J53)</f>
        <v>——</v>
      </c>
      <c r="O56" s="1418" t="s">
        <v>403</v>
      </c>
      <c r="P56" s="1419" t="s">
        <v>817</v>
      </c>
      <c r="Q56" s="1420">
        <f ca="1">C40+J29</f>
        <v>30066</v>
      </c>
      <c r="R56" s="1420" t="s">
        <v>818</v>
      </c>
    </row>
    <row r="57" spans="1:18" s="1384" customFormat="1" ht="24.75" thickBot="1">
      <c r="A57" s="1451"/>
      <c r="B57" s="950" t="s">
        <v>767</v>
      </c>
      <c r="C57" s="238">
        <f ca="1">C29</f>
        <v>14884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2.73</v>
      </c>
      <c r="D62" s="965" t="s">
        <v>786</v>
      </c>
      <c r="E62" s="950" t="s">
        <v>787</v>
      </c>
      <c r="F62" s="325">
        <f t="shared" si="0"/>
        <v>1.5</v>
      </c>
      <c r="I62" s="1462" t="s">
        <v>858</v>
      </c>
      <c r="J62" s="1463" t="s">
        <v>859</v>
      </c>
      <c r="K62" s="1463" t="s">
        <v>860</v>
      </c>
      <c r="L62" s="1463" t="s">
        <v>861</v>
      </c>
      <c r="M62" s="1464" t="s">
        <v>862</v>
      </c>
      <c r="O62" s="1418" t="s">
        <v>409</v>
      </c>
      <c r="P62" s="1419" t="s">
        <v>863</v>
      </c>
      <c r="Q62" s="1420">
        <f ca="1">Q56+Q57</f>
        <v>30066</v>
      </c>
      <c r="R62" s="1420" t="s">
        <v>410</v>
      </c>
    </row>
    <row r="63" spans="1:18" s="1384" customFormat="1" ht="13.5" thickBot="1">
      <c r="A63" s="326"/>
      <c r="B63" s="956"/>
      <c r="C63" s="26"/>
      <c r="D63" s="966"/>
      <c r="E63" s="950" t="s">
        <v>788</v>
      </c>
      <c r="F63" s="303">
        <f t="shared" ca="1" si="0"/>
        <v>18193.390000000003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119.07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14.88</v>
      </c>
      <c r="D65" s="964" t="s">
        <v>743</v>
      </c>
      <c r="E65" s="950" t="s">
        <v>744</v>
      </c>
      <c r="F65" s="330">
        <f t="shared" ca="1" si="0"/>
        <v>1E-3</v>
      </c>
      <c r="I65" s="1462" t="s">
        <v>867</v>
      </c>
      <c r="J65" s="1463">
        <v>40</v>
      </c>
      <c r="K65" s="1463">
        <v>30</v>
      </c>
      <c r="L65" s="1463">
        <v>50</v>
      </c>
      <c r="M65" s="1465">
        <v>0.02</v>
      </c>
      <c r="O65" s="1418" t="s">
        <v>403</v>
      </c>
      <c r="P65" s="1419" t="s">
        <v>868</v>
      </c>
      <c r="Q65" s="1420">
        <f ca="1">C40+J29</f>
        <v>30066</v>
      </c>
      <c r="R65" s="1420" t="s">
        <v>818</v>
      </c>
    </row>
    <row r="66" spans="1:18" s="1384" customFormat="1" ht="16.5" thickBot="1">
      <c r="A66" s="982" t="s">
        <v>793</v>
      </c>
      <c r="B66" s="950" t="s">
        <v>728</v>
      </c>
      <c r="C66" s="21">
        <f ca="1">ROUND(C48*F66,2)</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-137</v>
      </c>
      <c r="D67" s="963" t="s">
        <v>753</v>
      </c>
      <c r="E67" s="968"/>
      <c r="F67" s="969"/>
      <c r="O67" s="1428" t="s">
        <v>405</v>
      </c>
      <c r="P67" s="1419" t="s">
        <v>850</v>
      </c>
      <c r="Q67" s="1466">
        <f ca="1">L51</f>
        <v>5957</v>
      </c>
      <c r="R67" s="1420" t="s">
        <v>870</v>
      </c>
    </row>
    <row r="68" spans="1:18" s="1384" customFormat="1" ht="16.5" thickBot="1">
      <c r="A68" s="947" t="s">
        <v>395</v>
      </c>
      <c r="B68" s="948" t="s">
        <v>774</v>
      </c>
      <c r="C68" s="301">
        <f ca="1">ROUND(C67*(1-((1+F70)/(1+F68))^F69)/(F68-F70),0)</f>
        <v>-2217</v>
      </c>
      <c r="D68" s="965" t="s">
        <v>758</v>
      </c>
      <c r="E68" s="950" t="s">
        <v>759</v>
      </c>
      <c r="F68" s="312">
        <f ca="1">F40</f>
        <v>0.05</v>
      </c>
      <c r="O68" s="1428" t="s">
        <v>406</v>
      </c>
      <c r="P68" s="1467" t="s">
        <v>871</v>
      </c>
      <c r="Q68" s="1420">
        <f ca="1">ROUND(Q69-Q70*Q71,0)</f>
        <v>303</v>
      </c>
      <c r="R68" s="1420" t="s">
        <v>414</v>
      </c>
    </row>
    <row r="69" spans="1:18" s="1384" customFormat="1" ht="13.5" thickBot="1">
      <c r="A69" s="951"/>
      <c r="B69" s="952"/>
      <c r="C69" s="306"/>
      <c r="D69" s="970" t="s">
        <v>762</v>
      </c>
      <c r="E69" s="950" t="s">
        <v>763</v>
      </c>
      <c r="F69" s="333">
        <f ca="1">F41</f>
        <v>33.96</v>
      </c>
      <c r="O69" s="1428" t="s">
        <v>411</v>
      </c>
      <c r="P69" s="1467" t="s">
        <v>872</v>
      </c>
      <c r="Q69" s="1420">
        <f ca="1">C39</f>
        <v>1345</v>
      </c>
      <c r="R69" s="1420" t="s">
        <v>818</v>
      </c>
    </row>
    <row r="70" spans="1:18" s="1384" customFormat="1" ht="13.5" thickBot="1">
      <c r="A70" s="954"/>
      <c r="B70" s="955"/>
      <c r="C70" s="310"/>
      <c r="D70" s="966"/>
      <c r="E70" s="950" t="s">
        <v>766</v>
      </c>
      <c r="F70" s="1054"/>
      <c r="O70" s="1428" t="s">
        <v>412</v>
      </c>
      <c r="P70" s="1467" t="s">
        <v>873</v>
      </c>
      <c r="Q70" s="1420">
        <f ca="1">C13</f>
        <v>14884</v>
      </c>
      <c r="R70" s="1420" t="s">
        <v>818</v>
      </c>
    </row>
    <row r="71" spans="1:18" s="1384" customFormat="1" ht="13.5" thickBot="1">
      <c r="A71" s="971" t="s">
        <v>396</v>
      </c>
      <c r="B71" s="972" t="s">
        <v>776</v>
      </c>
      <c r="C71" s="336">
        <f ca="1">ROUND(C68*10000/F71,0)</f>
        <v>-614</v>
      </c>
      <c r="D71" s="973" t="s">
        <v>777</v>
      </c>
      <c r="E71" s="974" t="s">
        <v>778</v>
      </c>
      <c r="F71" s="339">
        <f ca="1">F43</f>
        <v>36123.300000000003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1042</v>
      </c>
      <c r="D75" s="1384"/>
      <c r="E75" s="1384"/>
      <c r="F75" s="1384"/>
      <c r="K75" s="1402"/>
      <c r="L75" s="1384"/>
      <c r="O75" s="1418" t="s">
        <v>409</v>
      </c>
      <c r="P75" s="1419" t="s">
        <v>838</v>
      </c>
      <c r="Q75" s="1420">
        <f ca="1">Q65+Q66</f>
        <v>30066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0.22499999999999998</v>
      </c>
    </row>
    <row r="80" spans="1:18">
      <c r="B80" s="340" t="s">
        <v>800</v>
      </c>
      <c r="C80" s="274">
        <f ca="1">ROUND(C75/C39,3)</f>
        <v>0.77500000000000002</v>
      </c>
    </row>
    <row r="81" spans="2:3">
      <c r="B81" s="270" t="s">
        <v>801</v>
      </c>
      <c r="C81" s="238"/>
    </row>
    <row r="82" spans="2:3">
      <c r="B82" s="273" t="s">
        <v>802</v>
      </c>
      <c r="C82" s="275">
        <f ca="1">1-C83</f>
        <v>0.505</v>
      </c>
    </row>
    <row r="83" spans="2:3">
      <c r="B83" s="273" t="s">
        <v>803</v>
      </c>
      <c r="C83" s="274">
        <f ca="1">ROUND(C13/C40,3)</f>
        <v>0.495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#N/A</v>
      </c>
      <c r="C2" s="1387" t="s">
        <v>879</v>
      </c>
      <c r="D2" s="1471" t="e">
        <f ca="1">C40+J29+L46</f>
        <v>#N/A</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03" t="s">
        <v>694</v>
      </c>
      <c r="C6" s="1074" t="e">
        <f ca="1">ROUND(F6*F8*F7*(1-F9),0)</f>
        <v>#N/A</v>
      </c>
      <c r="D6" s="155" t="s">
        <v>2106</v>
      </c>
      <c r="E6" s="302" t="s">
        <v>696</v>
      </c>
      <c r="F6" s="303" t="e">
        <f ca="1">INDIRECT("'数据-取费表'!u"&amp;$G$1)</f>
        <v>#N/A</v>
      </c>
      <c r="G6" s="1384"/>
      <c r="H6" s="1069" t="s">
        <v>398</v>
      </c>
      <c r="I6" s="3703" t="s">
        <v>694</v>
      </c>
      <c r="J6" s="301" t="e">
        <f ca="1">ROUND(M6*M8*M7*(1-M9),0)</f>
        <v>#N/A</v>
      </c>
      <c r="K6" s="1376" t="s">
        <v>2107</v>
      </c>
      <c r="L6" s="302" t="s">
        <v>696</v>
      </c>
      <c r="M6" s="303" t="e">
        <f ca="1">INDIRECT("'数据-取费表'!z"&amp;$G$1)</f>
        <v>#N/A</v>
      </c>
    </row>
    <row r="7" spans="1:37" ht="18" customHeight="1">
      <c r="A7" s="1073"/>
      <c r="B7" s="3704"/>
      <c r="C7" s="1075"/>
      <c r="D7" s="307"/>
      <c r="E7" s="1076" t="s">
        <v>697</v>
      </c>
      <c r="F7" s="303" t="e">
        <f ca="1">IF(INDIRECT("'数据-取费表'!ah"&amp;$G$1)="",INDIRECT("'数据-取费表'!k"&amp;$G$1),INDIRECT("'数据-取费表'!ah"&amp;$G$1))</f>
        <v>#N/A</v>
      </c>
      <c r="G7" s="1384"/>
      <c r="H7" s="304"/>
      <c r="I7" s="3704"/>
      <c r="J7" s="306"/>
      <c r="K7" s="307"/>
      <c r="L7" s="302" t="s">
        <v>697</v>
      </c>
      <c r="M7" s="303" t="e">
        <f ca="1">F7</f>
        <v>#N/A</v>
      </c>
    </row>
    <row r="8" spans="1:37" ht="18" customHeight="1">
      <c r="A8" s="304"/>
      <c r="B8" s="3704"/>
      <c r="C8" s="306"/>
      <c r="D8" s="307"/>
      <c r="E8" s="302" t="s">
        <v>698</v>
      </c>
      <c r="F8" s="303" t="e">
        <f ca="1">INDIRECT("'数据-取费表'!ai"&amp;$G$1)</f>
        <v>#N/A</v>
      </c>
      <c r="G8" s="1384"/>
      <c r="H8" s="304"/>
      <c r="I8" s="3704"/>
      <c r="J8" s="306"/>
      <c r="K8" s="307"/>
      <c r="L8" s="302" t="s">
        <v>698</v>
      </c>
      <c r="M8" s="303" t="e">
        <f ca="1">INDIRECT("'数据-取费表'!ai"&amp;$G$1)</f>
        <v>#N/A</v>
      </c>
    </row>
    <row r="9" spans="1:37" ht="18" customHeight="1">
      <c r="A9" s="304"/>
      <c r="B9" s="3705"/>
      <c r="C9" s="306"/>
      <c r="D9" s="307"/>
      <c r="E9" s="302" t="s">
        <v>699</v>
      </c>
      <c r="F9" s="312" t="e">
        <f ca="1">INDIRECT("'数据-取费表'!w"&amp;$G$1)</f>
        <v>#N/A</v>
      </c>
      <c r="G9" s="1384"/>
      <c r="H9" s="304"/>
      <c r="I9" s="370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3340</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6"/>
      <c r="I30" s="1398"/>
      <c r="J30" s="1399"/>
      <c r="K30" s="2474"/>
      <c r="L30" s="2697"/>
      <c r="M30" s="2698"/>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e">
        <f ca="1">IF(项目基本情况!B11="自然人","——",ROUND(F34*F35,0))</f>
        <v>#N/A</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ROUND(C29*F36,0)</f>
        <v>#N/A</v>
      </c>
      <c r="D36" s="1344" t="s">
        <v>771</v>
      </c>
      <c r="E36" s="302" t="s">
        <v>712</v>
      </c>
      <c r="F36" s="328" t="e">
        <f ca="1">INDIRECT("'数据-取费表'!Ak"&amp;$G$1)</f>
        <v>#N/A</v>
      </c>
      <c r="G36" s="1384"/>
      <c r="H36" s="2699"/>
      <c r="I36" s="1398"/>
      <c r="J36" s="1399"/>
      <c r="K36" s="2543"/>
      <c r="L36" s="2699"/>
      <c r="M36" s="2699"/>
    </row>
    <row r="37" spans="1:18" ht="18" customHeight="1">
      <c r="A37" s="982" t="s">
        <v>437</v>
      </c>
      <c r="B37" s="302" t="s">
        <v>742</v>
      </c>
      <c r="C37" s="21" t="e">
        <f ca="1">ROUND(C13*F37,0)</f>
        <v>#N/A</v>
      </c>
      <c r="D37" s="1344" t="s">
        <v>743</v>
      </c>
      <c r="E37" s="302" t="s">
        <v>744</v>
      </c>
      <c r="F37" s="330" t="e">
        <f ca="1">INDIRECT("'数据-取费表'!Al"&amp;$G$1)</f>
        <v>#N/A</v>
      </c>
      <c r="G37" s="1384"/>
      <c r="H37" s="2699"/>
      <c r="I37" s="1398"/>
      <c r="J37" s="1399"/>
      <c r="K37" s="2543"/>
      <c r="L37" s="2699"/>
      <c r="M37" s="2699"/>
    </row>
    <row r="38" spans="1:18" ht="18" customHeight="1" thickBot="1">
      <c r="A38" s="1089" t="s">
        <v>684</v>
      </c>
      <c r="B38" s="1090" t="s">
        <v>728</v>
      </c>
      <c r="C38" s="1091" t="e">
        <f ca="1">ROUND(C5*F38,0)</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772</v>
      </c>
      <c r="C39" s="310" t="e">
        <f ca="1">C5-C30</f>
        <v>#N/A</v>
      </c>
      <c r="D39" s="1095" t="s">
        <v>773</v>
      </c>
      <c r="E39" s="1096"/>
      <c r="F39" s="1097"/>
      <c r="G39" s="1384"/>
      <c r="H39" s="2699" t="e">
        <f ca="1">C39/C5</f>
        <v>#N/A</v>
      </c>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3"/>
      <c r="L41" s="1191"/>
      <c r="M41" s="1191"/>
    </row>
    <row r="42" spans="1:18" ht="18" customHeight="1">
      <c r="A42" s="308"/>
      <c r="B42" s="309"/>
      <c r="C42" s="310"/>
      <c r="D42" s="327"/>
      <c r="E42" s="302" t="s">
        <v>766</v>
      </c>
      <c r="F42" s="312" t="e">
        <f ca="1">INDIRECT("'数据-取费表'!v"&amp;$G$1)</f>
        <v>#N/A</v>
      </c>
      <c r="G42" s="1384"/>
      <c r="H42" s="1191"/>
      <c r="I42" s="1398"/>
      <c r="J42" s="1399"/>
      <c r="K42" s="2543"/>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#N/A</v>
      </c>
      <c r="D45" s="3431" t="s">
        <v>3357</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3393</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701" t="s">
        <v>837</v>
      </c>
      <c r="L53" s="3702"/>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3380</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3340</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3363</v>
      </c>
      <c r="E2" s="3443"/>
      <c r="F2" s="2845"/>
      <c r="G2" s="2846"/>
      <c r="H2" s="2847"/>
      <c r="I2" s="2848"/>
      <c r="J2" s="3706" t="s">
        <v>2320</v>
      </c>
      <c r="K2" s="370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8" t="s">
        <v>2330</v>
      </c>
      <c r="K3" s="370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8" t="s">
        <v>2332</v>
      </c>
      <c r="K4" s="370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0" t="s">
        <v>2336</v>
      </c>
      <c r="B6" s="3711"/>
      <c r="C6" s="3712"/>
      <c r="D6" s="2869"/>
      <c r="E6" s="2870"/>
      <c r="F6" s="2871"/>
      <c r="G6" s="2872"/>
      <c r="H6" s="2847"/>
      <c r="I6" s="2848"/>
      <c r="J6" s="3713">
        <v>1</v>
      </c>
      <c r="K6" s="3714"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13"/>
      <c r="K7" s="3715"/>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7" t="s">
        <v>2350</v>
      </c>
      <c r="C8" s="3718"/>
      <c r="D8" s="2888" t="s">
        <v>2351</v>
      </c>
      <c r="E8" s="2889" t="s">
        <v>2352</v>
      </c>
      <c r="F8" s="2890" t="s">
        <v>2353</v>
      </c>
      <c r="G8" s="2891"/>
      <c r="H8" s="2847"/>
      <c r="I8" s="2848"/>
      <c r="J8" s="3713"/>
      <c r="K8" s="3715"/>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7" t="s">
        <v>2356</v>
      </c>
      <c r="C9" s="3718"/>
      <c r="D9" s="2888">
        <f>ROUND(D6*E9,0)</f>
        <v>0</v>
      </c>
      <c r="E9" s="2892"/>
      <c r="F9" s="2893" t="s">
        <v>2357</v>
      </c>
      <c r="G9" s="2872"/>
      <c r="H9" s="2847"/>
      <c r="I9" s="2848"/>
      <c r="J9" s="3713"/>
      <c r="K9" s="3715"/>
      <c r="L9" s="2882" t="s">
        <v>2358</v>
      </c>
      <c r="M9" s="2883"/>
      <c r="N9" s="2859"/>
      <c r="O9" s="2884"/>
      <c r="P9" s="2884"/>
      <c r="Q9" s="2885">
        <v>365</v>
      </c>
      <c r="R9" s="2886">
        <f t="shared" si="0"/>
        <v>0</v>
      </c>
      <c r="S9" s="2840"/>
      <c r="T9" s="2840"/>
      <c r="U9" s="2840"/>
      <c r="V9" s="2848"/>
    </row>
    <row r="10" spans="1:22" s="2852" customFormat="1" ht="13.15" customHeight="1">
      <c r="A10" s="2887">
        <v>2</v>
      </c>
      <c r="B10" s="3717" t="s">
        <v>2359</v>
      </c>
      <c r="C10" s="3718"/>
      <c r="D10" s="2888">
        <f>ROUND(D6*E10,0)</f>
        <v>0</v>
      </c>
      <c r="E10" s="2892"/>
      <c r="F10" s="2893" t="s">
        <v>2360</v>
      </c>
      <c r="G10" s="2872"/>
      <c r="H10" s="2847"/>
      <c r="I10" s="2848"/>
      <c r="J10" s="3713"/>
      <c r="K10" s="3715"/>
      <c r="L10" s="2882" t="s">
        <v>2361</v>
      </c>
      <c r="M10" s="2883"/>
      <c r="N10" s="2859"/>
      <c r="O10" s="2884"/>
      <c r="P10" s="2884"/>
      <c r="Q10" s="2885">
        <v>365</v>
      </c>
      <c r="R10" s="2886">
        <f t="shared" si="0"/>
        <v>0</v>
      </c>
      <c r="S10" s="2840"/>
      <c r="T10" s="2840"/>
      <c r="U10" s="2840"/>
      <c r="V10" s="2848"/>
    </row>
    <row r="11" spans="1:22" s="2852" customFormat="1" ht="13.15" customHeight="1">
      <c r="A11" s="2887">
        <v>3</v>
      </c>
      <c r="B11" s="3717" t="s">
        <v>2362</v>
      </c>
      <c r="C11" s="3718"/>
      <c r="D11" s="2888">
        <f>D12+D14+D15+D16</f>
        <v>0</v>
      </c>
      <c r="E11" s="2894" t="e">
        <f>D11/D6</f>
        <v>#DIV/0!</v>
      </c>
      <c r="F11" s="2890"/>
      <c r="G11" s="2891"/>
      <c r="H11" s="2847"/>
      <c r="I11" s="2848"/>
      <c r="J11" s="3713"/>
      <c r="K11" s="3715"/>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9" t="s">
        <v>2365</v>
      </c>
      <c r="C12" s="3720"/>
      <c r="D12" s="2896">
        <f>ROUND(D13*1.2%*(1-30%),0)</f>
        <v>0</v>
      </c>
      <c r="E12" s="2897">
        <v>1.2E-2</v>
      </c>
      <c r="F12" s="2890" t="s">
        <v>2366</v>
      </c>
      <c r="G12" s="2891"/>
      <c r="H12" s="2847"/>
      <c r="I12" s="2848"/>
      <c r="J12" s="3713"/>
      <c r="K12" s="3715"/>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13"/>
      <c r="K13" s="3715"/>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9" t="s">
        <v>2371</v>
      </c>
      <c r="C14" s="3720"/>
      <c r="D14" s="2896">
        <f>ROUND(E14*B5/10000,0)</f>
        <v>0</v>
      </c>
      <c r="E14" s="2885"/>
      <c r="F14" s="2890" t="s">
        <v>2372</v>
      </c>
      <c r="G14" s="2891"/>
      <c r="H14" s="2847"/>
      <c r="I14" s="2848"/>
      <c r="J14" s="3713"/>
      <c r="K14" s="3716"/>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9" t="s">
        <v>2375</v>
      </c>
      <c r="C15" s="3720"/>
      <c r="D15" s="2896">
        <f>ROUND(D6*E15,0)</f>
        <v>0</v>
      </c>
      <c r="E15" s="2897">
        <v>5.5E-2</v>
      </c>
      <c r="F15" s="2890" t="s">
        <v>2376</v>
      </c>
      <c r="G15" s="2872"/>
      <c r="H15" s="2847"/>
      <c r="I15" s="2848"/>
      <c r="J15" s="3713">
        <v>2</v>
      </c>
      <c r="K15" s="3714"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9" t="s">
        <v>2384</v>
      </c>
      <c r="C16" s="3720"/>
      <c r="D16" s="2907">
        <f>D6*E16</f>
        <v>0</v>
      </c>
      <c r="E16" s="2908"/>
      <c r="F16" s="2893" t="s">
        <v>2385</v>
      </c>
      <c r="G16" s="2872"/>
      <c r="H16" s="2847"/>
      <c r="I16" s="2848"/>
      <c r="J16" s="3713"/>
      <c r="K16" s="3715"/>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1" t="s">
        <v>2387</v>
      </c>
      <c r="C17" s="3722"/>
      <c r="D17" s="2910">
        <f>ROUND(D6*E17,0)</f>
        <v>0</v>
      </c>
      <c r="E17" s="2911"/>
      <c r="F17" s="2912" t="s">
        <v>2388</v>
      </c>
      <c r="G17" s="2872"/>
      <c r="H17" s="2847"/>
      <c r="I17" s="2848"/>
      <c r="J17" s="3713"/>
      <c r="K17" s="3715"/>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13"/>
      <c r="K18" s="3715"/>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13"/>
      <c r="K19" s="3716"/>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3">
        <v>3</v>
      </c>
      <c r="K20" s="3714"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13"/>
      <c r="K21" s="3715"/>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13"/>
      <c r="K22" s="3715"/>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13"/>
      <c r="K23" s="3715"/>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13"/>
      <c r="K24" s="3716"/>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23">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2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6" t="s">
        <v>2320</v>
      </c>
      <c r="K32" s="370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8" t="s">
        <v>2330</v>
      </c>
      <c r="K33" s="370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8" t="s">
        <v>2332</v>
      </c>
      <c r="K34" s="370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13">
        <v>1</v>
      </c>
      <c r="K36" s="3714"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13"/>
      <c r="K37" s="3715"/>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3"/>
      <c r="K38" s="3715"/>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13"/>
      <c r="K39" s="3715"/>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13"/>
      <c r="K40" s="3716"/>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3">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2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30066</v>
      </c>
      <c r="C2" s="1872" t="s">
        <v>1651</v>
      </c>
      <c r="D2" s="1873" t="s">
        <v>1652</v>
      </c>
      <c r="E2" s="2606">
        <f>SUM(E6:E13)</f>
        <v>37711.240000000005</v>
      </c>
      <c r="F2" s="2706"/>
      <c r="G2" s="1489"/>
      <c r="H2" s="1489"/>
      <c r="I2" s="1489"/>
      <c r="J2" s="1489"/>
      <c r="K2" s="1489"/>
      <c r="L2" s="1489"/>
      <c r="M2" s="1489"/>
      <c r="N2" s="1489"/>
      <c r="O2" s="1489"/>
      <c r="P2" s="1489"/>
      <c r="Q2" s="1489"/>
      <c r="R2" s="1489"/>
      <c r="S2" s="1489"/>
    </row>
    <row r="3" spans="1:22" ht="15.75">
      <c r="A3" s="1870" t="s">
        <v>686</v>
      </c>
      <c r="B3" s="2600">
        <f ca="1">ROUND(B2*10000/E2,0)</f>
        <v>7973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25" t="s">
        <v>1654</v>
      </c>
      <c r="C5" s="3726"/>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30066</v>
      </c>
      <c r="C6" s="1872" t="s">
        <v>1651</v>
      </c>
      <c r="D6" s="2708"/>
      <c r="E6" s="2605">
        <f>IF(OR(A6=0,F6="否"),0,'数据-取费表'!K6+'数据-取费表'!S6)</f>
        <v>37711.240000000005</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37711.240000000005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1" t="s">
        <v>1667</v>
      </c>
      <c r="D4" s="3672"/>
      <c r="E4" s="3673" t="s">
        <v>1668</v>
      </c>
      <c r="F4" s="3674"/>
      <c r="G4" s="3671" t="s">
        <v>1669</v>
      </c>
      <c r="H4" s="3672"/>
      <c r="I4" s="3671" t="s">
        <v>1670</v>
      </c>
      <c r="J4" s="3672"/>
      <c r="K4" s="1889" t="s">
        <v>1671</v>
      </c>
      <c r="L4" s="2714"/>
      <c r="M4" s="2715"/>
      <c r="N4" s="2715"/>
      <c r="O4" s="2715"/>
      <c r="P4" s="3731" t="s">
        <v>1672</v>
      </c>
      <c r="Q4" s="3732"/>
      <c r="R4" s="3728" t="s">
        <v>1668</v>
      </c>
      <c r="S4" s="3729"/>
      <c r="T4" s="3728" t="s">
        <v>1669</v>
      </c>
      <c r="U4" s="3729"/>
      <c r="V4" s="3684" t="s">
        <v>1670</v>
      </c>
      <c r="W4" s="3684"/>
      <c r="X4" s="1355"/>
      <c r="Y4" s="3728" t="s">
        <v>1672</v>
      </c>
      <c r="Z4" s="3729"/>
      <c r="AA4" s="3727" t="s">
        <v>1668</v>
      </c>
      <c r="AB4" s="3727" t="s">
        <v>1669</v>
      </c>
      <c r="AC4" s="3727" t="s">
        <v>1670</v>
      </c>
    </row>
    <row r="5" spans="1:29" ht="15">
      <c r="A5" s="358"/>
      <c r="B5" s="359"/>
      <c r="C5" s="3660" t="s">
        <v>1673</v>
      </c>
      <c r="D5" s="3661"/>
      <c r="E5" s="3730" t="s">
        <v>1674</v>
      </c>
      <c r="F5" s="3659"/>
      <c r="G5" s="3660" t="s">
        <v>1675</v>
      </c>
      <c r="H5" s="3661"/>
      <c r="I5" s="3660" t="s">
        <v>1676</v>
      </c>
      <c r="J5" s="3661"/>
      <c r="K5" s="1890"/>
      <c r="L5" s="2714"/>
      <c r="M5" s="2715"/>
      <c r="N5" s="2715"/>
      <c r="O5" s="2715"/>
      <c r="P5" s="3733"/>
      <c r="Q5" s="3678"/>
      <c r="R5" s="3656"/>
      <c r="S5" s="3657"/>
      <c r="T5" s="3656"/>
      <c r="U5" s="3657"/>
      <c r="V5" s="3684"/>
      <c r="W5" s="3684"/>
      <c r="X5" s="1355"/>
      <c r="Y5" s="3656"/>
      <c r="Z5" s="3657"/>
      <c r="AA5" s="3650"/>
      <c r="AB5" s="3650"/>
      <c r="AC5" s="3650"/>
    </row>
    <row r="6" spans="1:29" ht="15.75" thickBot="1">
      <c r="A6" s="360"/>
      <c r="B6" s="361"/>
      <c r="C6" s="3662" t="s">
        <v>1677</v>
      </c>
      <c r="D6" s="3663"/>
      <c r="E6" s="3665" t="s">
        <v>1677</v>
      </c>
      <c r="F6" s="3666"/>
      <c r="G6" s="3662" t="s">
        <v>1677</v>
      </c>
      <c r="H6" s="3663"/>
      <c r="I6" s="3662" t="s">
        <v>1677</v>
      </c>
      <c r="J6" s="3663"/>
      <c r="K6" s="1890" t="s">
        <v>1678</v>
      </c>
      <c r="L6" s="2714"/>
      <c r="M6" s="2715"/>
      <c r="N6" s="2715"/>
      <c r="O6" s="2715"/>
      <c r="P6" s="3734"/>
      <c r="Q6" s="3680"/>
      <c r="R6" s="3656"/>
      <c r="S6" s="3657"/>
      <c r="T6" s="3681"/>
      <c r="U6" s="3682"/>
      <c r="V6" s="3684"/>
      <c r="W6" s="3684"/>
      <c r="X6" s="1355"/>
      <c r="Y6" s="3681"/>
      <c r="Z6" s="3682"/>
      <c r="AA6" s="3651"/>
      <c r="AB6" s="3651"/>
      <c r="AC6" s="3651"/>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52" t="s">
        <v>1680</v>
      </c>
      <c r="Q7" s="3686"/>
      <c r="R7" s="701" t="s">
        <v>20</v>
      </c>
      <c r="S7" s="702">
        <f t="shared" ref="S7:S15" si="0">F7</f>
        <v>0</v>
      </c>
      <c r="T7" s="701" t="s">
        <v>20</v>
      </c>
      <c r="U7" s="702">
        <f t="shared" ref="U7:U15" si="1">H7</f>
        <v>0</v>
      </c>
      <c r="V7" s="701" t="s">
        <v>20</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52" t="s">
        <v>1683</v>
      </c>
      <c r="Q8" s="3653"/>
      <c r="R8" s="701" t="s">
        <v>20</v>
      </c>
      <c r="S8" s="702">
        <f t="shared" si="0"/>
        <v>100</v>
      </c>
      <c r="T8" s="701" t="s">
        <v>20</v>
      </c>
      <c r="U8" s="702">
        <f t="shared" si="1"/>
        <v>100</v>
      </c>
      <c r="V8" s="701" t="s">
        <v>20</v>
      </c>
      <c r="W8" s="702">
        <f t="shared" si="2"/>
        <v>100</v>
      </c>
      <c r="X8" s="703"/>
      <c r="Y8" s="3652" t="s">
        <v>1683</v>
      </c>
      <c r="Z8" s="365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7"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7"/>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7"/>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7"/>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7"/>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7"/>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8"/>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8"/>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8"/>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8"/>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8"/>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8"/>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8"/>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8"/>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8"/>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8"/>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8"/>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91" t="s">
        <v>1696</v>
      </c>
      <c r="Q32" s="1352" t="str">
        <f t="shared" si="11"/>
        <v>建筑类型</v>
      </c>
      <c r="R32" s="705" t="s">
        <v>18</v>
      </c>
      <c r="S32" s="706">
        <f t="shared" si="12"/>
        <v>100</v>
      </c>
      <c r="T32" s="705" t="s">
        <v>18</v>
      </c>
      <c r="U32" s="706">
        <f t="shared" si="13"/>
        <v>100</v>
      </c>
      <c r="V32" s="705" t="s">
        <v>18</v>
      </c>
      <c r="W32" s="706">
        <f t="shared" si="14"/>
        <v>100</v>
      </c>
      <c r="X32" s="1355"/>
      <c r="Y32" s="369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3"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2" t="s">
        <v>1696</v>
      </c>
      <c r="Q38" s="1352" t="str">
        <f t="shared" si="11"/>
        <v>物业管理</v>
      </c>
      <c r="R38" s="705" t="s">
        <v>18</v>
      </c>
      <c r="S38" s="706">
        <f t="shared" si="12"/>
        <v>100</v>
      </c>
      <c r="T38" s="705" t="s">
        <v>18</v>
      </c>
      <c r="U38" s="706">
        <f t="shared" si="13"/>
        <v>100</v>
      </c>
      <c r="V38" s="705" t="s">
        <v>18</v>
      </c>
      <c r="W38" s="706">
        <f t="shared" si="14"/>
        <v>100</v>
      </c>
      <c r="X38" s="1355"/>
      <c r="Y38" s="369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2"/>
      <c r="Q43" s="1352" t="str">
        <f t="shared" si="11"/>
        <v>内部装修维护情况</v>
      </c>
      <c r="R43" s="705" t="s">
        <v>18</v>
      </c>
      <c r="S43" s="706">
        <f t="shared" si="12"/>
        <v>100</v>
      </c>
      <c r="T43" s="705" t="s">
        <v>18</v>
      </c>
      <c r="U43" s="706">
        <f t="shared" si="13"/>
        <v>100</v>
      </c>
      <c r="V43" s="705" t="s">
        <v>18</v>
      </c>
      <c r="W43" s="706">
        <f t="shared" si="14"/>
        <v>100</v>
      </c>
      <c r="X43" s="1355"/>
      <c r="Y43" s="369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37711.240000000005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31" t="s">
        <v>1775</v>
      </c>
      <c r="Q4" s="3732"/>
      <c r="R4" s="3728" t="s">
        <v>1771</v>
      </c>
      <c r="S4" s="3729"/>
      <c r="T4" s="3728" t="s">
        <v>1772</v>
      </c>
      <c r="U4" s="3729"/>
      <c r="V4" s="3684" t="s">
        <v>1773</v>
      </c>
      <c r="W4" s="3684"/>
      <c r="X4" s="1355"/>
      <c r="Y4" s="3728" t="s">
        <v>1775</v>
      </c>
      <c r="Z4" s="3729"/>
      <c r="AA4" s="3727" t="s">
        <v>1771</v>
      </c>
      <c r="AB4" s="3684" t="s">
        <v>1772</v>
      </c>
      <c r="AC4" s="3727" t="s">
        <v>1773</v>
      </c>
    </row>
    <row r="5" spans="1:29" ht="15">
      <c r="A5" s="358"/>
      <c r="B5" s="359"/>
      <c r="C5" s="3660" t="s">
        <v>1673</v>
      </c>
      <c r="D5" s="3661"/>
      <c r="E5" s="3730" t="s">
        <v>1674</v>
      </c>
      <c r="F5" s="3659"/>
      <c r="G5" s="3660" t="s">
        <v>1675</v>
      </c>
      <c r="H5" s="3661"/>
      <c r="I5" s="3660" t="s">
        <v>1676</v>
      </c>
      <c r="J5" s="3661"/>
      <c r="K5" s="559"/>
      <c r="L5" s="2714"/>
      <c r="M5" s="2715"/>
      <c r="N5" s="2715"/>
      <c r="O5" s="2715"/>
      <c r="P5" s="3733"/>
      <c r="Q5" s="3678"/>
      <c r="R5" s="3656"/>
      <c r="S5" s="3657"/>
      <c r="T5" s="3656"/>
      <c r="U5" s="3657"/>
      <c r="V5" s="3684"/>
      <c r="W5" s="3684"/>
      <c r="X5" s="1355"/>
      <c r="Y5" s="3656"/>
      <c r="Z5" s="3657"/>
      <c r="AA5" s="3650"/>
      <c r="AB5" s="3684"/>
      <c r="AC5" s="3650"/>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734"/>
      <c r="Q6" s="3680"/>
      <c r="R6" s="3656"/>
      <c r="S6" s="3657"/>
      <c r="T6" s="3681"/>
      <c r="U6" s="3682"/>
      <c r="V6" s="3684"/>
      <c r="W6" s="3684"/>
      <c r="X6" s="1355"/>
      <c r="Y6" s="3681"/>
      <c r="Z6" s="3682"/>
      <c r="AA6" s="3651"/>
      <c r="AB6" s="3684"/>
      <c r="AC6" s="3651"/>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2" t="s">
        <v>1680</v>
      </c>
      <c r="Q7" s="3686"/>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2" t="s">
        <v>1683</v>
      </c>
      <c r="Q8" s="3653"/>
      <c r="R8" s="701" t="s">
        <v>14</v>
      </c>
      <c r="S8" s="702">
        <f t="shared" si="0"/>
        <v>100</v>
      </c>
      <c r="T8" s="701" t="s">
        <v>14</v>
      </c>
      <c r="U8" s="702">
        <f t="shared" si="1"/>
        <v>100</v>
      </c>
      <c r="V8" s="701" t="s">
        <v>14</v>
      </c>
      <c r="W8" s="702">
        <f t="shared" si="2"/>
        <v>100</v>
      </c>
      <c r="X8" s="703"/>
      <c r="Y8" s="3652" t="s">
        <v>1683</v>
      </c>
      <c r="Z8" s="365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7"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7"/>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7"/>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7"/>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7"/>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7"/>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7"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8"/>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8"/>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8"/>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8"/>
      <c r="Q22" s="1352"/>
      <c r="R22" s="705"/>
      <c r="S22" s="706"/>
      <c r="T22" s="705"/>
      <c r="U22" s="706"/>
      <c r="V22" s="705"/>
      <c r="W22" s="706"/>
      <c r="X22" s="1355"/>
      <c r="Y22" s="369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8"/>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8"/>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8"/>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8"/>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8"/>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8"/>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91" t="s">
        <v>1696</v>
      </c>
      <c r="Q32" s="1352" t="str">
        <f t="shared" si="11"/>
        <v>商业类型</v>
      </c>
      <c r="R32" s="705" t="s">
        <v>14</v>
      </c>
      <c r="S32" s="706">
        <f t="shared" si="12"/>
        <v>100</v>
      </c>
      <c r="T32" s="705" t="s">
        <v>14</v>
      </c>
      <c r="U32" s="706">
        <f t="shared" si="13"/>
        <v>100</v>
      </c>
      <c r="V32" s="705" t="s">
        <v>14</v>
      </c>
      <c r="W32" s="706">
        <f t="shared" si="14"/>
        <v>100</v>
      </c>
      <c r="X32" s="1355"/>
      <c r="Y32" s="369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2"/>
      <c r="Q36" s="1352" t="str">
        <f t="shared" si="11"/>
        <v>成新度</v>
      </c>
      <c r="R36" s="705" t="s">
        <v>14</v>
      </c>
      <c r="S36" s="706" t="e">
        <f t="shared" si="12"/>
        <v>#N/A</v>
      </c>
      <c r="T36" s="705" t="s">
        <v>14</v>
      </c>
      <c r="U36" s="706" t="e">
        <f t="shared" si="13"/>
        <v>#N/A</v>
      </c>
      <c r="V36" s="705" t="s">
        <v>14</v>
      </c>
      <c r="W36" s="706" t="e">
        <f t="shared" si="14"/>
        <v>#N/A</v>
      </c>
      <c r="X36" s="1355"/>
      <c r="Y36" s="369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2"/>
      <c r="Q37" s="1343"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2" t="s">
        <v>1696</v>
      </c>
      <c r="Q38" s="1352" t="str">
        <f t="shared" si="11"/>
        <v>业态</v>
      </c>
      <c r="R38" s="705" t="s">
        <v>14</v>
      </c>
      <c r="S38" s="706">
        <f t="shared" si="12"/>
        <v>100</v>
      </c>
      <c r="T38" s="705" t="s">
        <v>14</v>
      </c>
      <c r="U38" s="706">
        <f t="shared" si="13"/>
        <v>100</v>
      </c>
      <c r="V38" s="705" t="s">
        <v>14</v>
      </c>
      <c r="W38" s="706">
        <f t="shared" si="14"/>
        <v>100</v>
      </c>
      <c r="X38" s="1355"/>
      <c r="Y38" s="369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2"/>
      <c r="Q42" s="1352" t="str">
        <f t="shared" si="11"/>
        <v>内部装修</v>
      </c>
      <c r="R42" s="705" t="s">
        <v>14</v>
      </c>
      <c r="S42" s="706">
        <f t="shared" si="12"/>
        <v>100</v>
      </c>
      <c r="T42" s="705" t="s">
        <v>14</v>
      </c>
      <c r="U42" s="706">
        <f t="shared" si="13"/>
        <v>100</v>
      </c>
      <c r="V42" s="705" t="s">
        <v>14</v>
      </c>
      <c r="W42" s="706">
        <f t="shared" si="14"/>
        <v>100</v>
      </c>
      <c r="X42" s="1355"/>
      <c r="Y42" s="369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37711.240000000005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913"/>
      <c r="M4" s="914"/>
      <c r="N4" s="914"/>
      <c r="O4" s="914"/>
      <c r="P4" s="3731" t="s">
        <v>1775</v>
      </c>
      <c r="Q4" s="3732"/>
      <c r="R4" s="3728" t="s">
        <v>1771</v>
      </c>
      <c r="S4" s="3729"/>
      <c r="T4" s="3728" t="s">
        <v>1772</v>
      </c>
      <c r="U4" s="3729"/>
      <c r="V4" s="3684" t="s">
        <v>1773</v>
      </c>
      <c r="W4" s="3684"/>
      <c r="X4" s="1355"/>
      <c r="Y4" s="3728" t="s">
        <v>1775</v>
      </c>
      <c r="Z4" s="3729"/>
      <c r="AA4" s="3727" t="s">
        <v>1771</v>
      </c>
      <c r="AB4" s="3650" t="s">
        <v>1772</v>
      </c>
      <c r="AC4" s="3727" t="s">
        <v>1773</v>
      </c>
    </row>
    <row r="5" spans="1:29" ht="15">
      <c r="A5" s="358"/>
      <c r="B5" s="359"/>
      <c r="C5" s="3660" t="s">
        <v>1673</v>
      </c>
      <c r="D5" s="3661"/>
      <c r="E5" s="3730" t="s">
        <v>1674</v>
      </c>
      <c r="F5" s="3659"/>
      <c r="G5" s="3660" t="s">
        <v>1675</v>
      </c>
      <c r="H5" s="3661"/>
      <c r="I5" s="3660" t="s">
        <v>1676</v>
      </c>
      <c r="J5" s="3661"/>
      <c r="K5" s="559"/>
      <c r="L5" s="913"/>
      <c r="M5" s="914"/>
      <c r="N5" s="914"/>
      <c r="O5" s="914"/>
      <c r="P5" s="3733"/>
      <c r="Q5" s="3678"/>
      <c r="R5" s="3656"/>
      <c r="S5" s="3657"/>
      <c r="T5" s="3656"/>
      <c r="U5" s="3657"/>
      <c r="V5" s="3684"/>
      <c r="W5" s="3684"/>
      <c r="X5" s="1355"/>
      <c r="Y5" s="3656"/>
      <c r="Z5" s="3657"/>
      <c r="AA5" s="3650"/>
      <c r="AB5" s="3650"/>
      <c r="AC5" s="3650"/>
    </row>
    <row r="6" spans="1:29" ht="15.75" thickBot="1">
      <c r="A6" s="360"/>
      <c r="B6" s="361"/>
      <c r="C6" s="3662" t="s">
        <v>1677</v>
      </c>
      <c r="D6" s="3663"/>
      <c r="E6" s="3665" t="s">
        <v>1677</v>
      </c>
      <c r="F6" s="3666"/>
      <c r="G6" s="3662" t="s">
        <v>1677</v>
      </c>
      <c r="H6" s="3663"/>
      <c r="I6" s="3662" t="s">
        <v>1677</v>
      </c>
      <c r="J6" s="3663"/>
      <c r="K6" s="559" t="s">
        <v>1678</v>
      </c>
      <c r="L6" s="913"/>
      <c r="M6" s="914"/>
      <c r="N6" s="914"/>
      <c r="O6" s="914"/>
      <c r="P6" s="3734"/>
      <c r="Q6" s="3680"/>
      <c r="R6" s="3656"/>
      <c r="S6" s="3657"/>
      <c r="T6" s="3681"/>
      <c r="U6" s="3682"/>
      <c r="V6" s="3684"/>
      <c r="W6" s="3684"/>
      <c r="X6" s="1355"/>
      <c r="Y6" s="3681"/>
      <c r="Z6" s="3682"/>
      <c r="AA6" s="3651"/>
      <c r="AB6" s="3651"/>
      <c r="AC6" s="3651"/>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652" t="s">
        <v>1680</v>
      </c>
      <c r="Q7" s="3686"/>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2" t="s">
        <v>1683</v>
      </c>
      <c r="Q8" s="3653"/>
      <c r="R8" s="701" t="s">
        <v>14</v>
      </c>
      <c r="S8" s="702">
        <f t="shared" si="0"/>
        <v>100</v>
      </c>
      <c r="T8" s="701" t="s">
        <v>14</v>
      </c>
      <c r="U8" s="702">
        <f t="shared" si="1"/>
        <v>100</v>
      </c>
      <c r="V8" s="701" t="s">
        <v>14</v>
      </c>
      <c r="W8" s="702">
        <f t="shared" si="2"/>
        <v>100</v>
      </c>
      <c r="X8" s="703"/>
      <c r="Y8" s="3652" t="s">
        <v>1683</v>
      </c>
      <c r="Z8" s="365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9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2" t="str">
        <f t="shared" si="11"/>
        <v>市政基础设施</v>
      </c>
      <c r="R35" s="705" t="s">
        <v>14</v>
      </c>
      <c r="S35" s="706">
        <f t="shared" si="12"/>
        <v>100</v>
      </c>
      <c r="T35" s="705" t="s">
        <v>14</v>
      </c>
      <c r="U35" s="706">
        <f t="shared" si="13"/>
        <v>100</v>
      </c>
      <c r="V35" s="705" t="s">
        <v>14</v>
      </c>
      <c r="W35" s="706">
        <f t="shared" si="14"/>
        <v>100</v>
      </c>
      <c r="X35" s="1355"/>
      <c r="Y35" s="369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31" t="s">
        <v>1775</v>
      </c>
      <c r="Q4" s="3732"/>
      <c r="R4" s="3728" t="s">
        <v>1771</v>
      </c>
      <c r="S4" s="3729"/>
      <c r="T4" s="3728" t="s">
        <v>1772</v>
      </c>
      <c r="U4" s="3729"/>
      <c r="V4" s="3684" t="s">
        <v>1773</v>
      </c>
      <c r="W4" s="3684"/>
      <c r="X4" s="1355"/>
      <c r="Y4" s="3728" t="s">
        <v>1775</v>
      </c>
      <c r="Z4" s="3729"/>
      <c r="AA4" s="3727" t="s">
        <v>1771</v>
      </c>
      <c r="AB4" s="3650" t="s">
        <v>1772</v>
      </c>
      <c r="AC4" s="3727" t="s">
        <v>1773</v>
      </c>
    </row>
    <row r="5" spans="1:29" ht="15">
      <c r="A5" s="358"/>
      <c r="B5" s="359"/>
      <c r="C5" s="3660" t="s">
        <v>1673</v>
      </c>
      <c r="D5" s="3661"/>
      <c r="E5" s="3730" t="s">
        <v>1674</v>
      </c>
      <c r="F5" s="3659"/>
      <c r="G5" s="3660" t="s">
        <v>1675</v>
      </c>
      <c r="H5" s="3661"/>
      <c r="I5" s="3660" t="s">
        <v>1676</v>
      </c>
      <c r="J5" s="3661"/>
      <c r="K5" s="559"/>
      <c r="L5" s="2714"/>
      <c r="M5" s="2715"/>
      <c r="N5" s="2715"/>
      <c r="O5" s="2715"/>
      <c r="P5" s="3733"/>
      <c r="Q5" s="3678"/>
      <c r="R5" s="3656"/>
      <c r="S5" s="3657"/>
      <c r="T5" s="3656"/>
      <c r="U5" s="3657"/>
      <c r="V5" s="3684"/>
      <c r="W5" s="3684"/>
      <c r="X5" s="1355"/>
      <c r="Y5" s="3656"/>
      <c r="Z5" s="3657"/>
      <c r="AA5" s="3650"/>
      <c r="AB5" s="3650"/>
      <c r="AC5" s="3650"/>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734"/>
      <c r="Q6" s="3680"/>
      <c r="R6" s="3656"/>
      <c r="S6" s="3657"/>
      <c r="T6" s="3681"/>
      <c r="U6" s="3682"/>
      <c r="V6" s="3684"/>
      <c r="W6" s="3684"/>
      <c r="X6" s="1355"/>
      <c r="Y6" s="3681"/>
      <c r="Z6" s="3682"/>
      <c r="AA6" s="3651"/>
      <c r="AB6" s="3651"/>
      <c r="AC6" s="3651"/>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2" t="s">
        <v>1680</v>
      </c>
      <c r="Q7" s="3686"/>
      <c r="R7" s="701" t="s">
        <v>14</v>
      </c>
      <c r="S7" s="702">
        <f t="shared" ref="S7:S14" si="0">F7</f>
        <v>0</v>
      </c>
      <c r="T7" s="701" t="s">
        <v>14</v>
      </c>
      <c r="U7" s="702">
        <f t="shared" ref="U7:U14" si="1">H7</f>
        <v>0</v>
      </c>
      <c r="V7" s="701" t="s">
        <v>14</v>
      </c>
      <c r="W7" s="702">
        <f t="shared" ref="W7:W14"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2" t="s">
        <v>1683</v>
      </c>
      <c r="Q8" s="3653"/>
      <c r="R8" s="701" t="s">
        <v>14</v>
      </c>
      <c r="S8" s="702">
        <f t="shared" si="0"/>
        <v>100</v>
      </c>
      <c r="T8" s="701" t="s">
        <v>14</v>
      </c>
      <c r="U8" s="702">
        <f t="shared" si="1"/>
        <v>100</v>
      </c>
      <c r="V8" s="701" t="s">
        <v>14</v>
      </c>
      <c r="W8" s="702">
        <f t="shared" si="2"/>
        <v>100</v>
      </c>
      <c r="X8" s="703"/>
      <c r="Y8" s="3652" t="s">
        <v>1683</v>
      </c>
      <c r="Z8" s="365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2" t="str">
        <f t="shared" si="11"/>
        <v>车位类型</v>
      </c>
      <c r="R32" s="705" t="s">
        <v>14</v>
      </c>
      <c r="S32" s="706">
        <f t="shared" si="12"/>
        <v>100</v>
      </c>
      <c r="T32" s="705" t="s">
        <v>14</v>
      </c>
      <c r="U32" s="706">
        <f t="shared" si="13"/>
        <v>100</v>
      </c>
      <c r="V32" s="705" t="s">
        <v>14</v>
      </c>
      <c r="W32" s="706">
        <f t="shared" si="14"/>
        <v>100</v>
      </c>
      <c r="X32" s="1355"/>
      <c r="Y32" s="369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5" t="str">
        <f>A39</f>
        <v>估价对象XX用房的比较价值（楼面单价，元/平方米）</v>
      </c>
      <c r="Q39" s="3736"/>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估价对象为北京市房地产，为所有。根据《国有土地使用证》[]，估价对象（分摊）出让国有建设用地使用权面积为18193.39平方米，建筑面积为37711.24平方米。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估价对象为北京市房地产,属开发建设的办公项目，该项目尚在开发建设中。根据《国有土地使用证》[]，估价对象（分摊）出让国有建设用地使用权面积为18193.39平方米，规划建筑面积为37711.24平方米。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为估价委托人在向上海浦发办理贷款手续过程中，确定房地产抵押贷款额度提供参考依据而评估房地产抵押价值。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31" t="s">
        <v>1775</v>
      </c>
      <c r="Q4" s="3732"/>
      <c r="R4" s="3728" t="s">
        <v>1771</v>
      </c>
      <c r="S4" s="3729"/>
      <c r="T4" s="3728" t="s">
        <v>1772</v>
      </c>
      <c r="U4" s="3729"/>
      <c r="V4" s="3684" t="s">
        <v>1773</v>
      </c>
      <c r="W4" s="3684"/>
      <c r="X4" s="1355"/>
      <c r="Y4" s="3728" t="s">
        <v>1775</v>
      </c>
      <c r="Z4" s="3729"/>
      <c r="AA4" s="3727" t="s">
        <v>1771</v>
      </c>
      <c r="AB4" s="3650" t="s">
        <v>1772</v>
      </c>
      <c r="AC4" s="3727" t="s">
        <v>1773</v>
      </c>
    </row>
    <row r="5" spans="1:29" ht="15">
      <c r="A5" s="358"/>
      <c r="B5" s="359"/>
      <c r="C5" s="3660" t="s">
        <v>1673</v>
      </c>
      <c r="D5" s="3661"/>
      <c r="E5" s="3730" t="s">
        <v>1674</v>
      </c>
      <c r="F5" s="3659"/>
      <c r="G5" s="3660" t="s">
        <v>1675</v>
      </c>
      <c r="H5" s="3661"/>
      <c r="I5" s="3660" t="s">
        <v>1676</v>
      </c>
      <c r="J5" s="3661"/>
      <c r="K5" s="559"/>
      <c r="L5" s="2714"/>
      <c r="M5" s="2715"/>
      <c r="N5" s="2715"/>
      <c r="O5" s="2715"/>
      <c r="P5" s="3733"/>
      <c r="Q5" s="3678"/>
      <c r="R5" s="3656"/>
      <c r="S5" s="3657"/>
      <c r="T5" s="3656"/>
      <c r="U5" s="3657"/>
      <c r="V5" s="3684"/>
      <c r="W5" s="3684"/>
      <c r="X5" s="1355"/>
      <c r="Y5" s="3656"/>
      <c r="Z5" s="3657"/>
      <c r="AA5" s="3650"/>
      <c r="AB5" s="3650"/>
      <c r="AC5" s="3650"/>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734"/>
      <c r="Q6" s="3680"/>
      <c r="R6" s="3656"/>
      <c r="S6" s="3657"/>
      <c r="T6" s="3681"/>
      <c r="U6" s="3682"/>
      <c r="V6" s="3684"/>
      <c r="W6" s="3684"/>
      <c r="X6" s="1355"/>
      <c r="Y6" s="3681"/>
      <c r="Z6" s="3682"/>
      <c r="AA6" s="3651"/>
      <c r="AB6" s="3651"/>
      <c r="AC6" s="3651"/>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52" t="s">
        <v>1680</v>
      </c>
      <c r="Q7" s="3686"/>
      <c r="R7" s="701" t="s">
        <v>14</v>
      </c>
      <c r="S7" s="702">
        <f t="shared" ref="S7:S14" si="0">F7</f>
        <v>0</v>
      </c>
      <c r="T7" s="701" t="s">
        <v>14</v>
      </c>
      <c r="U7" s="702">
        <f t="shared" ref="U7:U14" si="1">H7</f>
        <v>0</v>
      </c>
      <c r="V7" s="701" t="s">
        <v>14</v>
      </c>
      <c r="W7" s="702">
        <f t="shared" ref="W7:W14"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2" t="s">
        <v>1683</v>
      </c>
      <c r="Q8" s="3653"/>
      <c r="R8" s="701" t="s">
        <v>14</v>
      </c>
      <c r="S8" s="702">
        <f t="shared" si="0"/>
        <v>100</v>
      </c>
      <c r="T8" s="701" t="s">
        <v>14</v>
      </c>
      <c r="U8" s="702">
        <f t="shared" si="1"/>
        <v>100</v>
      </c>
      <c r="V8" s="701" t="s">
        <v>14</v>
      </c>
      <c r="W8" s="702">
        <f t="shared" si="2"/>
        <v>100</v>
      </c>
      <c r="X8" s="703"/>
      <c r="Y8" s="3652" t="s">
        <v>1683</v>
      </c>
      <c r="Z8" s="365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2">
        <f t="shared" si="11"/>
        <v>111</v>
      </c>
      <c r="R32" s="705" t="s">
        <v>14</v>
      </c>
      <c r="S32" s="706">
        <f t="shared" si="12"/>
        <v>100</v>
      </c>
      <c r="T32" s="705" t="s">
        <v>14</v>
      </c>
      <c r="U32" s="706">
        <f t="shared" si="13"/>
        <v>100</v>
      </c>
      <c r="V32" s="705" t="s">
        <v>14</v>
      </c>
      <c r="W32" s="706">
        <f t="shared" si="14"/>
        <v>100</v>
      </c>
      <c r="X32" s="1355"/>
      <c r="Y32" s="369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5" t="str">
        <f>A37</f>
        <v>估价对象XX用房的比较价值（楼面单价，元/平方米）</v>
      </c>
      <c r="Q37" s="3736"/>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1" t="s">
        <v>1770</v>
      </c>
      <c r="D4" s="3672"/>
      <c r="E4" s="3673" t="s">
        <v>1771</v>
      </c>
      <c r="F4" s="3674"/>
      <c r="G4" s="3671" t="s">
        <v>1772</v>
      </c>
      <c r="H4" s="3672"/>
      <c r="I4" s="3671" t="s">
        <v>1773</v>
      </c>
      <c r="J4" s="3672"/>
      <c r="K4" s="559" t="s">
        <v>1774</v>
      </c>
      <c r="L4" s="2714"/>
      <c r="M4" s="2715"/>
      <c r="N4" s="2715"/>
      <c r="O4" s="2715"/>
      <c r="P4" s="3731" t="s">
        <v>1775</v>
      </c>
      <c r="Q4" s="3732"/>
      <c r="R4" s="3728" t="s">
        <v>1771</v>
      </c>
      <c r="S4" s="3729"/>
      <c r="T4" s="3728" t="s">
        <v>1772</v>
      </c>
      <c r="U4" s="3729"/>
      <c r="V4" s="3684" t="s">
        <v>1773</v>
      </c>
      <c r="W4" s="3684"/>
      <c r="X4" s="1355"/>
      <c r="Y4" s="3728" t="s">
        <v>1775</v>
      </c>
      <c r="Z4" s="3729"/>
      <c r="AA4" s="3727" t="s">
        <v>1771</v>
      </c>
      <c r="AB4" s="3650" t="s">
        <v>1772</v>
      </c>
      <c r="AC4" s="3727" t="s">
        <v>1773</v>
      </c>
    </row>
    <row r="5" spans="1:30" ht="15">
      <c r="A5" s="358"/>
      <c r="B5" s="359"/>
      <c r="C5" s="3660" t="s">
        <v>1673</v>
      </c>
      <c r="D5" s="3661"/>
      <c r="E5" s="3730" t="s">
        <v>1674</v>
      </c>
      <c r="F5" s="3659"/>
      <c r="G5" s="3660" t="s">
        <v>1675</v>
      </c>
      <c r="H5" s="3661"/>
      <c r="I5" s="3660" t="s">
        <v>1676</v>
      </c>
      <c r="J5" s="3661"/>
      <c r="K5" s="559"/>
      <c r="L5" s="2714"/>
      <c r="M5" s="2715"/>
      <c r="N5" s="2715"/>
      <c r="O5" s="2715"/>
      <c r="P5" s="3733"/>
      <c r="Q5" s="3678"/>
      <c r="R5" s="3656"/>
      <c r="S5" s="3657"/>
      <c r="T5" s="3656"/>
      <c r="U5" s="3657"/>
      <c r="V5" s="3684"/>
      <c r="W5" s="3684"/>
      <c r="X5" s="1355"/>
      <c r="Y5" s="3656"/>
      <c r="Z5" s="3657"/>
      <c r="AA5" s="3650"/>
      <c r="AB5" s="3650"/>
      <c r="AC5" s="3650"/>
    </row>
    <row r="6" spans="1:30" ht="15.75" thickBot="1">
      <c r="A6" s="360"/>
      <c r="B6" s="361"/>
      <c r="C6" s="3662" t="s">
        <v>1677</v>
      </c>
      <c r="D6" s="3663"/>
      <c r="E6" s="3665" t="s">
        <v>1677</v>
      </c>
      <c r="F6" s="3666"/>
      <c r="G6" s="3662" t="s">
        <v>1677</v>
      </c>
      <c r="H6" s="3663"/>
      <c r="I6" s="3662" t="s">
        <v>1677</v>
      </c>
      <c r="J6" s="3663"/>
      <c r="K6" s="559" t="s">
        <v>1678</v>
      </c>
      <c r="L6" s="2714"/>
      <c r="M6" s="2715"/>
      <c r="N6" s="2715"/>
      <c r="O6" s="2715"/>
      <c r="P6" s="3734"/>
      <c r="Q6" s="3680"/>
      <c r="R6" s="3656"/>
      <c r="S6" s="3657"/>
      <c r="T6" s="3681"/>
      <c r="U6" s="3682"/>
      <c r="V6" s="3684"/>
      <c r="W6" s="3684"/>
      <c r="X6" s="1355"/>
      <c r="Y6" s="3681"/>
      <c r="Z6" s="3682"/>
      <c r="AA6" s="3651"/>
      <c r="AB6" s="3651"/>
      <c r="AC6" s="3651"/>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52" t="s">
        <v>1680</v>
      </c>
      <c r="Q7" s="3686"/>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2" t="s">
        <v>1683</v>
      </c>
      <c r="Q8" s="3653"/>
      <c r="R8" s="701" t="s">
        <v>14</v>
      </c>
      <c r="S8" s="702">
        <f t="shared" si="0"/>
        <v>0</v>
      </c>
      <c r="T8" s="701" t="s">
        <v>14</v>
      </c>
      <c r="U8" s="702">
        <f t="shared" si="1"/>
        <v>0</v>
      </c>
      <c r="V8" s="701" t="s">
        <v>14</v>
      </c>
      <c r="W8" s="702">
        <f t="shared" si="2"/>
        <v>0</v>
      </c>
      <c r="X8" s="703"/>
      <c r="Y8" s="3652" t="s">
        <v>1683</v>
      </c>
      <c r="Z8" s="365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96"/>
      <c r="Q10" s="1343" t="str">
        <f t="shared" si="6"/>
        <v>土地使用年限（年）</v>
      </c>
      <c r="R10" s="701" t="s">
        <v>14</v>
      </c>
      <c r="S10" s="702">
        <f t="shared" si="0"/>
        <v>115</v>
      </c>
      <c r="T10" s="701" t="s">
        <v>14</v>
      </c>
      <c r="U10" s="702">
        <f t="shared" si="1"/>
        <v>115</v>
      </c>
      <c r="V10" s="701" t="s">
        <v>14</v>
      </c>
      <c r="W10" s="702">
        <f t="shared" si="2"/>
        <v>115</v>
      </c>
      <c r="X10" s="703"/>
      <c r="Y10" s="3622"/>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0"/>
      <c r="Q16" s="1352"/>
      <c r="R16" s="705"/>
      <c r="S16" s="706"/>
      <c r="T16" s="705"/>
      <c r="U16" s="706"/>
      <c r="V16" s="705"/>
      <c r="W16" s="706"/>
      <c r="X16" s="1355"/>
      <c r="Y16" s="369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0"/>
      <c r="Q18" s="1352"/>
      <c r="R18" s="705"/>
      <c r="S18" s="706"/>
      <c r="T18" s="705"/>
      <c r="U18" s="706"/>
      <c r="V18" s="705"/>
      <c r="W18" s="706"/>
      <c r="X18" s="1355"/>
      <c r="Y18" s="369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0"/>
      <c r="Q24" s="1352"/>
      <c r="R24" s="705"/>
      <c r="S24" s="706"/>
      <c r="T24" s="705"/>
      <c r="U24" s="706"/>
      <c r="V24" s="705"/>
      <c r="W24" s="706"/>
      <c r="X24" s="1355"/>
      <c r="Y24" s="369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8" t="s">
        <v>1696</v>
      </c>
      <c r="Q36" s="1352">
        <f t="shared" si="8"/>
        <v>111</v>
      </c>
      <c r="R36" s="705" t="s">
        <v>14</v>
      </c>
      <c r="S36" s="706">
        <f t="shared" si="10"/>
        <v>100</v>
      </c>
      <c r="T36" s="705" t="s">
        <v>14</v>
      </c>
      <c r="U36" s="706">
        <f t="shared" si="11"/>
        <v>100</v>
      </c>
      <c r="V36" s="705" t="s">
        <v>14</v>
      </c>
      <c r="W36" s="706">
        <f t="shared" si="12"/>
        <v>100</v>
      </c>
      <c r="X36" s="1355"/>
      <c r="Y36" s="369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4" t="s">
        <v>1696</v>
      </c>
      <c r="Q42" s="1352" t="str">
        <f t="shared" si="14"/>
        <v>工程地质条件</v>
      </c>
      <c r="R42" s="705" t="s">
        <v>14</v>
      </c>
      <c r="S42" s="706">
        <f t="shared" si="10"/>
        <v>100</v>
      </c>
      <c r="T42" s="705" t="s">
        <v>14</v>
      </c>
      <c r="U42" s="706">
        <f t="shared" si="11"/>
        <v>100</v>
      </c>
      <c r="V42" s="705" t="s">
        <v>14</v>
      </c>
      <c r="W42" s="706">
        <f t="shared" si="12"/>
        <v>100</v>
      </c>
      <c r="X42" s="1355"/>
      <c r="Y42" s="369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5" t="str">
        <f>A48</f>
        <v>估价对象XX用房的比较价值（楼面单价，元/平方米）</v>
      </c>
      <c r="Q48" s="3736"/>
      <c r="R48" s="3741" t="e">
        <f>ROUND(IF(D47="简单平均",AVERAGE(R47:W47),R47*F47+T47*H47+V47*J47),0)</f>
        <v>#DIV/0!</v>
      </c>
      <c r="S48" s="3741"/>
      <c r="T48" s="3741"/>
      <c r="U48" s="3741"/>
      <c r="V48" s="3741"/>
      <c r="W48" s="374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1" t="s">
        <v>1887</v>
      </c>
      <c r="H55" s="3742"/>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36123.300000000003</v>
      </c>
      <c r="F56" s="886" t="e">
        <f t="shared" ref="F56:F64" si="15">ROUND(B56*E56/10000,0)</f>
        <v>#DIV/0!</v>
      </c>
      <c r="G56" s="3667"/>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36123.300000000003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31" t="s">
        <v>1775</v>
      </c>
      <c r="Q4" s="3732"/>
      <c r="R4" s="3728" t="s">
        <v>1771</v>
      </c>
      <c r="S4" s="3729"/>
      <c r="T4" s="3728" t="s">
        <v>1772</v>
      </c>
      <c r="U4" s="3729"/>
      <c r="V4" s="3684" t="s">
        <v>1773</v>
      </c>
      <c r="W4" s="3684"/>
      <c r="X4" s="1355"/>
      <c r="Y4" s="3728" t="s">
        <v>1775</v>
      </c>
      <c r="Z4" s="3729"/>
      <c r="AA4" s="3727" t="s">
        <v>1771</v>
      </c>
      <c r="AB4" s="3650" t="s">
        <v>1772</v>
      </c>
      <c r="AC4" s="3727" t="s">
        <v>1773</v>
      </c>
    </row>
    <row r="5" spans="1:29" ht="15">
      <c r="A5" s="358"/>
      <c r="B5" s="359"/>
      <c r="C5" s="3660" t="s">
        <v>1673</v>
      </c>
      <c r="D5" s="3661"/>
      <c r="E5" s="3730" t="s">
        <v>1674</v>
      </c>
      <c r="F5" s="3659"/>
      <c r="G5" s="3660" t="s">
        <v>1675</v>
      </c>
      <c r="H5" s="3661"/>
      <c r="I5" s="3660" t="s">
        <v>1676</v>
      </c>
      <c r="J5" s="3661"/>
      <c r="K5" s="559"/>
      <c r="L5" s="2714"/>
      <c r="M5" s="2715"/>
      <c r="N5" s="2715"/>
      <c r="O5" s="2715"/>
      <c r="P5" s="3733"/>
      <c r="Q5" s="3678"/>
      <c r="R5" s="3656"/>
      <c r="S5" s="3657"/>
      <c r="T5" s="3656"/>
      <c r="U5" s="3657"/>
      <c r="V5" s="3684"/>
      <c r="W5" s="3684"/>
      <c r="X5" s="1355"/>
      <c r="Y5" s="3656"/>
      <c r="Z5" s="3657"/>
      <c r="AA5" s="3650"/>
      <c r="AB5" s="3650"/>
      <c r="AC5" s="3650"/>
    </row>
    <row r="6" spans="1:29" ht="15.75" thickBot="1">
      <c r="A6" s="360"/>
      <c r="B6" s="361"/>
      <c r="C6" s="3743" t="s">
        <v>1919</v>
      </c>
      <c r="D6" s="3744"/>
      <c r="E6" s="3745" t="s">
        <v>1919</v>
      </c>
      <c r="F6" s="3746"/>
      <c r="G6" s="3743" t="s">
        <v>1919</v>
      </c>
      <c r="H6" s="3744"/>
      <c r="I6" s="3743" t="s">
        <v>1919</v>
      </c>
      <c r="J6" s="3744"/>
      <c r="K6" s="559" t="s">
        <v>1678</v>
      </c>
      <c r="L6" s="2714"/>
      <c r="M6" s="2715"/>
      <c r="N6" s="2715"/>
      <c r="O6" s="2715"/>
      <c r="P6" s="3734"/>
      <c r="Q6" s="3680"/>
      <c r="R6" s="3656"/>
      <c r="S6" s="3657"/>
      <c r="T6" s="3681"/>
      <c r="U6" s="3682"/>
      <c r="V6" s="3684"/>
      <c r="W6" s="3684"/>
      <c r="X6" s="1355"/>
      <c r="Y6" s="3681"/>
      <c r="Z6" s="3682"/>
      <c r="AA6" s="3651"/>
      <c r="AB6" s="3651"/>
      <c r="AC6" s="3651"/>
    </row>
    <row r="7" spans="1:29" s="108" customFormat="1" ht="15.75" thickBot="1">
      <c r="A7" s="362" t="s">
        <v>1679</v>
      </c>
      <c r="B7" s="363"/>
      <c r="C7" s="364">
        <f>'数据-取费表'!B2</f>
        <v>45124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52" t="s">
        <v>1680</v>
      </c>
      <c r="Q7" s="3686"/>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2" t="s">
        <v>1683</v>
      </c>
      <c r="Q8" s="3653"/>
      <c r="R8" s="701" t="s">
        <v>14</v>
      </c>
      <c r="S8" s="702">
        <f t="shared" si="0"/>
        <v>0</v>
      </c>
      <c r="T8" s="701" t="s">
        <v>14</v>
      </c>
      <c r="U8" s="702">
        <f t="shared" si="1"/>
        <v>0</v>
      </c>
      <c r="V8" s="701" t="s">
        <v>14</v>
      </c>
      <c r="W8" s="702">
        <f t="shared" si="2"/>
        <v>0</v>
      </c>
      <c r="X8" s="703"/>
      <c r="Y8" s="3652" t="s">
        <v>1683</v>
      </c>
      <c r="Z8" s="365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96"/>
      <c r="Q10" s="1343" t="str">
        <f t="shared" si="6"/>
        <v>土地使用年限（年）</v>
      </c>
      <c r="R10" s="701" t="s">
        <v>14</v>
      </c>
      <c r="S10" s="702">
        <f t="shared" si="0"/>
        <v>115</v>
      </c>
      <c r="T10" s="701" t="s">
        <v>14</v>
      </c>
      <c r="U10" s="702">
        <f t="shared" si="1"/>
        <v>115</v>
      </c>
      <c r="V10" s="701" t="s">
        <v>14</v>
      </c>
      <c r="W10" s="702">
        <f t="shared" si="2"/>
        <v>115</v>
      </c>
      <c r="X10" s="703"/>
      <c r="Y10" s="3622"/>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8" t="s">
        <v>1696</v>
      </c>
      <c r="Q32" s="1352">
        <f t="shared" si="8"/>
        <v>111</v>
      </c>
      <c r="R32" s="705" t="s">
        <v>14</v>
      </c>
      <c r="S32" s="706">
        <f t="shared" si="10"/>
        <v>100</v>
      </c>
      <c r="T32" s="705" t="s">
        <v>14</v>
      </c>
      <c r="U32" s="706">
        <f t="shared" si="11"/>
        <v>100</v>
      </c>
      <c r="V32" s="705" t="s">
        <v>14</v>
      </c>
      <c r="W32" s="706">
        <f t="shared" si="12"/>
        <v>100</v>
      </c>
      <c r="X32" s="1355"/>
      <c r="Y32" s="369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4" t="s">
        <v>1696</v>
      </c>
      <c r="Q37" s="1352" t="str">
        <f t="shared" si="14"/>
        <v>工程地质条件</v>
      </c>
      <c r="R37" s="705" t="s">
        <v>14</v>
      </c>
      <c r="S37" s="706">
        <f t="shared" si="10"/>
        <v>100</v>
      </c>
      <c r="T37" s="705" t="s">
        <v>14</v>
      </c>
      <c r="U37" s="706">
        <f t="shared" si="11"/>
        <v>100</v>
      </c>
      <c r="V37" s="705" t="s">
        <v>14</v>
      </c>
      <c r="W37" s="706">
        <f t="shared" si="12"/>
        <v>100</v>
      </c>
      <c r="X37" s="1355"/>
      <c r="Y37" s="369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5" t="str">
        <f>A43</f>
        <v>估价对象XX用房的比较价值（楼面单价，元/平方米）</v>
      </c>
      <c r="Q43" s="3736"/>
      <c r="R43" s="3741" t="e">
        <f>ROUND(IF(D42="简单平均",AVERAGE(R42:W42),R42*F42+T42*H42+V42*J42),0)</f>
        <v>#DIV/0!</v>
      </c>
      <c r="S43" s="3741"/>
      <c r="T43" s="3741"/>
      <c r="U43" s="3741"/>
      <c r="V43" s="3741"/>
      <c r="W43" s="374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1" t="s">
        <v>1887</v>
      </c>
      <c r="H50" s="3742"/>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36123.300000000003</v>
      </c>
      <c r="F51" s="639" t="e">
        <f t="shared" ref="F51:F60" si="15">ROUND(B51*E51/10000,0)</f>
        <v>#DIV/0!</v>
      </c>
      <c r="G51" s="3667"/>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18193.39</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2413</v>
      </c>
      <c r="C2" s="2145" t="s">
        <v>2074</v>
      </c>
      <c r="D2" s="2145" t="s">
        <v>2075</v>
      </c>
      <c r="E2" s="2611">
        <f ca="1">SUMIF(E6:E13,"&lt;&gt;#ref!",E6:E13)</f>
        <v>36123.300000000003</v>
      </c>
      <c r="F2" s="2792"/>
      <c r="G2" s="2792"/>
      <c r="H2" s="2792"/>
      <c r="I2" s="2792"/>
      <c r="J2" s="2792"/>
      <c r="K2" s="2792"/>
      <c r="L2" s="2792"/>
      <c r="M2" s="2792"/>
      <c r="N2" s="2792"/>
      <c r="O2" s="2792"/>
      <c r="P2" s="2792"/>
    </row>
    <row r="3" spans="1:16" ht="15.75">
      <c r="A3" s="2145" t="s">
        <v>2076</v>
      </c>
      <c r="B3" s="2601">
        <f ca="1">ROUND(B2*10000/E2,0)</f>
        <v>668</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2413</v>
      </c>
      <c r="C6" s="2145" t="s">
        <v>2074</v>
      </c>
      <c r="D6" s="2792"/>
      <c r="E6" s="2611">
        <f ca="1">SUMIF(INDIRECT("'"&amp;A6&amp;"'"&amp;"!C:C"),"建筑面积",INDIRECT("'"&amp;A6&amp;"'"&amp;"!D:D"))</f>
        <v>36123.300000000003</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Normal="70" zoomScaleSheetLayoutView="100" workbookViewId="0">
      <selection activeCell="I41" sqref="I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15849.063700000001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7707034</v>
      </c>
      <c r="D5" s="211" t="s">
        <v>1469</v>
      </c>
      <c r="E5" s="212" t="s">
        <v>1470</v>
      </c>
      <c r="F5" s="212" t="s">
        <v>1471</v>
      </c>
      <c r="G5" s="213"/>
    </row>
    <row r="6" spans="1:8" s="214" customFormat="1" ht="13.5" customHeight="1">
      <c r="A6" s="778" t="s">
        <v>1472</v>
      </c>
      <c r="B6" s="215" t="s">
        <v>1473</v>
      </c>
      <c r="C6" s="216">
        <f>ROUND(基准地价修正!T5*基准地价修正!U5,0)</f>
        <v>525859</v>
      </c>
      <c r="D6" s="217"/>
      <c r="E6" s="218"/>
      <c r="F6" s="218"/>
      <c r="G6" s="219"/>
    </row>
    <row r="7" spans="1:8" s="214" customFormat="1" ht="13.5" customHeight="1">
      <c r="A7" s="778" t="s">
        <v>1474</v>
      </c>
      <c r="B7" s="215" t="s">
        <v>1475</v>
      </c>
      <c r="C7" s="220">
        <f>ROUND(C6*F7,0)</f>
        <v>16039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7165136</v>
      </c>
      <c r="D8" s="222"/>
      <c r="E8" s="220"/>
      <c r="F8" s="221"/>
      <c r="G8" s="1856" t="s">
        <v>3429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7165136</v>
      </c>
      <c r="D10" s="845">
        <f ca="1">IF(B1="",'数据-汇总表'!E6,IF(INDIRECT("'数据-取费表'!c"&amp;$G$1)="住宅",INDIRECT("'数据-取费表'!s"&amp;$G$1),INDIRECT("'数据-取费表'!k"&amp;$G$1)+INDIRECT("'数据-取费表'!s"&amp;$G$1)))</f>
        <v>37711.240000000005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37711.240000000005</v>
      </c>
      <c r="E19" s="211">
        <f>'数据-取费表'!B31</f>
        <v>200</v>
      </c>
      <c r="F19" s="231"/>
      <c r="G19" s="1856" t="s">
        <v>3430</v>
      </c>
    </row>
    <row r="20" spans="1:7" s="214" customFormat="1" ht="13.5" customHeight="1">
      <c r="A20" s="255" t="s">
        <v>1574</v>
      </c>
      <c r="B20" s="210" t="s">
        <v>1575</v>
      </c>
      <c r="C20" s="232">
        <f ca="1">ROUND((C5+C19)*F20,0)</f>
        <v>154141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276336</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273600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2736</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786118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786118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9645081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120788794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108369900</v>
      </c>
      <c r="D34" s="217"/>
      <c r="E34" s="220"/>
      <c r="F34" s="257"/>
      <c r="G34" s="219"/>
    </row>
    <row r="35" spans="1:7" ht="13.5" customHeight="1">
      <c r="A35" s="780" t="s">
        <v>351</v>
      </c>
      <c r="B35" s="215" t="s">
        <v>1527</v>
      </c>
      <c r="C35" s="220">
        <f ca="1">ROUND(C34*F35,0)</f>
        <v>3251097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7542248</v>
      </c>
      <c r="D37" s="217">
        <f ca="1">D19</f>
        <v>37711.240000000005</v>
      </c>
      <c r="E37" s="249">
        <f>'数据-取费表'!B35</f>
        <v>200</v>
      </c>
      <c r="F37" s="259"/>
      <c r="G37" s="261"/>
    </row>
    <row r="38" spans="1:7" ht="13.5" customHeight="1">
      <c r="A38" s="780" t="s">
        <v>354</v>
      </c>
      <c r="B38" s="215" t="s">
        <v>1533</v>
      </c>
      <c r="C38" s="220">
        <f ca="1">ROUND(C34*F38,0)</f>
        <v>1625549</v>
      </c>
      <c r="D38" s="220"/>
      <c r="E38" s="220"/>
      <c r="F38" s="259">
        <f>'数据-取费表'!B36</f>
        <v>1.4999999999999999E-2</v>
      </c>
      <c r="G38" s="219" t="s">
        <v>1528</v>
      </c>
    </row>
    <row r="39" spans="1:7" s="214" customFormat="1" ht="13.5" customHeight="1">
      <c r="A39" s="255" t="s">
        <v>1534</v>
      </c>
      <c r="B39" s="210" t="s">
        <v>1535</v>
      </c>
      <c r="C39" s="232">
        <f ca="1">ROUND(C33*F20,0)</f>
        <v>2415776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2186881</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2144001</v>
      </c>
      <c r="D42" s="238"/>
      <c r="E42" s="238"/>
      <c r="F42" s="239"/>
      <c r="G42" s="3646" t="s">
        <v>1591</v>
      </c>
    </row>
    <row r="43" spans="1:7" ht="13.5" customHeight="1">
      <c r="A43" s="780" t="s">
        <v>347</v>
      </c>
      <c r="B43" s="215" t="s">
        <v>1545</v>
      </c>
      <c r="C43" s="238">
        <f ca="1">ROUND(IF('数据-取费表'!B22&lt;=1,C39*F22*'数据-取费表'!B20/2,C39*(POWER((1+F22),'数据-取费表'!B20/2)-1)),0)</f>
        <v>42880</v>
      </c>
      <c r="D43" s="238"/>
      <c r="E43" s="238"/>
      <c r="F43" s="239"/>
      <c r="G43" s="3647"/>
    </row>
    <row r="44" spans="1:7" ht="13.5" customHeight="1">
      <c r="A44" s="780" t="s">
        <v>348</v>
      </c>
      <c r="B44" s="215" t="s">
        <v>1546</v>
      </c>
      <c r="C44" s="238">
        <f ca="1">ROUND(IF('数据-取费表'!B22&lt;=1,C40*F22*'数据-取费表'!B20/2,C40*(POWER((1+F22),'数据-取费表'!B20/2)-1)),4)</f>
        <v>4.0000000000000002E-4</v>
      </c>
      <c r="D44" s="238"/>
      <c r="E44" s="238"/>
      <c r="F44" s="239"/>
      <c r="G44" s="3648"/>
    </row>
    <row r="45" spans="1:7" s="214" customFormat="1" ht="13.5" customHeight="1">
      <c r="A45" s="255" t="s">
        <v>1547</v>
      </c>
      <c r="B45" s="244" t="s">
        <v>1513</v>
      </c>
      <c r="C45" s="245">
        <f ca="1">C46</f>
        <v>12320457</v>
      </c>
      <c r="D45" s="235">
        <f ca="1">C47</f>
        <v>2E-3</v>
      </c>
      <c r="E45" s="236" t="s">
        <v>1539</v>
      </c>
      <c r="F45" s="246">
        <f ca="1">F27</f>
        <v>0.1</v>
      </c>
      <c r="G45" s="247" t="s">
        <v>1548</v>
      </c>
    </row>
    <row r="46" spans="1:7" s="214" customFormat="1" ht="13.5" customHeight="1">
      <c r="A46" s="780" t="s">
        <v>346</v>
      </c>
      <c r="B46" s="248" t="s">
        <v>1549</v>
      </c>
      <c r="C46" s="249">
        <f ca="1">ROUND((C33+C39)*F27,0)</f>
        <v>12320457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148845556</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148845556</v>
      </c>
      <c r="D51" s="232"/>
      <c r="E51" s="232"/>
      <c r="F51" s="264"/>
      <c r="G51" s="234" t="s">
        <v>1560</v>
      </c>
    </row>
    <row r="52" spans="1:7" s="208" customFormat="1" ht="16.5" thickBot="1">
      <c r="A52" s="265" t="s">
        <v>1561</v>
      </c>
      <c r="B52" s="266"/>
      <c r="C52" s="267">
        <f ca="1">C31+C51</f>
        <v>158490637</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36123.300000000003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2413</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1369</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668</v>
      </c>
      <c r="C3" s="1999" t="s">
        <v>1941</v>
      </c>
      <c r="D3" s="2000" t="s">
        <v>1942</v>
      </c>
      <c r="E3" s="3419" t="s">
        <v>2482</v>
      </c>
      <c r="F3" s="2004" t="s">
        <v>3455</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1055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861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910</v>
      </c>
      <c r="D5" s="1339">
        <f>ROUND(C6*C17+C20,0)</f>
        <v>910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731</v>
      </c>
      <c r="U5" s="1213">
        <v>719.37</v>
      </c>
      <c r="V5" s="3360">
        <f t="shared" si="1"/>
        <v>53</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666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8"/>
      <c r="B8" s="170" t="s">
        <v>1957</v>
      </c>
      <c r="C8" s="2026" t="s">
        <v>3427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910</v>
      </c>
      <c r="N9" s="866">
        <f>SUMPRODUCT((因素修正幅度!B277:B326=I2)*(因素修正幅度!C3:G3=E2)*(因素修正幅度!C277:G326))</f>
        <v>0.13</v>
      </c>
      <c r="O9" s="1119"/>
      <c r="P9" s="1119"/>
      <c r="Q9" s="1119"/>
      <c r="R9" s="1212">
        <v>8</v>
      </c>
      <c r="S9" s="1213"/>
      <c r="T9" s="3360">
        <f t="shared" si="0"/>
        <v>0</v>
      </c>
      <c r="U9" s="1213"/>
      <c r="V9" s="3360">
        <f t="shared" si="1"/>
        <v>0</v>
      </c>
      <c r="W9" s="375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4" t="s">
        <v>3259</v>
      </c>
      <c r="B20" s="167" t="s">
        <v>1994</v>
      </c>
      <c r="C20" s="3324">
        <f>ROUND(IF(F21="与级别开发程度一致",0,(G21-E21)/C21),0)</f>
        <v>0</v>
      </c>
      <c r="D20" s="3340" t="s">
        <v>1998</v>
      </c>
      <c r="E20" s="3341"/>
      <c r="F20" s="3770" t="s">
        <v>1995</v>
      </c>
      <c r="G20" s="3771"/>
      <c r="H20" s="3325" t="s">
        <v>3384</v>
      </c>
      <c r="I20" s="3325" t="s">
        <v>3385</v>
      </c>
      <c r="J20" s="3326" t="s">
        <v>3386</v>
      </c>
      <c r="K20" s="2047" t="s">
        <v>3387</v>
      </c>
      <c r="L20" s="2047" t="s">
        <v>3388</v>
      </c>
      <c r="M20" s="2047" t="s">
        <v>3432</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5"/>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3470</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45124</v>
      </c>
      <c r="H23" s="3342" t="s">
        <v>3261</v>
      </c>
      <c r="I23" s="3343" t="str">
        <f>IF(H23="季度增幅（自定义）",SUMIF(N25:N28,E2,O25:O28),"")</f>
        <v/>
      </c>
      <c r="J23" s="3445" t="s">
        <v>3260</v>
      </c>
      <c r="K23" s="1125"/>
      <c r="L23" s="2055" t="s">
        <v>2004</v>
      </c>
      <c r="M23" s="1328">
        <f>ROUND(SUMIF(地价!B2:G2,E2,地价!B16:G16),0)</f>
        <v>318</v>
      </c>
      <c r="N23" s="2056"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0.88670000000000004</v>
      </c>
      <c r="D24" s="2060" t="s">
        <v>2007</v>
      </c>
      <c r="E24" s="1335">
        <f>存贷款利率!E23/100</f>
        <v>4.3499999999999997E-2</v>
      </c>
      <c r="F24" s="2060" t="s">
        <v>1999</v>
      </c>
      <c r="G24" s="768">
        <f>SUMIF(M30:Q30,E2,M33:Q33)</f>
        <v>0.05</v>
      </c>
      <c r="H24" s="2060" t="s">
        <v>2008</v>
      </c>
      <c r="I24" s="769">
        <f>SUMIF('数据-取费表'!C6:C15,E2,'数据-取费表'!F6:F15)/COUNTIF('数据-取费表'!C6:C15,E2)</f>
        <v>33.97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3457</v>
      </c>
      <c r="C25" s="771">
        <f>IF(B25="容积率修正",IF(G3&lt;10,D26,J26),C27)</f>
        <v>0.75270000000000004</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0.75270000000000004</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1.0350999999999999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2413</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668</v>
      </c>
      <c r="D33" s="2098">
        <f>'数据-汇总表'!E19</f>
        <v>36123.300000000003</v>
      </c>
      <c r="E33" s="773">
        <f>ROUND(C33*D33/10000,0)</f>
        <v>2413</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100</v>
      </c>
      <c r="D34" s="2103"/>
      <c r="E34" s="773">
        <f>ROUND(IF(B25="楼层修正",SUM(V2:V16)*M40,C34*D34/10000),0)</f>
        <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444</v>
      </c>
      <c r="D37" s="2098"/>
      <c r="E37" s="171">
        <f>ROUND(C37*D37/10000,0)</f>
        <v>0</v>
      </c>
      <c r="F37" s="171">
        <f>SUMIF(修正!A57:A68,G2,修正!B57:B68)</f>
        <v>0.5</v>
      </c>
      <c r="G37" s="171">
        <f>ROUND(IF(E2="工业",C37*$M$42,C37*$M$41),0)</f>
        <v>67</v>
      </c>
      <c r="H37" s="171">
        <f>D37</f>
        <v>0</v>
      </c>
      <c r="I37" s="171">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178</v>
      </c>
      <c r="D38" s="2098"/>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9"/>
      <c r="B39" s="2041" t="s">
        <v>3264</v>
      </c>
      <c r="C39" s="175">
        <f>ROUND(D5*C22*C23*C24*C28*F39,0)</f>
        <v>178</v>
      </c>
      <c r="D39" s="2098"/>
      <c r="E39" s="171">
        <f t="shared" si="4"/>
        <v>0</v>
      </c>
      <c r="F39" s="171">
        <f>SUMIF(修正!A57:A68,G2,修正!D57:D68)</f>
        <v>0.2</v>
      </c>
      <c r="G39" s="171">
        <f>ROUND(IF(E2="工业",C39*$M$42,C39*$M$41),0)</f>
        <v>27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178</v>
      </c>
      <c r="D40" s="2098"/>
      <c r="E40" s="171">
        <f t="shared" si="4"/>
        <v>0</v>
      </c>
      <c r="F40" s="175">
        <f>SUMIF(修正!A57:A68,G2,修正!E57:E68)</f>
        <v>0.2</v>
      </c>
      <c r="G40" s="171">
        <f>ROUND(IF(E2="工业",C40*$M$42,C40*$M$41),0)</f>
        <v>27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1.0649999999999999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t="s">
        <v>3424</v>
      </c>
      <c r="D50" s="1065">
        <f t="shared" ref="D50:D58" si="7">SUMIF($J$49:$N$49,C50,J50:N50)</f>
        <v>1.4999999999999999E-2</v>
      </c>
      <c r="E50" s="744">
        <f>ROUND(SUM(D50:D58),4)</f>
        <v>6.5000000000000002E-2</v>
      </c>
      <c r="F50" s="1814" t="str">
        <f>IF(E2="商业",SUMIF(L1:L12,G2,N1:N12),"——")</f>
        <v>——</v>
      </c>
      <c r="G50" s="1063">
        <v>1.4999999999999999E-2</v>
      </c>
      <c r="H50" s="1066" t="str">
        <f t="shared" ref="H50:H58" si="8">IFERROR(ROUNDDOWN($F$50*I50/2,4),"——")</f>
        <v>——</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t="s">
        <v>3428</v>
      </c>
      <c r="D51" s="1065">
        <f t="shared" si="7"/>
        <v>2.1999999999999999E-2</v>
      </c>
      <c r="E51" s="745"/>
      <c r="F51" s="1814"/>
      <c r="G51" s="1063">
        <v>1.0999999999999999E-2</v>
      </c>
      <c r="H51" s="1066" t="str">
        <f t="shared" si="8"/>
        <v>——</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hidden="1">
      <c r="A52" s="3368" t="s">
        <v>3274</v>
      </c>
      <c r="B52" s="2134">
        <f>估价对象房地状况!C19</f>
        <v>0</v>
      </c>
      <c r="C52" s="2044" t="s">
        <v>3424</v>
      </c>
      <c r="D52" s="1065">
        <f t="shared" si="7"/>
        <v>6.0000000000000001E-3</v>
      </c>
      <c r="E52" s="745"/>
      <c r="F52" s="1814"/>
      <c r="G52" s="1063">
        <v>6.0000000000000001E-3</v>
      </c>
      <c r="H52" s="1066" t="str">
        <f t="shared" si="8"/>
        <v>——</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hidden="1">
      <c r="A53" s="2130" t="s">
        <v>2054</v>
      </c>
      <c r="B53" s="2135" t="s">
        <v>2055</v>
      </c>
      <c r="C53" s="2044" t="s">
        <v>3424</v>
      </c>
      <c r="D53" s="1065">
        <f t="shared" si="7"/>
        <v>2.5000000000000001E-3</v>
      </c>
      <c r="E53" s="745"/>
      <c r="F53" s="1814"/>
      <c r="G53" s="1063">
        <v>2.5000000000000001E-3</v>
      </c>
      <c r="H53" s="1066" t="str">
        <f t="shared" si="8"/>
        <v>——</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t="s">
        <v>3424</v>
      </c>
      <c r="D54" s="1065">
        <f t="shared" si="7"/>
        <v>4.0000000000000001E-3</v>
      </c>
      <c r="E54" s="745"/>
      <c r="F54" s="1814"/>
      <c r="G54" s="1063">
        <v>4.0000000000000001E-3</v>
      </c>
      <c r="H54" s="1066" t="str">
        <f t="shared" si="8"/>
        <v>——</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hidden="1">
      <c r="A55" s="2130" t="s">
        <v>2057</v>
      </c>
      <c r="B55" s="2136" t="s">
        <v>2058</v>
      </c>
      <c r="C55" s="2044" t="s">
        <v>3424</v>
      </c>
      <c r="D55" s="1065">
        <f t="shared" si="7"/>
        <v>2.5000000000000001E-3</v>
      </c>
      <c r="E55" s="745"/>
      <c r="F55" s="1814"/>
      <c r="G55" s="1063">
        <v>2.5000000000000001E-3</v>
      </c>
      <c r="H55" s="1066" t="str">
        <f t="shared" si="8"/>
        <v>——</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t="s">
        <v>3424</v>
      </c>
      <c r="D56" s="1065">
        <f t="shared" si="7"/>
        <v>2.5000000000000001E-3</v>
      </c>
      <c r="E56" s="745"/>
      <c r="F56" s="1814"/>
      <c r="G56" s="1063">
        <v>2.5000000000000001E-3</v>
      </c>
      <c r="H56" s="1066" t="str">
        <f t="shared" si="8"/>
        <v>——</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t="s">
        <v>3428</v>
      </c>
      <c r="D57" s="1065">
        <f t="shared" si="7"/>
        <v>8.0000000000000002E-3</v>
      </c>
      <c r="E57" s="745"/>
      <c r="F57" s="1814"/>
      <c r="G57" s="1063">
        <v>4.0000000000000001E-3</v>
      </c>
      <c r="H57" s="1066" t="str">
        <f t="shared" si="8"/>
        <v>——</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t="s">
        <v>3424</v>
      </c>
      <c r="D58" s="1065">
        <f t="shared" si="7"/>
        <v>2.5000000000000001E-3</v>
      </c>
      <c r="E58" s="746"/>
      <c r="F58" s="1814"/>
      <c r="G58" s="1063">
        <v>2.5000000000000001E-3</v>
      </c>
      <c r="H58" s="1066" t="str">
        <f t="shared" si="8"/>
        <v>——</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1.0350999999999999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61" t="s">
        <v>3424</v>
      </c>
      <c r="D83" s="1065">
        <f t="shared" ref="D83:D90" si="22">SUMIF($J$82:$N$82,C83,J83:N83)</f>
        <v>1.6899999999999998E-2</v>
      </c>
      <c r="E83" s="744">
        <f>ROUND(SUM(D83:D90),4)</f>
        <v>3.5099999999999999E-2</v>
      </c>
      <c r="F83" s="1814">
        <f>IF(E2="工业",SUMIF(L1:L12,G2,N1:N12),"——")</f>
        <v>0.13</v>
      </c>
      <c r="G83" s="1063">
        <v>1.6899999999999998E-2</v>
      </c>
      <c r="H83" s="1066">
        <f t="shared" ref="H83:H90" si="23">IFERROR(ROUNDDOWN($F$83*I83/2,4),"——")</f>
        <v>1.6899999999999998E-2</v>
      </c>
      <c r="I83" s="3366">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61" t="s">
        <v>3463</v>
      </c>
      <c r="D84" s="1065">
        <f t="shared" si="22"/>
        <v>0</v>
      </c>
      <c r="E84" s="747"/>
      <c r="F84" s="1814"/>
      <c r="G84" s="1063">
        <v>1.95E-2</v>
      </c>
      <c r="H84" s="1066">
        <f t="shared" si="23"/>
        <v>1.95E-2</v>
      </c>
      <c r="I84" s="3366">
        <v>0.3</v>
      </c>
      <c r="J84" s="1064">
        <f t="shared" si="24"/>
        <v>3.9E-2</v>
      </c>
      <c r="K84" s="1064">
        <f t="shared" si="25"/>
        <v>1.95E-2</v>
      </c>
      <c r="L84" s="1064">
        <v>0</v>
      </c>
      <c r="M84" s="1064">
        <f t="shared" si="26"/>
        <v>-1.95E-2</v>
      </c>
      <c r="N84" s="1064">
        <f t="shared" si="26"/>
        <v>-3.9E-2</v>
      </c>
      <c r="Z84" s="1998"/>
      <c r="AA84" s="2053"/>
      <c r="AG84" s="1121"/>
      <c r="AK84" s="2053"/>
    </row>
    <row r="85" spans="1:37" ht="36">
      <c r="A85" s="3368" t="s">
        <v>3275</v>
      </c>
      <c r="B85" s="2134">
        <f>估价对象房地状况!G17</f>
        <v>0</v>
      </c>
      <c r="C85" s="3461" t="s">
        <v>3424</v>
      </c>
      <c r="D85" s="1065">
        <f t="shared" si="22"/>
        <v>6.4999999999999997E-3</v>
      </c>
      <c r="E85" s="747"/>
      <c r="F85" s="1814"/>
      <c r="G85" s="1063">
        <v>6.4999999999999997E-3</v>
      </c>
      <c r="H85" s="1066">
        <f t="shared" si="23"/>
        <v>6.4999999999999997E-3</v>
      </c>
      <c r="I85" s="3366">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3461" t="s">
        <v>3464</v>
      </c>
      <c r="D86" s="1065">
        <f t="shared" si="22"/>
        <v>-3.2000000000000002E-3</v>
      </c>
      <c r="E86" s="747"/>
      <c r="F86" s="1814"/>
      <c r="G86" s="1063">
        <v>3.2000000000000002E-3</v>
      </c>
      <c r="H86" s="1066">
        <f t="shared" si="23"/>
        <v>3.2000000000000002E-3</v>
      </c>
      <c r="I86" s="3366">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3461" t="s">
        <v>3424</v>
      </c>
      <c r="D87" s="1065">
        <f t="shared" si="22"/>
        <v>3.8999999999999998E-3</v>
      </c>
      <c r="E87" s="747"/>
      <c r="F87" s="1814"/>
      <c r="G87" s="1063">
        <v>3.8999999999999998E-3</v>
      </c>
      <c r="H87" s="1066">
        <f t="shared" si="23"/>
        <v>3.8999999999999998E-3</v>
      </c>
      <c r="I87" s="3366">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3461" t="s">
        <v>3463</v>
      </c>
      <c r="D88" s="1065">
        <f t="shared" si="22"/>
        <v>0</v>
      </c>
      <c r="E88" s="747"/>
      <c r="F88" s="1814"/>
      <c r="G88" s="1063">
        <v>7.7999999999999996E-3</v>
      </c>
      <c r="H88" s="1066">
        <f t="shared" si="23"/>
        <v>7.7999999999999996E-3</v>
      </c>
      <c r="I88" s="3366">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3461" t="s">
        <v>3428</v>
      </c>
      <c r="D89" s="1065">
        <f t="shared" si="22"/>
        <v>7.7999999999999996E-3</v>
      </c>
      <c r="E89" s="747"/>
      <c r="F89" s="1814"/>
      <c r="G89" s="1063">
        <v>3.8999999999999998E-3</v>
      </c>
      <c r="H89" s="1066">
        <f t="shared" si="23"/>
        <v>3.8999999999999998E-3</v>
      </c>
      <c r="I89" s="3366">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3461" t="s">
        <v>3424</v>
      </c>
      <c r="D90" s="1065">
        <f t="shared" si="22"/>
        <v>3.2000000000000002E-3</v>
      </c>
      <c r="E90" s="748"/>
      <c r="F90" s="1814"/>
      <c r="G90" s="1063">
        <v>3.2000000000000002E-3</v>
      </c>
      <c r="H90" s="1066">
        <f t="shared" si="23"/>
        <v>3.2000000000000002E-3</v>
      </c>
      <c r="I90" s="3367">
        <v>0.05</v>
      </c>
      <c r="J90" s="1064">
        <f t="shared" si="24"/>
        <v>6.4000000000000003E-3</v>
      </c>
      <c r="K90" s="1064">
        <f t="shared" si="25"/>
        <v>3.2000000000000002E-3</v>
      </c>
      <c r="L90" s="1064">
        <v>0</v>
      </c>
      <c r="M90" s="1064">
        <f t="shared" si="26"/>
        <v>-3.2000000000000002E-3</v>
      </c>
      <c r="N90" s="1064">
        <f t="shared" si="26"/>
        <v>-6.4000000000000003E-3</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6" t="s">
        <v>3299</v>
      </c>
      <c r="B103" s="3766"/>
      <c r="C103" s="3766"/>
      <c r="D103" s="3766"/>
      <c r="E103" s="3766"/>
      <c r="F103" s="3766"/>
      <c r="G103" s="3766"/>
      <c r="H103" s="3766"/>
      <c r="I103" s="3766"/>
      <c r="J103" s="3766"/>
      <c r="K103" s="3389"/>
      <c r="L103" s="3389"/>
      <c r="M103" s="3389"/>
      <c r="N103" s="3389"/>
    </row>
    <row r="104" spans="1:14">
      <c r="A104" s="3767" t="s">
        <v>3300</v>
      </c>
      <c r="B104" s="3767" t="s">
        <v>3301</v>
      </c>
      <c r="C104" s="3390" t="s">
        <v>3302</v>
      </c>
      <c r="D104" s="3391"/>
      <c r="E104" s="3391"/>
      <c r="F104" s="3391"/>
      <c r="G104" s="3391"/>
      <c r="H104" s="3391"/>
      <c r="I104" s="3391"/>
      <c r="J104" s="3392"/>
      <c r="K104" s="3393"/>
      <c r="L104" s="3393"/>
      <c r="M104" s="3393"/>
      <c r="N104" s="3393"/>
    </row>
    <row r="105" spans="1:14">
      <c r="A105" s="3767"/>
      <c r="B105" s="3767"/>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53"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6" t="s">
        <v>3316</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v>
      </c>
      <c r="C116" s="3399" t="s">
        <v>3318</v>
      </c>
      <c r="D116" s="3400">
        <f>SUMPRODUCT((A118:A122=F116)*(B117:M117=H116)*B118:M122)</f>
        <v>0.55249999999999999</v>
      </c>
      <c r="E116" s="2000" t="s">
        <v>3319</v>
      </c>
      <c r="F116" s="3401" t="str">
        <f>E2</f>
        <v>工业</v>
      </c>
      <c r="G116" s="2000" t="s">
        <v>3320</v>
      </c>
      <c r="H116" s="3401" t="str">
        <f>G2</f>
        <v>九级</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3335</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5"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2"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4"/>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5" t="s">
        <v>2634</v>
      </c>
      <c r="B27" s="3772" t="s">
        <v>2615</v>
      </c>
      <c r="C27" s="3102" t="s">
        <v>2455</v>
      </c>
      <c r="D27" s="3103"/>
      <c r="E27" s="3104">
        <v>1</v>
      </c>
      <c r="F27" s="3105" t="s">
        <v>2456</v>
      </c>
      <c r="G27" s="3105"/>
    </row>
    <row r="28" spans="1:13" ht="19.5" customHeight="1">
      <c r="A28" s="3776"/>
      <c r="B28" s="3773"/>
      <c r="C28" s="3106" t="s">
        <v>2457</v>
      </c>
      <c r="D28" s="3107"/>
      <c r="E28" s="3108">
        <v>1</v>
      </c>
      <c r="F28" s="3105" t="s">
        <v>2458</v>
      </c>
      <c r="G28" s="3105"/>
    </row>
    <row r="29" spans="1:13" ht="19.5" customHeight="1">
      <c r="A29" s="3776"/>
      <c r="B29" s="3773"/>
      <c r="C29" s="3106" t="s">
        <v>2459</v>
      </c>
      <c r="D29" s="3107"/>
      <c r="E29" s="3108">
        <v>0.8</v>
      </c>
      <c r="F29" s="3105" t="s">
        <v>2460</v>
      </c>
      <c r="G29" s="3105"/>
    </row>
    <row r="30" spans="1:13" ht="19.5" customHeight="1">
      <c r="A30" s="3776"/>
      <c r="B30" s="3773"/>
      <c r="C30" s="3106" t="s">
        <v>2461</v>
      </c>
      <c r="D30" s="3107"/>
      <c r="E30" s="3108">
        <v>0.8</v>
      </c>
      <c r="F30" s="3105" t="s">
        <v>2462</v>
      </c>
      <c r="G30" s="3105"/>
    </row>
    <row r="31" spans="1:13" ht="19.5" customHeight="1">
      <c r="A31" s="3776"/>
      <c r="B31" s="3773"/>
      <c r="C31" s="3106" t="s">
        <v>2463</v>
      </c>
      <c r="D31" s="3107"/>
      <c r="E31" s="3108">
        <v>0.8</v>
      </c>
      <c r="F31" s="3105" t="s">
        <v>2464</v>
      </c>
      <c r="G31" s="3105"/>
    </row>
    <row r="32" spans="1:13" ht="19.5" customHeight="1">
      <c r="A32" s="3776"/>
      <c r="B32" s="3773"/>
      <c r="C32" s="3106" t="s">
        <v>2465</v>
      </c>
      <c r="D32" s="3107"/>
      <c r="E32" s="3108">
        <v>0.7</v>
      </c>
      <c r="F32" s="3105" t="s">
        <v>2466</v>
      </c>
      <c r="G32" s="3105"/>
    </row>
    <row r="33" spans="1:7" ht="19.5" customHeight="1">
      <c r="A33" s="3776"/>
      <c r="B33" s="3773"/>
      <c r="C33" s="3106" t="s">
        <v>2467</v>
      </c>
      <c r="D33" s="3107"/>
      <c r="E33" s="3108">
        <v>0.8</v>
      </c>
      <c r="F33" s="3105" t="s">
        <v>2468</v>
      </c>
      <c r="G33" s="3105"/>
    </row>
    <row r="34" spans="1:7" ht="19.5" customHeight="1">
      <c r="A34" s="3776"/>
      <c r="B34" s="3773"/>
      <c r="C34" s="3106" t="s">
        <v>2469</v>
      </c>
      <c r="D34" s="3107"/>
      <c r="E34" s="3108">
        <v>0.6</v>
      </c>
      <c r="F34" s="3105" t="s">
        <v>2470</v>
      </c>
      <c r="G34" s="3105"/>
    </row>
    <row r="35" spans="1:7" ht="19.5" customHeight="1">
      <c r="A35" s="3776"/>
      <c r="B35" s="3773"/>
      <c r="C35" s="3106" t="s">
        <v>2471</v>
      </c>
      <c r="D35" s="3107"/>
      <c r="E35" s="3108">
        <v>0.2</v>
      </c>
      <c r="F35" s="3105" t="s">
        <v>2472</v>
      </c>
      <c r="G35" s="3105"/>
    </row>
    <row r="36" spans="1:7" ht="19.5" customHeight="1">
      <c r="A36" s="3776"/>
      <c r="B36" s="3773"/>
      <c r="C36" s="3106" t="s">
        <v>2473</v>
      </c>
      <c r="D36" s="3107"/>
      <c r="E36" s="3108">
        <v>0.2</v>
      </c>
      <c r="F36" s="3105" t="s">
        <v>2474</v>
      </c>
      <c r="G36" s="3105"/>
    </row>
    <row r="37" spans="1:7" ht="19.5" customHeight="1">
      <c r="A37" s="3776"/>
      <c r="B37" s="3778" t="s">
        <v>2635</v>
      </c>
      <c r="C37" s="3106" t="s">
        <v>2475</v>
      </c>
      <c r="D37" s="3107"/>
      <c r="E37" s="3108">
        <v>0.6</v>
      </c>
      <c r="F37" s="3105" t="s">
        <v>2476</v>
      </c>
      <c r="G37" s="3105"/>
    </row>
    <row r="38" spans="1:7" ht="19.5" customHeight="1">
      <c r="A38" s="3776"/>
      <c r="B38" s="3773"/>
      <c r="C38" s="3106" t="s">
        <v>2477</v>
      </c>
      <c r="D38" s="3107"/>
      <c r="E38" s="3108">
        <v>0.6</v>
      </c>
      <c r="F38" s="3105" t="s">
        <v>2478</v>
      </c>
      <c r="G38" s="3105"/>
    </row>
    <row r="39" spans="1:7" ht="19.5" customHeight="1" thickBot="1">
      <c r="A39" s="3777"/>
      <c r="B39" s="3774"/>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2"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8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8"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4"/>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8"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3.5">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13.5">
      <c r="A85" s="3117">
        <v>13</v>
      </c>
      <c r="B85" s="3773"/>
      <c r="C85" s="3091" t="s">
        <v>2679</v>
      </c>
      <c r="D85" s="3091" t="s">
        <v>2680</v>
      </c>
      <c r="E85" s="3117">
        <v>0.1</v>
      </c>
      <c r="F85" s="3117">
        <v>15</v>
      </c>
    </row>
    <row r="86" spans="1:6" ht="13.5">
      <c r="A86" s="3117">
        <v>14</v>
      </c>
      <c r="B86" s="3773"/>
      <c r="C86" s="3091" t="s">
        <v>2681</v>
      </c>
      <c r="D86" s="3091" t="s">
        <v>2682</v>
      </c>
      <c r="E86" s="3117">
        <v>0.1</v>
      </c>
      <c r="F86" s="3117">
        <v>15</v>
      </c>
    </row>
    <row r="87" spans="1:6" ht="13.5">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82"/>
      <c r="C89" s="3091" t="s">
        <v>2687</v>
      </c>
      <c r="D89" s="3091" t="s">
        <v>2688</v>
      </c>
      <c r="E89" s="3117">
        <v>0.1</v>
      </c>
      <c r="F89" s="3117">
        <v>15</v>
      </c>
    </row>
    <row r="90" spans="1:6" ht="13.5">
      <c r="A90" s="3117">
        <v>18</v>
      </c>
      <c r="B90" s="3778" t="s">
        <v>2689</v>
      </c>
      <c r="C90" s="3091" t="s">
        <v>2690</v>
      </c>
      <c r="D90" s="3091" t="s">
        <v>2691</v>
      </c>
      <c r="E90" s="3117">
        <v>0.2</v>
      </c>
      <c r="F90" s="3117">
        <v>25</v>
      </c>
    </row>
    <row r="91" spans="1:6" ht="24">
      <c r="A91" s="3117">
        <v>19</v>
      </c>
      <c r="B91" s="3773"/>
      <c r="C91" s="3091" t="s">
        <v>2692</v>
      </c>
      <c r="D91" s="3091" t="s">
        <v>2693</v>
      </c>
      <c r="E91" s="3117">
        <v>0.2</v>
      </c>
      <c r="F91" s="3117">
        <v>25</v>
      </c>
    </row>
    <row r="92" spans="1:6" ht="13.5">
      <c r="A92" s="3117">
        <v>20</v>
      </c>
      <c r="B92" s="3773"/>
      <c r="C92" s="3091" t="s">
        <v>2694</v>
      </c>
      <c r="D92" s="3091" t="s">
        <v>2695</v>
      </c>
      <c r="E92" s="3117">
        <v>0.15</v>
      </c>
      <c r="F92" s="3117">
        <v>20</v>
      </c>
    </row>
    <row r="93" spans="1:6" ht="13.5">
      <c r="A93" s="3117">
        <v>21</v>
      </c>
      <c r="B93" s="3773"/>
      <c r="C93" s="3091" t="s">
        <v>2696</v>
      </c>
      <c r="D93" s="3091" t="s">
        <v>2697</v>
      </c>
      <c r="E93" s="3117">
        <v>0.15</v>
      </c>
      <c r="F93" s="3117">
        <v>20</v>
      </c>
    </row>
    <row r="94" spans="1:6" ht="13.5">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13.5">
      <c r="A96" s="3117">
        <v>24</v>
      </c>
      <c r="B96" s="3773"/>
      <c r="C96" s="3091" t="s">
        <v>2702</v>
      </c>
      <c r="D96" s="3091" t="s">
        <v>2703</v>
      </c>
      <c r="E96" s="3117">
        <v>0.1</v>
      </c>
      <c r="F96" s="3117">
        <v>15</v>
      </c>
    </row>
    <row r="97" spans="1:6" ht="13.5">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13.5">
      <c r="A100" s="3117">
        <v>28</v>
      </c>
      <c r="B100" s="3773"/>
      <c r="C100" s="3091" t="s">
        <v>2710</v>
      </c>
      <c r="D100" s="3091" t="s">
        <v>2711</v>
      </c>
      <c r="E100" s="3117">
        <v>0.1</v>
      </c>
      <c r="F100" s="3117">
        <v>15</v>
      </c>
    </row>
    <row r="101" spans="1:6" ht="13.5">
      <c r="A101" s="3117">
        <v>29</v>
      </c>
      <c r="B101" s="3773"/>
      <c r="C101" s="3091" t="s">
        <v>2712</v>
      </c>
      <c r="D101" s="3091" t="s">
        <v>2713</v>
      </c>
      <c r="E101" s="3117">
        <v>0.1</v>
      </c>
      <c r="F101" s="3117">
        <v>15</v>
      </c>
    </row>
    <row r="102" spans="1:6" ht="13.5">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82"/>
      <c r="C106" s="3091" t="s">
        <v>2722</v>
      </c>
      <c r="D106" s="3091" t="s">
        <v>2723</v>
      </c>
      <c r="E106" s="3117">
        <v>0.1</v>
      </c>
      <c r="F106" s="3117">
        <v>15</v>
      </c>
    </row>
    <row r="107" spans="1:6" ht="24">
      <c r="A107" s="3117">
        <v>35</v>
      </c>
      <c r="B107" s="3778" t="s">
        <v>2724</v>
      </c>
      <c r="C107" s="3117" t="s">
        <v>2725</v>
      </c>
      <c r="D107" s="3091" t="s">
        <v>2726</v>
      </c>
      <c r="E107" s="3117">
        <v>0.15</v>
      </c>
      <c r="F107" s="3117">
        <v>20</v>
      </c>
    </row>
    <row r="108" spans="1:6" ht="13.5">
      <c r="A108" s="3117">
        <v>36</v>
      </c>
      <c r="B108" s="3773"/>
      <c r="C108" s="3117" t="s">
        <v>2727</v>
      </c>
      <c r="D108" s="3091" t="s">
        <v>2728</v>
      </c>
      <c r="E108" s="3117">
        <v>0.15</v>
      </c>
      <c r="F108" s="3117">
        <v>20</v>
      </c>
    </row>
    <row r="109" spans="1:6" ht="13.5">
      <c r="A109" s="3117">
        <v>37</v>
      </c>
      <c r="B109" s="3773"/>
      <c r="C109" s="3117" t="s">
        <v>2729</v>
      </c>
      <c r="D109" s="3091" t="s">
        <v>2730</v>
      </c>
      <c r="E109" s="3117">
        <v>0.15</v>
      </c>
      <c r="F109" s="3117">
        <v>20</v>
      </c>
    </row>
    <row r="110" spans="1:6" ht="13.5">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82"/>
      <c r="C112" s="3117" t="s">
        <v>2735</v>
      </c>
      <c r="D112" s="3091" t="s">
        <v>2736</v>
      </c>
      <c r="E112" s="3117">
        <v>0.1</v>
      </c>
      <c r="F112" s="3117">
        <v>15</v>
      </c>
    </row>
    <row r="113" spans="1:6" ht="13.5">
      <c r="A113" s="3117">
        <v>41</v>
      </c>
      <c r="B113" s="3783" t="s">
        <v>2737</v>
      </c>
      <c r="C113" s="3117" t="s">
        <v>2738</v>
      </c>
      <c r="D113" s="3091" t="s">
        <v>2739</v>
      </c>
      <c r="E113" s="3117">
        <v>0.1</v>
      </c>
      <c r="F113" s="3117">
        <v>15</v>
      </c>
    </row>
    <row r="114" spans="1:6" ht="13.5">
      <c r="A114" s="3117">
        <v>42</v>
      </c>
      <c r="B114" s="3783"/>
      <c r="C114" s="3117" t="s">
        <v>2740</v>
      </c>
      <c r="D114" s="3091" t="s">
        <v>2741</v>
      </c>
      <c r="E114" s="3117">
        <v>0.1</v>
      </c>
      <c r="F114" s="3117">
        <v>15</v>
      </c>
    </row>
    <row r="115" spans="1:6" ht="24">
      <c r="A115" s="3117">
        <v>43</v>
      </c>
      <c r="B115" s="3783"/>
      <c r="C115" s="3117" t="s">
        <v>2742</v>
      </c>
      <c r="D115" s="3091" t="s">
        <v>2743</v>
      </c>
      <c r="E115" s="3117">
        <v>0.1</v>
      </c>
      <c r="F115" s="3117">
        <v>15</v>
      </c>
    </row>
    <row r="116" spans="1:6" ht="13.5">
      <c r="A116" s="3117">
        <v>44</v>
      </c>
      <c r="B116" s="3778" t="s">
        <v>2744</v>
      </c>
      <c r="C116" s="3117" t="s">
        <v>2745</v>
      </c>
      <c r="D116" s="3091" t="s">
        <v>2746</v>
      </c>
      <c r="E116" s="3117">
        <v>0.1</v>
      </c>
      <c r="F116" s="3117">
        <v>15</v>
      </c>
    </row>
    <row r="117" spans="1:6" ht="24">
      <c r="A117" s="3117">
        <v>45</v>
      </c>
      <c r="B117" s="3782"/>
      <c r="C117" s="3091" t="s">
        <v>2747</v>
      </c>
      <c r="D117" s="3091" t="s">
        <v>2748</v>
      </c>
      <c r="E117" s="3117">
        <v>0.1</v>
      </c>
      <c r="F117" s="3117">
        <v>15</v>
      </c>
    </row>
    <row r="118" spans="1:6" ht="24">
      <c r="A118" s="3117">
        <v>46</v>
      </c>
      <c r="B118" s="3778" t="s">
        <v>2749</v>
      </c>
      <c r="C118" s="3117" t="s">
        <v>2750</v>
      </c>
      <c r="D118" s="3091" t="s">
        <v>2751</v>
      </c>
      <c r="E118" s="3117">
        <v>0.1</v>
      </c>
      <c r="F118" s="3117">
        <v>15</v>
      </c>
    </row>
    <row r="119" spans="1:6" ht="24">
      <c r="A119" s="3117">
        <v>47</v>
      </c>
      <c r="B119" s="3782"/>
      <c r="C119" s="3117" t="s">
        <v>2752</v>
      </c>
      <c r="D119" s="3091" t="s">
        <v>2753</v>
      </c>
      <c r="E119" s="3117">
        <v>0.1</v>
      </c>
      <c r="F119" s="3117">
        <v>15</v>
      </c>
    </row>
    <row r="120" spans="1:6" ht="13.5">
      <c r="A120" s="3117">
        <v>48</v>
      </c>
      <c r="B120" s="3778" t="s">
        <v>2754</v>
      </c>
      <c r="C120" s="3117" t="s">
        <v>2755</v>
      </c>
      <c r="D120" s="3091" t="s">
        <v>2756</v>
      </c>
      <c r="E120" s="3117">
        <v>0.1</v>
      </c>
      <c r="F120" s="3117">
        <v>15</v>
      </c>
    </row>
    <row r="121" spans="1:6" ht="13.5">
      <c r="A121" s="3117">
        <v>49</v>
      </c>
      <c r="B121" s="3782"/>
      <c r="C121" s="3117" t="s">
        <v>2757</v>
      </c>
      <c r="D121" s="3091" t="s">
        <v>2758</v>
      </c>
      <c r="E121" s="3117">
        <v>0.1</v>
      </c>
      <c r="F121" s="3117">
        <v>15</v>
      </c>
    </row>
    <row r="122" spans="1:6" ht="24">
      <c r="A122" s="3117">
        <v>50</v>
      </c>
      <c r="B122" s="3783" t="s">
        <v>2759</v>
      </c>
      <c r="C122" s="3117" t="s">
        <v>2760</v>
      </c>
      <c r="D122" s="3091" t="s">
        <v>2761</v>
      </c>
      <c r="E122" s="3117">
        <v>0.1</v>
      </c>
      <c r="F122" s="3117">
        <v>15</v>
      </c>
    </row>
    <row r="123" spans="1:6" ht="24">
      <c r="A123" s="3117">
        <v>51</v>
      </c>
      <c r="B123" s="3783"/>
      <c r="C123" s="3117" t="s">
        <v>2762</v>
      </c>
      <c r="D123" s="3091" t="s">
        <v>2763</v>
      </c>
      <c r="E123" s="3117">
        <v>0.1</v>
      </c>
      <c r="F123" s="3117">
        <v>15</v>
      </c>
    </row>
    <row r="124" spans="1:6" ht="24">
      <c r="A124" s="3117">
        <v>52</v>
      </c>
      <c r="B124" s="3783" t="s">
        <v>2764</v>
      </c>
      <c r="C124" s="3117" t="s">
        <v>2765</v>
      </c>
      <c r="D124" s="3091" t="s">
        <v>2766</v>
      </c>
      <c r="E124" s="3117">
        <v>0.1</v>
      </c>
      <c r="F124" s="3117">
        <v>15</v>
      </c>
    </row>
    <row r="125" spans="1:6" ht="24">
      <c r="A125" s="3117">
        <v>53</v>
      </c>
      <c r="B125" s="378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3" t="s">
        <v>2772</v>
      </c>
      <c r="C127" s="3117" t="s">
        <v>2773</v>
      </c>
      <c r="D127" s="3091" t="s">
        <v>2774</v>
      </c>
      <c r="E127" s="3117">
        <v>0.1</v>
      </c>
      <c r="F127" s="3117">
        <v>15</v>
      </c>
    </row>
    <row r="128" spans="1:6" ht="13.5">
      <c r="A128" s="3117">
        <v>56</v>
      </c>
      <c r="B128" s="3783"/>
      <c r="C128" s="3117" t="s">
        <v>2775</v>
      </c>
      <c r="D128" s="3091" t="s">
        <v>2776</v>
      </c>
      <c r="E128" s="3117">
        <v>0.1</v>
      </c>
      <c r="F128" s="3117">
        <v>15</v>
      </c>
    </row>
    <row r="129" spans="1:6" ht="24">
      <c r="A129" s="3117">
        <v>57</v>
      </c>
      <c r="B129" s="3783"/>
      <c r="C129" s="3117" t="s">
        <v>2777</v>
      </c>
      <c r="D129" s="3091" t="s">
        <v>2778</v>
      </c>
      <c r="E129" s="3117">
        <v>0.1</v>
      </c>
      <c r="F129" s="3117">
        <v>15</v>
      </c>
    </row>
    <row r="130" spans="1:6" ht="24">
      <c r="A130" s="3117">
        <v>58</v>
      </c>
      <c r="B130" s="3783" t="s">
        <v>2779</v>
      </c>
      <c r="C130" s="3117" t="s">
        <v>2780</v>
      </c>
      <c r="D130" s="3091" t="s">
        <v>2781</v>
      </c>
      <c r="E130" s="3117">
        <v>0.1</v>
      </c>
      <c r="F130" s="3117">
        <v>15</v>
      </c>
    </row>
    <row r="131" spans="1:6" ht="13.5">
      <c r="A131" s="3117">
        <v>59</v>
      </c>
      <c r="B131" s="3783"/>
      <c r="C131" s="3117" t="s">
        <v>2782</v>
      </c>
      <c r="D131" s="3091" t="s">
        <v>2783</v>
      </c>
      <c r="E131" s="3117">
        <v>0.1</v>
      </c>
      <c r="F131" s="3117">
        <v>15</v>
      </c>
    </row>
    <row r="132" spans="1:6" ht="13.5">
      <c r="A132" s="3117">
        <v>60</v>
      </c>
      <c r="B132" s="3778" t="s">
        <v>2784</v>
      </c>
      <c r="C132" s="3117" t="s">
        <v>2785</v>
      </c>
      <c r="D132" s="3091" t="s">
        <v>2786</v>
      </c>
      <c r="E132" s="3117">
        <v>0.1</v>
      </c>
      <c r="F132" s="3117">
        <v>15</v>
      </c>
    </row>
    <row r="133" spans="1:6" ht="13.5">
      <c r="A133" s="3117">
        <v>61</v>
      </c>
      <c r="B133" s="378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3" t="s">
        <v>2792</v>
      </c>
      <c r="C135" s="3117" t="s">
        <v>2793</v>
      </c>
      <c r="D135" s="3091" t="s">
        <v>2794</v>
      </c>
      <c r="E135" s="3117">
        <v>0.1</v>
      </c>
      <c r="F135" s="3117">
        <v>15</v>
      </c>
    </row>
    <row r="136" spans="1:6" ht="13.5">
      <c r="A136" s="3117">
        <v>64</v>
      </c>
      <c r="B136" s="378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41437</v>
      </c>
      <c r="C2" s="2" t="s">
        <v>106</v>
      </c>
      <c r="D2" s="199"/>
      <c r="E2" s="199"/>
      <c r="F2" s="199"/>
      <c r="G2" s="199"/>
    </row>
    <row r="3" spans="1:7" s="200" customFormat="1" ht="18" customHeight="1" thickBot="1">
      <c r="A3" s="203" t="s">
        <v>58</v>
      </c>
      <c r="B3" s="204">
        <f ca="1">ROUND(B2*10000/'数据-汇总表'!E3,0)</f>
        <v>10988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717</v>
      </c>
      <c r="D10" s="845">
        <f>'数据-汇总表'!E6</f>
        <v>37711.240000000005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754</v>
      </c>
      <c r="D19" s="849">
        <f>'数据-汇总表'!E3</f>
        <v>37711.240000000005</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758</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724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26</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2157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11959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10729</v>
      </c>
      <c r="D34" s="217"/>
      <c r="E34" s="220"/>
      <c r="F34" s="257">
        <f>IF('数据-取费表'!B24=0,1,'数据-取费表'!N16)</f>
        <v>0.99</v>
      </c>
      <c r="G34" s="219" t="s">
        <v>89</v>
      </c>
    </row>
    <row r="35" spans="1:7" ht="13.5" customHeight="1">
      <c r="A35" s="780" t="s">
        <v>351</v>
      </c>
      <c r="B35" s="215" t="s">
        <v>33</v>
      </c>
      <c r="C35" s="220">
        <f>ROUND(C34*F35,0)</f>
        <v>322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747</v>
      </c>
      <c r="D37" s="217">
        <f>'数据-汇总表'!E3</f>
        <v>37711.240000000005</v>
      </c>
      <c r="E37" s="249">
        <f>'数据-取费表'!B35</f>
        <v>200</v>
      </c>
      <c r="F37" s="259"/>
      <c r="G37" s="261" t="s">
        <v>92</v>
      </c>
    </row>
    <row r="38" spans="1:7" ht="13.5" customHeight="1">
      <c r="A38" s="780" t="s">
        <v>354</v>
      </c>
      <c r="B38" s="215" t="s">
        <v>36</v>
      </c>
      <c r="C38" s="220">
        <f>ROUND(C34*F38,0)</f>
        <v>161</v>
      </c>
      <c r="D38" s="220"/>
      <c r="E38" s="220"/>
      <c r="F38" s="259">
        <f>'数据-取费表'!B36</f>
        <v>1.4999999999999999E-2</v>
      </c>
      <c r="G38" s="219" t="s">
        <v>90</v>
      </c>
    </row>
    <row r="39" spans="1:7" s="214" customFormat="1" ht="13.5" customHeight="1">
      <c r="A39" s="777" t="s">
        <v>338</v>
      </c>
      <c r="B39" s="210" t="s">
        <v>77</v>
      </c>
      <c r="C39" s="232">
        <f>ROUND(C33*F20,0)</f>
        <v>239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214</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210</v>
      </c>
      <c r="D42" s="238"/>
      <c r="E42" s="238"/>
      <c r="F42" s="239"/>
      <c r="G42" s="3646" t="s">
        <v>94</v>
      </c>
    </row>
    <row r="43" spans="1:7" ht="13.5" customHeight="1">
      <c r="A43" s="780" t="s">
        <v>347</v>
      </c>
      <c r="B43" s="215" t="s">
        <v>426</v>
      </c>
      <c r="C43" s="238">
        <f ca="1">ROUND(IF('数据-取费表'!B22&lt;=1,C39*F22*'数据-取费表'!B21/2,C39*(POWER((1+F22),'数据-取费表'!B21/2)-1)),0)</f>
        <v>4</v>
      </c>
      <c r="D43" s="238"/>
      <c r="E43" s="238"/>
      <c r="F43" s="239"/>
      <c r="G43" s="3647"/>
    </row>
    <row r="44" spans="1:7" ht="13.5" customHeight="1">
      <c r="A44" s="780" t="s">
        <v>348</v>
      </c>
      <c r="B44" s="215" t="s">
        <v>428</v>
      </c>
      <c r="C44" s="238">
        <f ca="1">ROUND(IF('数据-取费表'!B22&lt;=1,C40*F22*'数据-取费表'!B21/2,C40*(POWER((1+F22),'数据-取费表'!B21/2)-1)),4)</f>
        <v>4.0000000000000002E-4</v>
      </c>
      <c r="D44" s="238"/>
      <c r="E44" s="238"/>
      <c r="F44" s="239"/>
      <c r="G44" s="3648"/>
    </row>
    <row r="45" spans="1:7" s="214" customFormat="1" ht="13.5" customHeight="1">
      <c r="A45" s="777" t="s">
        <v>341</v>
      </c>
      <c r="B45" s="244" t="s">
        <v>85</v>
      </c>
      <c r="C45" s="245">
        <f>C46</f>
        <v>1220</v>
      </c>
      <c r="D45" s="235">
        <f>C47</f>
        <v>2E-3</v>
      </c>
      <c r="E45" s="236" t="s">
        <v>102</v>
      </c>
      <c r="F45" s="246"/>
      <c r="G45" s="247" t="s">
        <v>434</v>
      </c>
    </row>
    <row r="46" spans="1:7" s="214" customFormat="1" ht="13.5" customHeight="1">
      <c r="A46" s="780" t="s">
        <v>349</v>
      </c>
      <c r="B46" s="248" t="s">
        <v>427</v>
      </c>
      <c r="C46" s="249">
        <f>ROUND((C33+C39)*F27,0)</f>
        <v>1220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14734</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14734</v>
      </c>
      <c r="D51" s="232"/>
      <c r="E51" s="232"/>
      <c r="F51" s="264"/>
      <c r="G51" s="234" t="s">
        <v>37</v>
      </c>
    </row>
    <row r="52" spans="1:7" s="208" customFormat="1" ht="16.5" thickBot="1">
      <c r="A52" s="265" t="s">
        <v>38</v>
      </c>
      <c r="B52" s="266"/>
      <c r="C52" s="267">
        <f ca="1">C31+C51</f>
        <v>41437</v>
      </c>
      <c r="D52" s="266"/>
      <c r="E52" s="266"/>
      <c r="F52" s="266"/>
      <c r="G52" s="268"/>
    </row>
    <row r="55" spans="1:7" ht="15">
      <c r="B55" s="270" t="s">
        <v>39</v>
      </c>
      <c r="C55" s="271"/>
    </row>
    <row r="56" spans="1:7">
      <c r="B56" s="273" t="s">
        <v>40</v>
      </c>
      <c r="C56" s="274">
        <f ca="1">ROUND(C51/C52,3)</f>
        <v>0.35599999999999998</v>
      </c>
    </row>
    <row r="57" spans="1:7">
      <c r="B57" s="273" t="s">
        <v>41</v>
      </c>
      <c r="C57" s="275">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23528</v>
      </c>
      <c r="E5" s="1491"/>
    </row>
    <row r="6" spans="1:5" ht="15.75">
      <c r="A6" s="1491"/>
      <c r="B6" s="3465"/>
      <c r="C6" s="1494" t="s">
        <v>911</v>
      </c>
      <c r="D6" s="850" t="str">
        <f ca="1">NUMBERSTRING(INT(D5*10000),2)&amp;"元整"</f>
        <v>贰亿叁仟伍佰贰拾捌万元整</v>
      </c>
      <c r="E6" s="1491"/>
    </row>
    <row r="7" spans="1:5" ht="15.75">
      <c r="A7" s="1491"/>
      <c r="B7" s="3470"/>
      <c r="C7" s="1495" t="s">
        <v>912</v>
      </c>
      <c r="D7" s="851">
        <f ca="1">结果表!H102</f>
        <v>6239</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23528</v>
      </c>
      <c r="E13" s="1491"/>
    </row>
    <row r="14" spans="1:5" ht="15.75">
      <c r="A14" s="1491"/>
      <c r="B14" s="3465"/>
      <c r="C14" s="1494" t="s">
        <v>911</v>
      </c>
      <c r="D14" s="850" t="str">
        <f ca="1">NUMBERSTRING(INT(D13*10000),2)&amp;"元整"</f>
        <v>贰亿叁仟伍佰贰拾捌万元整</v>
      </c>
      <c r="E14" s="1491"/>
    </row>
    <row r="15" spans="1:5" ht="15">
      <c r="A15" s="1491"/>
      <c r="B15" s="3470"/>
      <c r="C15" s="1495" t="s">
        <v>921</v>
      </c>
      <c r="D15" s="859">
        <f ca="1">结果表!H108</f>
        <v>6239</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2844</v>
      </c>
      <c r="B1" s="3786"/>
      <c r="C1" s="3786"/>
      <c r="D1" s="3786"/>
      <c r="E1" s="3786"/>
      <c r="F1" s="3786"/>
      <c r="G1" s="3787"/>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84"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85"/>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3186</v>
      </c>
      <c r="B1" s="3788"/>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9" t="s">
        <v>3237</v>
      </c>
      <c r="B1" s="3789"/>
      <c r="C1" s="3789"/>
      <c r="D1" s="3789"/>
      <c r="E1" s="3789"/>
      <c r="F1" s="3790"/>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48" sqref="F48"/>
    </sheetView>
  </sheetViews>
  <sheetFormatPr defaultRowHeight="13.5"/>
  <cols>
    <col min="1" max="1" width="13.875" customWidth="1"/>
    <col min="11" max="17" width="0" hidden="1" customWidth="1"/>
    <col min="25" max="30" width="0" hidden="1" customWidth="1"/>
  </cols>
  <sheetData>
    <row r="1" spans="1:30">
      <c r="A1" s="3220">
        <f>基准地价修正!G23</f>
        <v>45124</v>
      </c>
      <c r="B1" s="3209" t="s">
        <v>2843</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84" customFormat="1" ht="12.75">
      <c r="A7" s="3175" t="s">
        <v>3372</v>
      </c>
      <c r="B7" s="3176">
        <v>2023</v>
      </c>
      <c r="C7" s="3177">
        <v>2</v>
      </c>
      <c r="D7" s="3178">
        <v>0.91</v>
      </c>
      <c r="E7" s="3178">
        <v>0.66</v>
      </c>
      <c r="F7" s="3178">
        <v>0.47</v>
      </c>
      <c r="G7" s="3178">
        <v>0.96</v>
      </c>
      <c r="H7" s="3178">
        <v>0.71</v>
      </c>
      <c r="I7" s="3179">
        <v>0.47</v>
      </c>
      <c r="J7" s="3180"/>
      <c r="K7" s="3181">
        <f t="shared" si="8"/>
        <v>9.1000000000000004E-3</v>
      </c>
      <c r="L7" s="3171">
        <f t="shared" si="9"/>
        <v>6.6E-3</v>
      </c>
      <c r="M7" s="3171">
        <f t="shared" si="10"/>
        <v>4.6999999999999993E-3</v>
      </c>
      <c r="N7" s="3171">
        <f t="shared" si="11"/>
        <v>9.5999999999999992E-3</v>
      </c>
      <c r="O7" s="3171">
        <f t="shared" si="12"/>
        <v>7.0999999999999995E-3</v>
      </c>
      <c r="P7" s="3171">
        <f t="shared" si="13"/>
        <v>4.6999999999999993E-3</v>
      </c>
      <c r="Q7" s="3180"/>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91" t="s">
        <v>2831</v>
      </c>
      <c r="S21" s="3792"/>
      <c r="T21" s="3792"/>
      <c r="U21" s="3792"/>
      <c r="V21" s="3792"/>
      <c r="W21" s="3792"/>
      <c r="X21" s="3164"/>
      <c r="Y21" s="3791" t="s">
        <v>2832</v>
      </c>
      <c r="Z21" s="3792"/>
      <c r="AA21" s="3792"/>
      <c r="AB21" s="3792"/>
      <c r="AC21" s="3792"/>
      <c r="AD21" s="3792"/>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84" customFormat="1" ht="12.75">
      <c r="A27" s="3175" t="s">
        <v>3372</v>
      </c>
      <c r="B27" s="3176">
        <v>2023</v>
      </c>
      <c r="C27" s="3177">
        <v>2</v>
      </c>
      <c r="D27" s="3178"/>
      <c r="E27" s="3178">
        <v>0.5</v>
      </c>
      <c r="F27" s="3178">
        <v>0.45</v>
      </c>
      <c r="G27" s="3178">
        <v>0.89</v>
      </c>
      <c r="H27" s="3195"/>
      <c r="I27" s="3179">
        <v>0.45</v>
      </c>
      <c r="J27" s="3180"/>
      <c r="K27" s="3181"/>
      <c r="L27" s="3171">
        <f t="shared" si="28"/>
        <v>5.0000000000000001E-3</v>
      </c>
      <c r="M27" s="3171">
        <f t="shared" si="29"/>
        <v>4.5000000000000005E-3</v>
      </c>
      <c r="N27" s="3171">
        <f t="shared" si="30"/>
        <v>8.8999999999999999E-3</v>
      </c>
      <c r="O27" s="3171"/>
      <c r="P27" s="3171">
        <f t="shared" si="31"/>
        <v>4.5000000000000005E-3</v>
      </c>
      <c r="Q27" s="3180"/>
      <c r="R27" s="3182"/>
      <c r="S27" s="3182">
        <f>ROUND(IF([2]项目基本情况!$B$8="出让",SUMPRODUCT(PRODUCT(1+L27:L$36)),SUMPRODUCT(PRODUCT(1+L27:L$35))),4)</f>
        <v>1.0396000000000001</v>
      </c>
      <c r="T27" s="3182">
        <f>ROUND(IF([2]项目基本情况!$B$8="出让",SUMPRODUCT(PRODUCT(1+M27:M$36)),SUMPRODUCT(PRODUCT(1+M27:M$35))),4)</f>
        <v>1.0269999999999999</v>
      </c>
      <c r="U27" s="3182">
        <f>ROUND(IF([2]项目基本情况!$B$8="出让",SUMPRODUCT(PRODUCT(1+N27:N$36)),SUMPRODUCT(PRODUCT(1+N27:N$35))),4)</f>
        <v>1.0668</v>
      </c>
      <c r="V27" s="3182"/>
      <c r="W27" s="3182">
        <f t="shared" si="32"/>
        <v>1.0269999999999999</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37711.240000000005</v>
      </c>
      <c r="C4" s="854">
        <f>项目基本情况!C18</f>
        <v>18193.39</v>
      </c>
      <c r="D4" s="854">
        <f ca="1">结果表!D118</f>
        <v>11882</v>
      </c>
      <c r="E4" s="854">
        <f ca="1">结果表!E118</f>
        <v>3151</v>
      </c>
      <c r="F4" s="854">
        <f ca="1">结果表!F118</f>
        <v>11646</v>
      </c>
      <c r="G4" s="854">
        <f ca="1">结果表!G118</f>
        <v>3088</v>
      </c>
      <c r="H4" s="854">
        <f ca="1">结果表!H118</f>
        <v>23528</v>
      </c>
      <c r="I4" s="854">
        <f ca="1">结果表!I118</f>
        <v>6239</v>
      </c>
    </row>
    <row r="5" spans="1:9" ht="30" customHeight="1">
      <c r="A5" s="3476" t="s">
        <v>927</v>
      </c>
      <c r="B5" s="3476"/>
      <c r="C5" s="3476"/>
      <c r="D5" s="3476" t="str">
        <f ca="1">结果表!D119</f>
        <v>壹亿壹仟捌佰捌拾贰万元整</v>
      </c>
      <c r="E5" s="3476"/>
      <c r="F5" s="3476" t="str">
        <f ca="1">结果表!F119</f>
        <v>壹亿壹仟陆佰肆拾陆万元整</v>
      </c>
      <c r="G5" s="3476"/>
      <c r="H5" s="3476" t="str">
        <f ca="1">结果表!H119</f>
        <v>贰亿叁仟伍佰贰拾捌万元整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23528</v>
      </c>
      <c r="E8" s="3477"/>
      <c r="F8" s="3477"/>
      <c r="G8" s="3477"/>
      <c r="H8" s="3477"/>
      <c r="I8" s="3477"/>
    </row>
    <row r="9" spans="1:9" ht="15">
      <c r="A9" s="3476" t="s">
        <v>927</v>
      </c>
      <c r="B9" s="3476"/>
      <c r="C9" s="3476"/>
      <c r="D9" s="3476" t="str">
        <f ca="1">结果表!D123</f>
        <v>贰亿叁仟伍佰贰拾捌万元整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2023-07-18T06:14:22Z</dcterms:modified>
</cp:coreProperties>
</file>