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95" yWindow="45" windowWidth="12120" windowHeight="9555" tabRatio="778"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汇总" sheetId="80" r:id="rId18"/>
    <sheet name="结果表办" sheetId="9" r:id="rId19"/>
    <sheet name="成本法" sheetId="68" state="hidden" r:id="rId20"/>
    <sheet name="成本法 (元)" sheetId="69" state="hidden" r:id="rId21"/>
    <sheet name="假设开发法" sheetId="12" state="hidden" r:id="rId22"/>
    <sheet name="比较法-办公" sheetId="34" r:id="rId23"/>
    <sheet name="典型户型修正" sheetId="31" r:id="rId24"/>
    <sheet name="收益法租" sheetId="15" r:id="rId25"/>
    <sheet name="收益法 (元)" sheetId="67" state="hidden" r:id="rId26"/>
    <sheet name="收益法自" sheetId="77" r:id="rId27"/>
    <sheet name="收益法（汇总）" sheetId="70" r:id="rId28"/>
    <sheet name="酒店收入计算" sheetId="66" state="hidden" r:id="rId29"/>
    <sheet name="比较法-住宅" sheetId="21" state="hidden" r:id="rId30"/>
    <sheet name="比较法-商业" sheetId="33" state="hidden" r:id="rId31"/>
    <sheet name="比较法-工业" sheetId="37" state="hidden" r:id="rId32"/>
    <sheet name="结果表车" sheetId="79" r:id="rId33"/>
    <sheet name="比较法-车位" sheetId="35"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收益法车" sheetId="78" r:id="rId42"/>
    <sheet name="地价" sheetId="7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2">'比较法-办公'!$A$4:$J$49</definedName>
    <definedName name="_xlnm.Print_Area" localSheetId="33">'比较法-车位'!$A$4:$J$38</definedName>
    <definedName name="_xlnm.Print_Area" localSheetId="23">典型户型修正!$A$19:$T$43</definedName>
    <definedName name="_xlnm.Print_Area" localSheetId="8">估价师及机构信息!$A$1:$F$29</definedName>
    <definedName name="_xlnm.Print_Area" localSheetId="18">结果表办!$A$1:$I$42</definedName>
    <definedName name="_xlnm.Print_Area" localSheetId="32">结果表车!$A$1:$I$42</definedName>
    <definedName name="_xlnm.Print_Area" localSheetId="17">结果汇总!$A$1:$I$26</definedName>
    <definedName name="_xlnm.Print_Area" localSheetId="25">'收益法 (元)'!$A$1:$AK$69</definedName>
    <definedName name="_xlnm.Print_Area" localSheetId="41">收益法车!$A$1:$F$43</definedName>
    <definedName name="_xlnm.Print_Area" localSheetId="26">收益法自!$A$1:$F$43</definedName>
    <definedName name="_xlnm.Print_Area" localSheetId="24">收益法租!$A$1:$M$43</definedName>
    <definedName name="_xlnm.Print_Area" localSheetId="13">'数据-汇总表'!$A$1:$P$32</definedName>
    <definedName name="八级">区片价!$O$1:$O$40</definedName>
    <definedName name="办公层高" localSheetId="17">'[1]比较法-办公'!$B$119:$M$119</definedName>
    <definedName name="办公层高">'比较法-办公'!$B$119:$M$119</definedName>
    <definedName name="办公朝向" localSheetId="17">'[1]比较法-办公'!$B$91:$M$91</definedName>
    <definedName name="办公朝向">'比较法-办公'!$B$91:$M$91</definedName>
    <definedName name="办公道路级别" localSheetId="17">'[1]比较法-办公'!$B$87:$M$87</definedName>
    <definedName name="办公道路级别">'比较法-办公'!$B$87:$M$87</definedName>
    <definedName name="办公公共部分装修" localSheetId="17">'[1]比较法-办公'!$B$108:$M$108</definedName>
    <definedName name="办公公共部分装修">'比较法-办公'!$B$108:$M$108</definedName>
    <definedName name="办公基础设施水平" localSheetId="17">'[1]比较法-办公'!$B$117:$M$117</definedName>
    <definedName name="办公基础设施水平">'比较法-办公'!$B$117:$M$117</definedName>
    <definedName name="办公集聚程度" localSheetId="17">[1]定义!$M$1:$M$6</definedName>
    <definedName name="办公集聚程度">定义!$M$1:$M$6</definedName>
    <definedName name="办公建筑结构" localSheetId="17">'[1]比较法-办公'!$B$106:$M$106</definedName>
    <definedName name="办公建筑结构">'比较法-办公'!$B$106:$M$106</definedName>
    <definedName name="办公建筑类型" localSheetId="17">'[1]比较法-办公'!$B$101:$M$101</definedName>
    <definedName name="办公建筑类型">'比较法-办公'!$B$101:$M$101</definedName>
    <definedName name="办公交易情况" localSheetId="17">'[1]比较法-办公'!$A$62:$M$62</definedName>
    <definedName name="办公交易情况">'比较法-办公'!$A$62:$M$62</definedName>
    <definedName name="办公楼层" localSheetId="17">'[1]比较法-办公'!$B$89:$M$89</definedName>
    <definedName name="办公楼层">'比较法-办公'!$B$89:$M$89</definedName>
    <definedName name="办公内部装修" localSheetId="17">'[1]比较法-办公'!$B$123:$M$123</definedName>
    <definedName name="办公内部装修">'比较法-办公'!$B$123:$M$123</definedName>
    <definedName name="办公物业管理" localSheetId="17">'[1]比较法-办公'!$B$115:$M$115</definedName>
    <definedName name="办公物业管理">'比较法-办公'!$B$115:$M$115</definedName>
    <definedName name="办公用途" localSheetId="17">'[1]比较法-办公'!$B$64:$M$64</definedName>
    <definedName name="办公用途">'比较法-办公'!$B$64:$M$64</definedName>
    <definedName name="仓储公共部分装修" localSheetId="17">'[1]比较法-仓储'!$B$77:$M$77</definedName>
    <definedName name="仓储公共部分装修">'比较法-仓储'!$B$77:$M$77</definedName>
    <definedName name="仓储交易情况" localSheetId="17">'[1]比较法-仓储'!$A$49:$M$49</definedName>
    <definedName name="仓储交易情况">'比较法-仓储'!$A$49:$M$49</definedName>
    <definedName name="仓储楼层" localSheetId="17">'[1]比较法-仓储'!$B$69:$M$69</definedName>
    <definedName name="仓储楼层">'比较法-仓储'!$B$69:$M$69</definedName>
    <definedName name="仓储物业等级" localSheetId="17">'[1]比较法-仓储'!$B$82:$M$82</definedName>
    <definedName name="仓储物业等级">'比较法-仓储'!$B$82:$M$82</definedName>
    <definedName name="仓储用途" localSheetId="17">'[1]比较法-仓储'!$B$51:$M$51</definedName>
    <definedName name="仓储用途">'比较法-仓储'!$B$51:$M$51</definedName>
    <definedName name="产业集聚程度" localSheetId="17">[1]定义!$N$1:$N$6</definedName>
    <definedName name="产业集聚程度">定义!$N$1:$N$6</definedName>
    <definedName name="车位公共部分装修" localSheetId="17">'[1]比较法-车位'!$B$83:$M$83</definedName>
    <definedName name="车位公共部分装修">'比较法-车位'!$B$83:$M$83</definedName>
    <definedName name="车位交易情况" localSheetId="17">'[1]比较法-车位'!$A$51:$M$51</definedName>
    <definedName name="车位交易情况">'比较法-车位'!$A$51:$M$51</definedName>
    <definedName name="车位类型" localSheetId="17">'[1]比较法-车位'!$B$93:$M$93</definedName>
    <definedName name="车位类型">'比较法-车位'!$B$93:$M$93</definedName>
    <definedName name="车位楼层" localSheetId="17">'[1]比较法-车位'!$B$71:$M$71</definedName>
    <definedName name="车位楼层">'比较法-车位'!$B$71:$M$71</definedName>
    <definedName name="车位配套类型" localSheetId="17">'[1]比较法-车位'!$B$79:$M$79</definedName>
    <definedName name="车位配套类型">'比较法-车位'!$B$79:$M$79</definedName>
    <definedName name="车位物业等级" localSheetId="17">'[1]比较法-车位'!$B$88:$M$88</definedName>
    <definedName name="车位物业等级">'比较法-车位'!$B$88:$M$88</definedName>
    <definedName name="车位用途" localSheetId="17">'[1]比较法-车位'!$B$53:$M$53</definedName>
    <definedName name="车位用途">'比较法-车位'!$B$53:$M$53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区片价!$I$1:$I$20</definedName>
    <definedName name="二级分类" localSheetId="17">[1]修正!$C$17:$C$39</definedName>
    <definedName name="二级分类">修正!$C$17:$C$39</definedName>
    <definedName name="法定最高年限" localSheetId="17">[1]定义!$G$1:$G$4</definedName>
    <definedName name="法定最高年限">定义!$G$1:$G$4</definedName>
    <definedName name="工业公共部分装修" localSheetId="17">'[1]比较法-工业'!$B$95:$M$95</definedName>
    <definedName name="工业公共部分装修">'比较法-工业'!$B$95:$M$95</definedName>
    <definedName name="工业基础设施水平" localSheetId="17">'[1]比较法-工业'!$B$102:$M$102</definedName>
    <definedName name="工业基础设施水平">'比较法-工业'!$B$102:$M$102</definedName>
    <definedName name="工业建筑结构" localSheetId="17">'[1]比较法-工业'!$B$93:$M$93</definedName>
    <definedName name="工业建筑结构">'比较法-工业'!$B$93:$M$93</definedName>
    <definedName name="工业建筑类型" localSheetId="17">'[1]比较法-工业'!$B$88:$M$88</definedName>
    <definedName name="工业建筑类型">'比较法-工业'!$B$88:$M$88</definedName>
    <definedName name="工业交易情况" localSheetId="17">'[1]比较法-工业'!$A$55:$M$55</definedName>
    <definedName name="工业交易情况">'比较法-工业'!$A$55:$M$55</definedName>
    <definedName name="工业内部装修" localSheetId="17">'[1]比较法-工业'!$B$104:$M$104</definedName>
    <definedName name="工业内部装修">'比较法-工业'!$B$104:$M$104</definedName>
    <definedName name="工业物业管理" localSheetId="17">'[1]比较法-工业'!$B$100:$M$100</definedName>
    <definedName name="工业物业管理">'比较法-工业'!$B$100:$M$100</definedName>
    <definedName name="工业用途" localSheetId="17">'[1]比较法-工业'!$B$57:$M$57</definedName>
    <definedName name="工业用途">'比较法-工业'!$B$57:$M$57</definedName>
    <definedName name="公共配套设施" localSheetId="17">[1]定义!$Q$1:$Q$6</definedName>
    <definedName name="公共配套设施">定义!$Q$1:$Q$6</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基准地价修正!$Q$19:$AD$19</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区片价!$P$1:$P$46</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区片价!$M$1:$M$49</definedName>
    <definedName name="内部装修维护情况" localSheetId="17">[1]定义!$U$1:$U$6</definedName>
    <definedName name="内部装修维护情况">定义!$U$1:$U$6</definedName>
    <definedName name="判定" localSheetId="17">[1]定义!$D$1:$D$4</definedName>
    <definedName name="判定">定义!$D$1:$D$4</definedName>
    <definedName name="七级">区片价!$N$1:$N$49</definedName>
    <definedName name="七通一平" localSheetId="17">[1]修正!$A$6:$A$14</definedName>
    <definedName name="七通一平">修正!$A$6:$A$14</definedName>
    <definedName name="区域土地利用方向" localSheetId="17">[1]定义!$P$1:$P$6</definedName>
    <definedName name="区域土地利用方向">定义!$P$1:$P$6</definedName>
    <definedName name="三级">区片价!$J$1:$J$21</definedName>
    <definedName name="商业层高" localSheetId="17">'[1]比较法-商业'!$B$116:$M$116</definedName>
    <definedName name="商业层高">'比较法-商业'!$B$116:$M$116</definedName>
    <definedName name="商业成新度">'比较法-商业'!$B$109:$M$109</definedName>
    <definedName name="商业繁华度" localSheetId="17">[1]定义!$L$1:$L$6</definedName>
    <definedName name="商业繁华度">定义!$L$1:$L$6</definedName>
    <definedName name="商业公共部分装修" localSheetId="17">'[1]比较法-商业'!$B$107:$M$107</definedName>
    <definedName name="商业公共部分装修">'比较法-商业'!$B$107:$M$107</definedName>
    <definedName name="商业基础设施水平" localSheetId="17">'[1]比较法-商业'!$B$112:$M$112</definedName>
    <definedName name="商业基础设施水平">'比较法-商业'!$B$112:$M$112</definedName>
    <definedName name="商业建筑结构" localSheetId="17">'[1]比较法-商业'!$B$105:$M$105</definedName>
    <definedName name="商业建筑结构">'比较法-商业'!$B$105:$M$105</definedName>
    <definedName name="商业交易情况" localSheetId="17">'[1]比较法-商业'!$A$61:$M$61</definedName>
    <definedName name="商业交易情况">'比较法-商业'!$A$61:$M$61</definedName>
    <definedName name="商业街名称" localSheetId="17">[1]修正!$C$59:$C$119</definedName>
    <definedName name="商业街名称">修正!$C$59:$C$119</definedName>
    <definedName name="商业进深比" localSheetId="17">'[1]比较法-商业'!$B$120:$M$120</definedName>
    <definedName name="商业进深比">'比较法-商业'!$B$120:$M$120</definedName>
    <definedName name="商业类型" localSheetId="17">'[1]比较法-商业'!$B$100:$M$100</definedName>
    <definedName name="商业类型">'比较法-商业'!$B$100:$M$100</definedName>
    <definedName name="商业临街状况" localSheetId="17">'[1]比较法-商业'!$B$86:$M$86</definedName>
    <definedName name="商业临街状况">'比较法-商业'!$B$86:$M$86</definedName>
    <definedName name="商业楼层" localSheetId="17">'[1]比较法-商业'!$B$92:$M$92</definedName>
    <definedName name="商业楼层">'比较法-商业'!$B$92:$M$92</definedName>
    <definedName name="商业内部装修" localSheetId="17">'[1]比较法-商业'!$B$122:$M$122</definedName>
    <definedName name="商业内部装修">'比较法-商业'!$B$122:$M$122</definedName>
    <definedName name="商业人流量" localSheetId="17">'[1]比较法-商业'!$B$90:$M$90</definedName>
    <definedName name="商业人流量">'比较法-商业'!$B$90:$M$90</definedName>
    <definedName name="商业业态" localSheetId="17">'[1]比较法-商业'!$B$114:$M$114</definedName>
    <definedName name="商业业态">'比较法-商业'!$B$114:$M$114</definedName>
    <definedName name="商业用途" localSheetId="1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7">'[1]比较法-仓储'!$B$89:$M$89</definedName>
    <definedName name="是否封闭">'比较法-仓储'!$B$89:$M$89</definedName>
    <definedName name="是否直接入户" localSheetId="17">'[1]比较法-车位'!$B$95:$M$95</definedName>
    <definedName name="是否直接入户">'比较法-车位'!$B$95:$M$95</definedName>
    <definedName name="四级">区片价!$K$1:$K$28</definedName>
    <definedName name="套工道路等级" localSheetId="17">'[1]土地比较法-工业'!$B$97:$M$97</definedName>
    <definedName name="套工道路等级">'土地比较法-工业'!$B$97:$M$97</definedName>
    <definedName name="套工地质条件" localSheetId="17">'[1]土地比较法-工业'!$B$114:$M$114</definedName>
    <definedName name="套工地质条件">'土地比较法-工业'!$B$114:$M$114</definedName>
    <definedName name="套工交易情况" localSheetId="17">'[1]土地比较法-住宅、综合'!$A$73:$M$73</definedName>
    <definedName name="套工交易情况">'土地比较法-住宅、综合'!$A$73:$M$73</definedName>
    <definedName name="套工土地级别" localSheetId="17">'[1]土地比较法-工业'!$B$99:$M$99</definedName>
    <definedName name="套工土地级别">'土地比较法-工业'!$B$99:$M$99</definedName>
    <definedName name="套工用途" localSheetId="17">'[1]土地比较法-工业'!$B$70:$M$70</definedName>
    <definedName name="套工用途">'土地比较法-工业'!$B$70:$M$70</definedName>
    <definedName name="套工宗地开发程度" localSheetId="17">'[1]土地比较法-工业'!$B$112:$M$112</definedName>
    <definedName name="套工宗地开发程度">'土地比较法-工业'!$B$112:$M$112</definedName>
    <definedName name="套工宗地形状" localSheetId="17">'[1]土地比较法-工业'!$B$110:$M$110</definedName>
    <definedName name="套工宗地形状">'土地比较法-工业'!$B$110:$M$110</definedName>
    <definedName name="套综道路等级" localSheetId="17">'[1]土地比较法-住宅、综合'!$B$106:$M$106</definedName>
    <definedName name="套综道路等级">'土地比较法-住宅、综合'!$B$106:$M$106</definedName>
    <definedName name="套综工程地质条件" localSheetId="17">'[1]土地比较法-住宅、综合'!$B$125:$M$125</definedName>
    <definedName name="套综工程地质条件">'土地比较法-住宅、综合'!$B$125:$M$125</definedName>
    <definedName name="套综交易情况" localSheetId="17">'[1]土地比较法-住宅、综合'!$A$73:$M$73</definedName>
    <definedName name="套综交易情况">'土地比较法-住宅、综合'!$A$73:$M$73</definedName>
    <definedName name="套综临街宽度及深度" localSheetId="17">'[1]土地比较法-住宅、综合'!$B$121:$M$121</definedName>
    <definedName name="套综临街宽度及深度">'土地比较法-住宅、综合'!$B$121:$M$121</definedName>
    <definedName name="套综土地级别" localSheetId="17">'[1]土地比较法-住宅、综合'!$B$108:$M$108</definedName>
    <definedName name="套综土地级别">'土地比较法-住宅、综合'!$B$108:$M$108</definedName>
    <definedName name="套综用途" localSheetId="17">'[1]土地比较法-住宅、综合'!$B$75:$M$75</definedName>
    <definedName name="套综用途">'土地比较法-住宅、综合'!$B$75:$M$75</definedName>
    <definedName name="套综宗地内开发程度" localSheetId="17">'[1]土地比较法-住宅、综合'!$B$123:$M$123</definedName>
    <definedName name="套综宗地内开发程度">'土地比较法-住宅、综合'!$B$123:$M$123</definedName>
    <definedName name="套综宗地形状" localSheetId="17">'[1]土地比较法-住宅、综合'!$B$119:$M$119</definedName>
    <definedName name="套综宗地形状">'土地比较法-住宅、综合'!$B$119:$M$119</definedName>
    <definedName name="土地估价师">估价师及机构信息!$D$3:$D$24</definedName>
    <definedName name="土地级别" localSheetId="17">[1]定义!$C$1:$C$14</definedName>
    <definedName name="土地级别">定义!$C$1:$C$14</definedName>
    <definedName name="土地利用方向">定义!$P$1:$P$6</definedName>
    <definedName name="土地年限区间" localSheetId="17">[1]定义!$I$1:$I$8</definedName>
    <definedName name="土地年限区间">定义!$I$1:$I$8</definedName>
    <definedName name="位置" localSheetId="17">[1]定义!$E$2:$E$4</definedName>
    <definedName name="位置">定义!$E$2:$E$4</definedName>
    <definedName name="五等判定" localSheetId="17">[1]定义!$W$1:$W$6</definedName>
    <definedName name="五等判定">定义!$W$1:$W$6</definedName>
    <definedName name="五级">区片价!$L$1:$L$35</definedName>
    <definedName name="项目类型" localSheetId="17">'[1]数据-汇总表'!$C$17:$C$26</definedName>
    <definedName name="项目类型">'数据-汇总表'!$C$17:$C$26</definedName>
    <definedName name="写字楼等级" localSheetId="17">'[1]比较法-办公'!$B$113:$M$113</definedName>
    <definedName name="写字楼等级">'比较法-办公'!$B$113:$M$113</definedName>
    <definedName name="一级">区片价!$H$1:$H$6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明细" localSheetId="17">[1]定义!$A$1:$A$50</definedName>
    <definedName name="用途明细">定义!$A$1:$A$50</definedName>
    <definedName name="有无电梯" localSheetId="17">'[1]比较法-仓储'!$B$84:$M$84</definedName>
    <definedName name="有无电梯">'比较法-仓储'!$B$84:$M$84</definedName>
    <definedName name="主用途" localSheetId="17">[1]定义!$F$1:$F$10</definedName>
    <definedName name="主用途">定义!$F$1:$F$10</definedName>
    <definedName name="住宅朝向" localSheetId="17">'[1]比较法-住宅'!$B$88:$M$88</definedName>
    <definedName name="住宅朝向">'比较法-住宅'!$B$88:$M$88</definedName>
    <definedName name="住宅房型" localSheetId="17">'[1]比较法-住宅'!$B$118:$M$118</definedName>
    <definedName name="住宅房型">'比较法-住宅'!$B$118:$M$118</definedName>
    <definedName name="住宅公共部分装修" localSheetId="17">'[1]比较法-住宅'!$B$109:$M$109</definedName>
    <definedName name="住宅公共部分装修">'比较法-住宅'!$B$109:$M$109</definedName>
    <definedName name="住宅基础设施水平" localSheetId="17">'[1]比较法-住宅'!$B$116:$M$116</definedName>
    <definedName name="住宅基础设施水平">'比较法-住宅'!$B$116:$M$116</definedName>
    <definedName name="住宅建筑结构" localSheetId="17">'[1]比较法-住宅'!$B$105:$M$105</definedName>
    <definedName name="住宅建筑结构">'比较法-住宅'!$B$105:$M$105</definedName>
    <definedName name="住宅建筑类型" localSheetId="17">'[1]比较法-住宅'!$B$100:$M$100</definedName>
    <definedName name="住宅建筑类型">'比较法-住宅'!$B$100:$M$100</definedName>
    <definedName name="住宅建筑品质" localSheetId="17">'[1]比较法-住宅'!$B$107:$M$107</definedName>
    <definedName name="住宅建筑品质">'比较法-住宅'!$B$107:$M$107</definedName>
    <definedName name="住宅交易情况" localSheetId="17">'[1]比较法-住宅'!$A$61:$M$61</definedName>
    <definedName name="住宅交易情况">'比较法-住宅'!$A$61:$M$61</definedName>
    <definedName name="住宅楼层" localSheetId="17">'[1]比较法-住宅'!$B$86:$M$86</definedName>
    <definedName name="住宅楼层">'比较法-住宅'!$B$86:$M$86</definedName>
    <definedName name="住宅内部装修" localSheetId="17">'[1]比较法-住宅'!$B$122:$M$122</definedName>
    <definedName name="住宅内部装修">'比较法-住宅'!$B$122:$M$122</definedName>
    <definedName name="住宅物业管理" localSheetId="17">'[1]比较法-住宅'!$B$114:$M$114</definedName>
    <definedName name="住宅物业管理">'比较法-住宅'!$B$114:$M$114</definedName>
    <definedName name="住宅用途" localSheetId="17">'[1]比较法-住宅'!$B$63:$M$63</definedName>
    <definedName name="住宅用途">'比较法-住宅'!$B$63:$M$63</definedName>
    <definedName name="住宅主力户型面积">'比较法-住宅'!$B$120:$M$120</definedName>
    <definedName name="注册房地产估价师" localSheetId="1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40" i="31" l="1"/>
  <c r="K29" i="35" l="1"/>
  <c r="C37" i="34"/>
  <c r="K10" i="35"/>
  <c r="C29" i="35"/>
  <c r="Q8" i="1" l="1"/>
  <c r="N11" i="1"/>
  <c r="I48" i="34" l="1"/>
  <c r="G48" i="34"/>
  <c r="E48" i="34"/>
  <c r="K20" i="35"/>
  <c r="K18" i="35"/>
  <c r="K16" i="35"/>
  <c r="G29" i="35" l="1"/>
  <c r="D10" i="80" l="1"/>
  <c r="D11" i="80" s="1"/>
  <c r="A10" i="80"/>
  <c r="D8" i="80"/>
  <c r="D9" i="80" s="1"/>
  <c r="A8" i="80"/>
  <c r="D6" i="80"/>
  <c r="D7" i="80" s="1"/>
  <c r="A6" i="80"/>
  <c r="A120" i="79"/>
  <c r="A118"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C25" i="79"/>
  <c r="C24" i="79"/>
  <c r="D17" i="79"/>
  <c r="C17" i="79"/>
  <c r="C18" i="79" s="1"/>
  <c r="D18" i="79" s="1"/>
  <c r="L4" i="79"/>
  <c r="K4" i="79"/>
  <c r="A2" i="79"/>
  <c r="H1" i="79"/>
  <c r="T5" i="31"/>
  <c r="E5" i="31"/>
  <c r="D5" i="31"/>
  <c r="C5" i="31"/>
  <c r="B24" i="31"/>
  <c r="I29" i="35"/>
  <c r="E29" i="35"/>
  <c r="C34" i="34"/>
  <c r="I37" i="34"/>
  <c r="G37" i="34"/>
  <c r="N14" i="1"/>
  <c r="N6" i="1"/>
  <c r="K120" i="79" l="1"/>
  <c r="D121" i="79"/>
  <c r="C74" i="79"/>
  <c r="C92" i="79"/>
  <c r="C94" i="79"/>
  <c r="H109" i="79"/>
  <c r="H112" i="79"/>
  <c r="D124" i="79" l="1"/>
  <c r="D125" i="79" s="1"/>
  <c r="H110" i="79"/>
  <c r="Q72" i="78" l="1"/>
  <c r="Q59" i="78"/>
  <c r="K59" i="78"/>
  <c r="P74" i="78" s="1"/>
  <c r="F59" i="78"/>
  <c r="Q58" i="78"/>
  <c r="Q51" i="78"/>
  <c r="J50" i="78"/>
  <c r="J51" i="78" s="1"/>
  <c r="M47" i="78"/>
  <c r="D46" i="78"/>
  <c r="F34" i="78"/>
  <c r="F33" i="78"/>
  <c r="F61" i="78" s="1"/>
  <c r="F31" i="78"/>
  <c r="F23" i="78"/>
  <c r="D24" i="78" s="1"/>
  <c r="D23" i="78"/>
  <c r="D22" i="78"/>
  <c r="F21" i="78"/>
  <c r="M20" i="78"/>
  <c r="F20" i="78"/>
  <c r="M19" i="78"/>
  <c r="F18" i="78"/>
  <c r="M17" i="78"/>
  <c r="F17" i="78"/>
  <c r="F15" i="78"/>
  <c r="G1" i="78"/>
  <c r="Q72" i="77"/>
  <c r="Q59" i="77"/>
  <c r="K59" i="77"/>
  <c r="P74" i="77" s="1"/>
  <c r="F59" i="77"/>
  <c r="Q58" i="77"/>
  <c r="Q51" i="77"/>
  <c r="J50" i="77"/>
  <c r="M47" i="77"/>
  <c r="D46" i="77"/>
  <c r="F34" i="77"/>
  <c r="F62" i="77" s="1"/>
  <c r="F33" i="77"/>
  <c r="F61" i="77" s="1"/>
  <c r="F31" i="77"/>
  <c r="F23" i="77"/>
  <c r="D23" i="77" s="1"/>
  <c r="F21" i="77"/>
  <c r="M20" i="77"/>
  <c r="F20" i="77"/>
  <c r="M19" i="77"/>
  <c r="F18" i="77"/>
  <c r="M17" i="77"/>
  <c r="F17" i="77"/>
  <c r="F15" i="77"/>
  <c r="G1" i="77"/>
  <c r="C76" i="78"/>
  <c r="M22" i="78"/>
  <c r="M24" i="78"/>
  <c r="M28" i="78"/>
  <c r="L47" i="78"/>
  <c r="F42" i="78"/>
  <c r="F8" i="78"/>
  <c r="F40" i="78"/>
  <c r="F9" i="78"/>
  <c r="Q71" i="78" l="1"/>
  <c r="F51" i="78"/>
  <c r="F68" i="78"/>
  <c r="N59" i="78"/>
  <c r="L59" i="78"/>
  <c r="M59" i="78"/>
  <c r="F62" i="78"/>
  <c r="P61" i="78"/>
  <c r="D24" i="77"/>
  <c r="P61" i="77"/>
  <c r="D22" i="77"/>
  <c r="J51" i="77"/>
  <c r="AM8" i="1"/>
  <c r="AL8" i="1"/>
  <c r="AD8" i="1"/>
  <c r="AB8" i="1"/>
  <c r="AA8" i="1"/>
  <c r="Y6" i="1"/>
  <c r="Y8" i="1" s="1"/>
  <c r="N7" i="1"/>
  <c r="Y7" i="1" s="1"/>
  <c r="N8" i="1"/>
  <c r="L8" i="1"/>
  <c r="F37" i="78"/>
  <c r="M22" i="77"/>
  <c r="F13" i="77"/>
  <c r="F16" i="77"/>
  <c r="M23" i="77"/>
  <c r="F36" i="77"/>
  <c r="M8" i="77"/>
  <c r="F6" i="77"/>
  <c r="C76" i="77"/>
  <c r="M26" i="77"/>
  <c r="F6" i="78"/>
  <c r="F8" i="77"/>
  <c r="M9" i="77"/>
  <c r="F38" i="77"/>
  <c r="F26" i="78"/>
  <c r="F37" i="77"/>
  <c r="M26" i="78"/>
  <c r="F36" i="78"/>
  <c r="F16" i="78"/>
  <c r="M6" i="78"/>
  <c r="M27" i="77"/>
  <c r="M9" i="78"/>
  <c r="F26" i="77"/>
  <c r="J15" i="78"/>
  <c r="M27" i="78"/>
  <c r="F13" i="78"/>
  <c r="J15" i="77"/>
  <c r="F38" i="78"/>
  <c r="M6" i="77"/>
  <c r="M8" i="78"/>
  <c r="F42" i="77"/>
  <c r="L47" i="77"/>
  <c r="M24" i="77"/>
  <c r="F40" i="77"/>
  <c r="M23" i="78"/>
  <c r="M28" i="77"/>
  <c r="F9" i="77"/>
  <c r="F65" i="78" l="1"/>
  <c r="C27" i="78"/>
  <c r="F66" i="78"/>
  <c r="F64" i="78"/>
  <c r="Q61" i="78"/>
  <c r="Q74" i="78"/>
  <c r="C27" i="77"/>
  <c r="F65" i="77"/>
  <c r="F51" i="77"/>
  <c r="F68" i="77"/>
  <c r="F64" i="77"/>
  <c r="F66" i="77"/>
  <c r="N59" i="77"/>
  <c r="L59" i="77"/>
  <c r="M59" i="77"/>
  <c r="Q71" i="77"/>
  <c r="B7" i="4"/>
  <c r="D3" i="4"/>
  <c r="Q61" i="77" l="1"/>
  <c r="Q74" i="77"/>
  <c r="L3" i="7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2" i="76"/>
  <c r="B9" i="76"/>
  <c r="E10" i="76"/>
  <c r="E9" i="76"/>
  <c r="B11" i="76"/>
  <c r="B7" i="76"/>
  <c r="E8" i="76"/>
  <c r="B13" i="76"/>
  <c r="E7" i="76"/>
  <c r="E11" i="76"/>
  <c r="E12" i="76"/>
  <c r="B10" i="76"/>
  <c r="E13" i="76"/>
  <c r="B8"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3" i="73"/>
  <c r="F6" i="73"/>
  <c r="D5" i="73"/>
  <c r="F3" i="73"/>
  <c r="F5" i="73"/>
  <c r="D6" i="73"/>
  <c r="F4" i="73"/>
  <c r="I1" i="73" l="1"/>
  <c r="B39" i="1" s="1"/>
  <c r="D7" i="73"/>
  <c r="D4" i="73"/>
  <c r="M11" i="78" l="1"/>
  <c r="F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1"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L22" i="3" s="1"/>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S448" i="31" s="1"/>
  <c r="R449" i="31"/>
  <c r="S449" i="31" s="1"/>
  <c r="R450" i="31"/>
  <c r="R451" i="31"/>
  <c r="R452" i="31"/>
  <c r="S452" i="31" s="1"/>
  <c r="R453" i="31"/>
  <c r="S453" i="31" s="1"/>
  <c r="R454" i="31"/>
  <c r="R455" i="31"/>
  <c r="R456" i="31"/>
  <c r="S456" i="31" s="1"/>
  <c r="R457" i="31"/>
  <c r="S457" i="31" s="1"/>
  <c r="R458" i="31"/>
  <c r="R459" i="31"/>
  <c r="R460" i="31"/>
  <c r="S460" i="31" s="1"/>
  <c r="R461" i="31"/>
  <c r="S461" i="31" s="1"/>
  <c r="R462" i="31"/>
  <c r="R463" i="31"/>
  <c r="R464" i="31"/>
  <c r="S464" i="31" s="1"/>
  <c r="R465" i="31"/>
  <c r="R466" i="3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R499" i="3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3" i="1"/>
  <c r="G11" i="1"/>
  <c r="I15" i="4"/>
  <c r="AF8" i="1" s="1"/>
  <c r="Z8" i="1"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98" i="31"/>
  <c r="S266" i="31"/>
  <c r="S219" i="31"/>
  <c r="S211" i="31"/>
  <c r="S203" i="31"/>
  <c r="S195" i="31"/>
  <c r="S187" i="31"/>
  <c r="S179" i="31"/>
  <c r="S171" i="31"/>
  <c r="S163" i="31"/>
  <c r="S155" i="31"/>
  <c r="S147" i="31"/>
  <c r="S139" i="31"/>
  <c r="S131" i="31"/>
  <c r="S123" i="31"/>
  <c r="S491" i="31"/>
  <c r="S483" i="31"/>
  <c r="S475" i="31"/>
  <c r="S440" i="31"/>
  <c r="S119" i="31"/>
  <c r="S498" i="31"/>
  <c r="S467" i="31"/>
  <c r="S466" i="31"/>
  <c r="S465" i="31"/>
  <c r="S463" i="31"/>
  <c r="S462" i="31"/>
  <c r="S459" i="31"/>
  <c r="S458" i="31"/>
  <c r="S455" i="31"/>
  <c r="S454" i="31"/>
  <c r="S451" i="31"/>
  <c r="S450" i="31"/>
  <c r="S75" i="31"/>
  <c r="S71" i="31"/>
  <c r="S67" i="31"/>
  <c r="S63" i="31"/>
  <c r="S59" i="31"/>
  <c r="S55" i="31"/>
  <c r="S96" i="31"/>
  <c r="S92" i="31"/>
  <c r="S88" i="31"/>
  <c r="S84" i="31"/>
  <c r="S8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9"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3"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9" i="1"/>
  <c r="L48" i="78"/>
  <c r="F7" i="78"/>
  <c r="L48" i="77"/>
  <c r="U34" i="34" l="1"/>
  <c r="AA38" i="34"/>
  <c r="AB46" i="34"/>
  <c r="AZ21" i="3"/>
  <c r="BL21" i="3"/>
  <c r="AZ22" i="3"/>
  <c r="F29" i="35"/>
  <c r="J29" i="35"/>
  <c r="M18" i="79"/>
  <c r="B118" i="79" s="1"/>
  <c r="U35" i="35"/>
  <c r="U33" i="35"/>
  <c r="U8" i="35"/>
  <c r="AC28" i="34"/>
  <c r="S28" i="34"/>
  <c r="S44" i="34"/>
  <c r="AA41" i="34"/>
  <c r="J53" i="78"/>
  <c r="J53" i="77"/>
  <c r="J57" i="78"/>
  <c r="J55" i="78" s="1"/>
  <c r="J58" i="78" s="1"/>
  <c r="Q50" i="78" s="1"/>
  <c r="L58" i="78"/>
  <c r="I54" i="78"/>
  <c r="L56" i="78"/>
  <c r="L58" i="77"/>
  <c r="J57" i="77"/>
  <c r="J55" i="77" s="1"/>
  <c r="J58" i="77" s="1"/>
  <c r="Q50" i="77" s="1"/>
  <c r="L56" i="77"/>
  <c r="I54" i="77"/>
  <c r="M7" i="78"/>
  <c r="F50" i="78"/>
  <c r="C49" i="78" s="1"/>
  <c r="C48" i="78" s="1"/>
  <c r="C6" i="78"/>
  <c r="C5" i="78" s="1"/>
  <c r="M8" i="1"/>
  <c r="O8" i="1" s="1"/>
  <c r="P8" i="1" s="1"/>
  <c r="AH8" i="1"/>
  <c r="M9" i="1"/>
  <c r="C25" i="39"/>
  <c r="BL18" i="3"/>
  <c r="G19" i="3"/>
  <c r="BA19" i="3"/>
  <c r="BA24" i="3"/>
  <c r="AZ24" i="3" s="1"/>
  <c r="BA25" i="3"/>
  <c r="AZ25" i="3" s="1"/>
  <c r="BA30" i="3"/>
  <c r="AZ30" i="3" s="1"/>
  <c r="BA34" i="3"/>
  <c r="AZ34" i="3" s="1"/>
  <c r="BA18" i="3"/>
  <c r="BL20" i="3"/>
  <c r="AZ20" i="3" s="1"/>
  <c r="BL23" i="3"/>
  <c r="BL26" i="3"/>
  <c r="BA27" i="3"/>
  <c r="AZ27" i="3" s="1"/>
  <c r="BA28" i="3"/>
  <c r="AZ28" i="3" s="1"/>
  <c r="BA29" i="3"/>
  <c r="AZ29" i="3" s="1"/>
  <c r="BL31" i="3"/>
  <c r="AZ31" i="3" s="1"/>
  <c r="BL33" i="3"/>
  <c r="AZ33" i="3" s="1"/>
  <c r="BL35" i="3"/>
  <c r="BL38" i="3"/>
  <c r="AZ38" i="3" s="1"/>
  <c r="BL15" i="3"/>
  <c r="AZ15" i="3" s="1"/>
  <c r="AZ23" i="3"/>
  <c r="B61" i="72"/>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J107" i="43"/>
  <c r="F102" i="43"/>
  <c r="C107" i="43"/>
  <c r="C103" i="43"/>
  <c r="G107"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K105" i="43"/>
  <c r="F103" i="43"/>
  <c r="J106" i="43"/>
  <c r="E56" i="40"/>
  <c r="T12" i="1"/>
  <c r="T10" i="1"/>
  <c r="E19" i="69"/>
  <c r="E19" i="68"/>
  <c r="E19" i="11"/>
  <c r="E1" i="73"/>
  <c r="K1" i="73" s="1"/>
  <c r="G41" i="69"/>
  <c r="G22" i="69"/>
  <c r="G41" i="68"/>
  <c r="G22" i="68"/>
  <c r="G27" i="12"/>
  <c r="G26" i="12"/>
  <c r="G41" i="11"/>
  <c r="G22" i="11"/>
  <c r="G25" i="12"/>
  <c r="C109" i="43"/>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7" i="67"/>
  <c r="F42" i="67"/>
  <c r="F16" i="15"/>
  <c r="G1" i="73"/>
  <c r="M28" i="15"/>
  <c r="M8" i="67"/>
  <c r="M23" i="67"/>
  <c r="M24" i="15"/>
  <c r="F37" i="15"/>
  <c r="F36" i="15"/>
  <c r="F8" i="15"/>
  <c r="F16" i="67"/>
  <c r="F40" i="67"/>
  <c r="M29" i="77"/>
  <c r="F9" i="67"/>
  <c r="F43" i="67"/>
  <c r="F13" i="67"/>
  <c r="J15" i="15"/>
  <c r="F37" i="67"/>
  <c r="F36" i="67"/>
  <c r="F43" i="15"/>
  <c r="M24" i="67"/>
  <c r="L47" i="15"/>
  <c r="F9" i="15"/>
  <c r="F40" i="15"/>
  <c r="M28" i="67"/>
  <c r="M23" i="15"/>
  <c r="M9" i="15"/>
  <c r="F6" i="67"/>
  <c r="F38" i="67"/>
  <c r="M29" i="15"/>
  <c r="M6" i="67"/>
  <c r="J15" i="67"/>
  <c r="F38" i="15"/>
  <c r="F42" i="15"/>
  <c r="L48" i="15"/>
  <c r="F26" i="15"/>
  <c r="M9" i="67"/>
  <c r="M29" i="78"/>
  <c r="F6" i="15"/>
  <c r="M26" i="67"/>
  <c r="C76" i="15"/>
  <c r="F8" i="67"/>
  <c r="F43" i="77"/>
  <c r="M6" i="15"/>
  <c r="F7" i="15"/>
  <c r="M26" i="15"/>
  <c r="M22" i="15"/>
  <c r="M8" i="15"/>
  <c r="M22" i="67"/>
  <c r="C76" i="67"/>
  <c r="L48" i="67"/>
  <c r="F13" i="15"/>
  <c r="M29" i="67"/>
  <c r="F43" i="78"/>
  <c r="F26" i="67"/>
  <c r="L47" i="67"/>
  <c r="AR12" i="1" l="1"/>
  <c r="N107" i="43"/>
  <c r="G106" i="43"/>
  <c r="G104" i="43"/>
  <c r="K102" i="43"/>
  <c r="J102" i="43"/>
  <c r="N105" i="43"/>
  <c r="F70" i="15"/>
  <c r="AC29" i="35"/>
  <c r="W29" i="35"/>
  <c r="S29" i="35"/>
  <c r="AA29" i="35"/>
  <c r="F71" i="77"/>
  <c r="F71" i="78"/>
  <c r="AH6" i="1"/>
  <c r="Q52" i="78"/>
  <c r="F1" i="78"/>
  <c r="F53" i="9"/>
  <c r="F32" i="78"/>
  <c r="F60" i="78" s="1"/>
  <c r="F28" i="78"/>
  <c r="C28" i="78" s="1"/>
  <c r="F32" i="77"/>
  <c r="F60" i="77" s="1"/>
  <c r="F28" i="77"/>
  <c r="C28" i="77" s="1"/>
  <c r="M18" i="77"/>
  <c r="M18" i="78"/>
  <c r="F1" i="77"/>
  <c r="Q52" i="77"/>
  <c r="Q60" i="78"/>
  <c r="Q73" i="78"/>
  <c r="Q60" i="77"/>
  <c r="Q73" i="77"/>
  <c r="AR9" i="1"/>
  <c r="C32" i="78"/>
  <c r="C38" i="78"/>
  <c r="J6" i="78"/>
  <c r="J10" i="78"/>
  <c r="O9" i="1"/>
  <c r="P9" i="1" s="1"/>
  <c r="C66" i="78"/>
  <c r="C60" i="78"/>
  <c r="F109" i="43"/>
  <c r="AR10" i="1"/>
  <c r="F105" i="43"/>
  <c r="C102" i="43"/>
  <c r="S2" i="43" s="1"/>
  <c r="I116" i="43"/>
  <c r="J116" i="43" s="1"/>
  <c r="K116" i="43" s="1"/>
  <c r="L116" i="43" s="1"/>
  <c r="M116" i="43" s="1"/>
  <c r="B118" i="43"/>
  <c r="C118" i="43" s="1"/>
  <c r="G118" i="43"/>
  <c r="H118" i="43" s="1"/>
  <c r="D116" i="43"/>
  <c r="E116" i="43" s="1"/>
  <c r="F116" i="43" s="1"/>
  <c r="G116" i="43" s="1"/>
  <c r="H116" i="43" s="1"/>
  <c r="C105" i="43"/>
  <c r="F106" i="43"/>
  <c r="F107" i="43"/>
  <c r="AZ18" i="3"/>
  <c r="N109" i="43"/>
  <c r="K109" i="43"/>
  <c r="J109" i="43"/>
  <c r="N104" i="43"/>
  <c r="K106" i="43"/>
  <c r="G103" i="43"/>
  <c r="K104" i="43"/>
  <c r="K107" i="43"/>
  <c r="J103" i="43"/>
  <c r="N106" i="43"/>
  <c r="N103" i="43"/>
  <c r="D22" i="43"/>
  <c r="E4" i="4"/>
  <c r="K4" i="4" s="1"/>
  <c r="B46" i="48" s="1"/>
  <c r="B4" i="72" s="1"/>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S26" i="6"/>
  <c r="M20" i="6"/>
  <c r="I20" i="6" s="1"/>
  <c r="L18" i="79"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59" i="67"/>
  <c r="F59" i="15"/>
  <c r="F31" i="15"/>
  <c r="F31" i="67"/>
  <c r="C16" i="77"/>
  <c r="F7" i="77"/>
  <c r="C17" i="77"/>
  <c r="C17" i="78"/>
  <c r="C16" i="78"/>
  <c r="C16" i="15"/>
  <c r="C16" i="67"/>
  <c r="C10" i="77" l="1"/>
  <c r="M7" i="77"/>
  <c r="C6" i="77"/>
  <c r="F50" i="77"/>
  <c r="C49" i="77" s="1"/>
  <c r="C48" i="77" s="1"/>
  <c r="O7" i="1"/>
  <c r="AQ6" i="1"/>
  <c r="O6" i="1"/>
  <c r="P6" i="1" s="1"/>
  <c r="J5" i="78"/>
  <c r="J24" i="78" s="1"/>
  <c r="F24" i="77"/>
  <c r="C24" i="77" s="1"/>
  <c r="F24" i="78"/>
  <c r="C30" i="69"/>
  <c r="C48" i="68"/>
  <c r="K16" i="1"/>
  <c r="E3" i="6"/>
  <c r="D113" i="43"/>
  <c r="J22" i="43" s="1"/>
  <c r="AQ7" i="1"/>
  <c r="M21" i="6"/>
  <c r="I21" i="6" s="1"/>
  <c r="S21" i="6" s="1"/>
  <c r="S8" i="1"/>
  <c r="E8" i="70" s="1"/>
  <c r="M19" i="6"/>
  <c r="I19" i="6" s="1"/>
  <c r="AR6" i="1"/>
  <c r="B5" i="62"/>
  <c r="B73"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C49" i="15"/>
  <c r="Q60" i="15"/>
  <c r="M16" i="1"/>
  <c r="N16" i="1" s="1"/>
  <c r="Q60" i="67"/>
  <c r="Q73" i="67"/>
  <c r="F27" i="11"/>
  <c r="Q61" i="67"/>
  <c r="Q74" i="67"/>
  <c r="C49" i="67"/>
  <c r="F1" i="67"/>
  <c r="Q52" i="67"/>
  <c r="C14" i="77"/>
  <c r="C17" i="15"/>
  <c r="C14" i="78"/>
  <c r="C5" i="77" l="1"/>
  <c r="C32" i="77" s="1"/>
  <c r="O16" i="1"/>
  <c r="B29" i="1"/>
  <c r="C8" i="68" s="1"/>
  <c r="C5" i="68" s="1"/>
  <c r="C23" i="68" s="1"/>
  <c r="B14" i="74"/>
  <c r="B1" i="74" s="1"/>
  <c r="B4" i="80"/>
  <c r="C60" i="77"/>
  <c r="C66" i="77"/>
  <c r="J6" i="77"/>
  <c r="J10" i="77"/>
  <c r="C18" i="77"/>
  <c r="C15" i="77"/>
  <c r="C18" i="78"/>
  <c r="C15" i="78"/>
  <c r="J26" i="78"/>
  <c r="J18" i="78"/>
  <c r="C24" i="78"/>
  <c r="AR8" i="1"/>
  <c r="T8" i="1"/>
  <c r="AQ8" i="1"/>
  <c r="Q61" i="15"/>
  <c r="E37" i="43"/>
  <c r="AA7" i="36"/>
  <c r="R36" i="36" s="1"/>
  <c r="E36" i="36" s="1"/>
  <c r="E40" i="36" s="1"/>
  <c r="F40" i="36" s="1"/>
  <c r="AC11" i="37"/>
  <c r="W11" i="37"/>
  <c r="AB7" i="37"/>
  <c r="T42" i="37" s="1"/>
  <c r="G42" i="37" s="1"/>
  <c r="G46" i="37" s="1"/>
  <c r="H46" i="37" s="1"/>
  <c r="J5" i="67"/>
  <c r="J5" i="15"/>
  <c r="H20" i="6"/>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8" i="77" l="1"/>
  <c r="J5" i="77"/>
  <c r="J18" i="77" s="1"/>
  <c r="R20" i="6"/>
  <c r="R7" i="1" s="1"/>
  <c r="L19" i="79"/>
  <c r="M19" i="79"/>
  <c r="C118" i="79" s="1"/>
  <c r="C14" i="74"/>
  <c r="B2" i="74" s="1"/>
  <c r="C4" i="80"/>
  <c r="AA7" i="34"/>
  <c r="C19" i="78"/>
  <c r="C20" i="78" s="1"/>
  <c r="C26" i="78" s="1"/>
  <c r="C19" i="77"/>
  <c r="C20" i="77" s="1"/>
  <c r="C26" i="77" s="1"/>
  <c r="C36" i="11"/>
  <c r="J24" i="67"/>
  <c r="J18" i="67"/>
  <c r="J24" i="15"/>
  <c r="J18" i="15"/>
  <c r="G36" i="36"/>
  <c r="R37" i="36"/>
  <c r="AB7" i="34"/>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38" i="11"/>
  <c r="C14" i="12"/>
  <c r="C23" i="12"/>
  <c r="M21" i="78"/>
  <c r="E6" i="76"/>
  <c r="F35" i="78"/>
  <c r="J26" i="77" l="1"/>
  <c r="C23" i="77"/>
  <c r="C29" i="77" s="1"/>
  <c r="Q49" i="77" s="1"/>
  <c r="J24" i="77"/>
  <c r="C23" i="78"/>
  <c r="C29" i="78" s="1"/>
  <c r="C57" i="78" s="1"/>
  <c r="C64" i="78" s="1"/>
  <c r="J20" i="78"/>
  <c r="C34" i="78"/>
  <c r="F63" i="78"/>
  <c r="C62" i="78" s="1"/>
  <c r="J59" i="77"/>
  <c r="J60" i="77" s="1"/>
  <c r="Q48" i="77" s="1"/>
  <c r="J59" i="78"/>
  <c r="J60" i="78" s="1"/>
  <c r="Q48" i="78" s="1"/>
  <c r="D31" i="6"/>
  <c r="I6" i="6" s="1"/>
  <c r="E2" i="76"/>
  <c r="B2" i="43"/>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M21" i="15"/>
  <c r="M21" i="77"/>
  <c r="F35" i="15"/>
  <c r="M21" i="67"/>
  <c r="F35" i="77"/>
  <c r="B6" i="76"/>
  <c r="F35" i="67"/>
  <c r="J14" i="77" l="1"/>
  <c r="J22" i="77" s="1"/>
  <c r="C57" i="77"/>
  <c r="C61" i="77" s="1"/>
  <c r="C13" i="78"/>
  <c r="C75" i="78" s="1"/>
  <c r="C13" i="77"/>
  <c r="Q70" i="77" s="1"/>
  <c r="C61" i="78"/>
  <c r="C59" i="78" s="1"/>
  <c r="C36" i="77"/>
  <c r="C33" i="78"/>
  <c r="C31" i="78" s="1"/>
  <c r="J14" i="78"/>
  <c r="J13" i="78" s="1"/>
  <c r="J23" i="78" s="1"/>
  <c r="J19" i="77"/>
  <c r="C33" i="77"/>
  <c r="J19" i="78"/>
  <c r="J17" i="78" s="1"/>
  <c r="Q49" i="78"/>
  <c r="C36" i="78"/>
  <c r="I7" i="6"/>
  <c r="C11" i="34"/>
  <c r="J20" i="77"/>
  <c r="C34" i="77"/>
  <c r="F63" i="77"/>
  <c r="C62" i="77"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64" i="77" l="1"/>
  <c r="C56" i="77"/>
  <c r="C65" i="77" s="1"/>
  <c r="J13" i="77"/>
  <c r="J23" i="77" s="1"/>
  <c r="C59" i="77"/>
  <c r="C75" i="77"/>
  <c r="C37" i="77"/>
  <c r="C37" i="78"/>
  <c r="C30" i="78" s="1"/>
  <c r="C39" i="78" s="1"/>
  <c r="C80" i="78" s="1"/>
  <c r="C79" i="78" s="1"/>
  <c r="J22" i="78"/>
  <c r="J16" i="78" s="1"/>
  <c r="J25" i="78" s="1"/>
  <c r="C56" i="78"/>
  <c r="C65" i="78" s="1"/>
  <c r="C58" i="78" s="1"/>
  <c r="C67" i="78" s="1"/>
  <c r="Q70" i="78"/>
  <c r="J17" i="77"/>
  <c r="J16" i="77" s="1"/>
  <c r="J25" i="77" s="1"/>
  <c r="C31" i="77"/>
  <c r="F11" i="34"/>
  <c r="H11" i="34"/>
  <c r="J11" i="34"/>
  <c r="L57" i="78"/>
  <c r="L60" i="78" s="1"/>
  <c r="L46" i="78" s="1"/>
  <c r="L57" i="77"/>
  <c r="L60" i="77" s="1"/>
  <c r="L46"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78"/>
  <c r="C30" i="77" l="1"/>
  <c r="C39" i="77" s="1"/>
  <c r="Q69" i="77" s="1"/>
  <c r="Q68" i="77" s="1"/>
  <c r="C58" i="77"/>
  <c r="C67" i="77" s="1"/>
  <c r="Q67" i="78"/>
  <c r="Q69" i="78"/>
  <c r="Q68" i="78" s="1"/>
  <c r="AB11" i="34"/>
  <c r="U11" i="34"/>
  <c r="AC11" i="34"/>
  <c r="W11" i="34"/>
  <c r="S11" i="34"/>
  <c r="AA11" i="34"/>
  <c r="Q66" i="78"/>
  <c r="Q57" i="78"/>
  <c r="Q66" i="77"/>
  <c r="Q57" i="77"/>
  <c r="C41" i="68"/>
  <c r="C46" i="68"/>
  <c r="C45" i="68" s="1"/>
  <c r="K63" i="40"/>
  <c r="J65" i="40"/>
  <c r="K70" i="39"/>
  <c r="C56" i="11"/>
  <c r="C57" i="11" s="1"/>
  <c r="C80" i="77" l="1"/>
  <c r="C79" i="77" s="1"/>
  <c r="C49" i="68"/>
  <c r="C51" i="68" s="1"/>
  <c r="C52" i="68" s="1"/>
  <c r="C57" i="68" s="1"/>
  <c r="C56" i="68" s="1"/>
  <c r="L63" i="40"/>
  <c r="K65" i="40"/>
  <c r="L70" i="39"/>
  <c r="E2" i="70"/>
  <c r="C34" i="69"/>
  <c r="L51" i="77"/>
  <c r="C17" i="67"/>
  <c r="Q67" i="77"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AG8" i="1" l="1"/>
  <c r="C66" i="15"/>
  <c r="C60" i="15"/>
  <c r="C59" i="15" s="1"/>
  <c r="AG6" i="1"/>
  <c r="C80" i="15"/>
  <c r="C79" i="15" s="1"/>
  <c r="C65" i="15"/>
  <c r="Q68" i="15"/>
  <c r="L57" i="15"/>
  <c r="L60" i="15" s="1"/>
  <c r="F41" i="15"/>
  <c r="F41" i="67"/>
  <c r="F41" i="77"/>
  <c r="M27" i="67"/>
  <c r="L51" i="15"/>
  <c r="M27" i="15"/>
  <c r="Q67" i="15" l="1"/>
  <c r="J29" i="77"/>
  <c r="F69" i="77"/>
  <c r="C68" i="77" s="1"/>
  <c r="C71" i="77" s="1"/>
  <c r="C40" i="77"/>
  <c r="C83" i="77" s="1"/>
  <c r="C82" i="77" s="1"/>
  <c r="J26" i="15"/>
  <c r="J29" i="15" s="1"/>
  <c r="J26" i="67"/>
  <c r="J29" i="67" s="1"/>
  <c r="C58" i="15"/>
  <c r="C67" i="15" s="1"/>
  <c r="F69" i="15"/>
  <c r="C40" i="15"/>
  <c r="C43" i="15" s="1"/>
  <c r="L46" i="15"/>
  <c r="Q57" i="15"/>
  <c r="Q66" i="15"/>
  <c r="F69" i="67"/>
  <c r="C68" i="67" s="1"/>
  <c r="C71" i="67" s="1"/>
  <c r="C40" i="67"/>
  <c r="C83" i="67" s="1"/>
  <c r="C82" i="67" s="1"/>
  <c r="Q56" i="77" l="1"/>
  <c r="Q62" i="77" s="1"/>
  <c r="C46" i="77"/>
  <c r="B2" i="77"/>
  <c r="B3" i="77" s="1"/>
  <c r="C43" i="77"/>
  <c r="Q65" i="77"/>
  <c r="Q75" i="77" s="1"/>
  <c r="Q47" i="77"/>
  <c r="Q53" i="77"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8" i="1"/>
  <c r="B8" i="70" l="1"/>
  <c r="B6" i="70"/>
  <c r="C46" i="15"/>
  <c r="B2" i="69"/>
  <c r="B3" i="69" s="1"/>
  <c r="B2" i="68"/>
  <c r="B3" i="67"/>
  <c r="D2" i="37"/>
  <c r="D2" i="34"/>
  <c r="D2" i="35"/>
  <c r="D2" i="21"/>
  <c r="D2" i="33"/>
  <c r="D2" i="36"/>
  <c r="F20" i="31"/>
  <c r="E2" i="68"/>
  <c r="B2" i="36" l="1"/>
  <c r="B3" i="36" s="1"/>
  <c r="B2" i="35"/>
  <c r="B2" i="37"/>
  <c r="B3" i="37" s="1"/>
  <c r="B2" i="21"/>
  <c r="B3" i="21" s="1"/>
  <c r="B2" i="70"/>
  <c r="B3" i="68"/>
  <c r="C19" i="79"/>
  <c r="D19" i="9"/>
  <c r="C102" i="79" l="1"/>
  <c r="C21" i="79"/>
  <c r="B3" i="35"/>
  <c r="B3" i="70"/>
  <c r="D102" i="9"/>
  <c r="D21" i="9"/>
  <c r="C20" i="79"/>
  <c r="D20" i="9"/>
  <c r="C103" i="79" l="1"/>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AE7" i="1"/>
  <c r="F41" i="78"/>
  <c r="F69" i="78" l="1"/>
  <c r="C68" i="78" s="1"/>
  <c r="J29" i="78"/>
  <c r="C40" i="78"/>
  <c r="Q47" i="78" l="1"/>
  <c r="Q53" i="78" s="1"/>
  <c r="C43" i="78"/>
  <c r="Q65" i="78"/>
  <c r="Q75" i="78" s="1"/>
  <c r="Q56" i="78"/>
  <c r="Q62" i="78" s="1"/>
  <c r="C83" i="78"/>
  <c r="C82" i="78" s="1"/>
  <c r="B2" i="78"/>
  <c r="C46" i="78"/>
  <c r="C71" i="78"/>
  <c r="D19" i="79"/>
  <c r="AO7" i="1"/>
  <c r="D21" i="79" l="1"/>
  <c r="D102" i="79"/>
  <c r="D22" i="79"/>
  <c r="G19" i="79"/>
  <c r="D15" i="74" s="1"/>
  <c r="G15" i="74" s="1"/>
  <c r="B3" i="78"/>
  <c r="D34" i="79"/>
  <c r="D35" i="79"/>
  <c r="D20" i="79"/>
  <c r="F15" i="74" l="1"/>
  <c r="E15" i="74"/>
  <c r="D103" i="79"/>
  <c r="G20" i="79"/>
  <c r="C32" i="79"/>
  <c r="G21" i="79"/>
  <c r="C35" i="79" l="1"/>
  <c r="F118" i="79" s="1"/>
  <c r="H118" i="79"/>
  <c r="C34" i="79" l="1"/>
  <c r="D118" i="79" s="1"/>
  <c r="C104" i="79"/>
  <c r="I118" i="79"/>
  <c r="H101" i="79"/>
  <c r="H119" i="79"/>
  <c r="F119" i="79"/>
  <c r="G118" i="79"/>
  <c r="D119" i="79" l="1"/>
  <c r="M48" i="79"/>
  <c r="H107" i="79"/>
  <c r="D45" i="79"/>
  <c r="C105" i="79"/>
  <c r="H102" i="79"/>
  <c r="E118" i="79"/>
  <c r="H108" i="79" l="1"/>
  <c r="M49" i="79"/>
  <c r="D122" i="79"/>
  <c r="D123" i="79" s="1"/>
  <c r="C78" i="79"/>
  <c r="C73" i="79" s="1"/>
  <c r="C72" i="79"/>
  <c r="D52" i="79"/>
  <c r="C64" i="79"/>
  <c r="C63" i="79" s="1"/>
  <c r="C67" i="79" s="1"/>
  <c r="C68" i="79" s="1"/>
  <c r="D54" i="79" s="1"/>
  <c r="C93" i="79"/>
  <c r="C86" i="79" s="1"/>
  <c r="D55" i="79"/>
  <c r="M53" i="79" s="1"/>
  <c r="C85" i="79"/>
  <c r="D53" i="79"/>
  <c r="C95" i="79" l="1"/>
  <c r="C96" i="79" s="1"/>
  <c r="E96" i="79" s="1"/>
  <c r="E97" i="79" s="1"/>
  <c r="C79" i="79"/>
  <c r="C80" i="79" s="1"/>
  <c r="E80" i="79" s="1"/>
  <c r="E81" i="79" s="1"/>
  <c r="L63" i="79"/>
  <c r="M63" i="79" s="1"/>
  <c r="L64" i="79"/>
  <c r="M64" i="79" s="1"/>
  <c r="L68" i="79"/>
  <c r="M68" i="79" s="1"/>
  <c r="L65" i="79"/>
  <c r="M65" i="79" s="1"/>
  <c r="L66" i="79"/>
  <c r="M66" i="79" s="1"/>
  <c r="L67" i="79"/>
  <c r="M67" i="79" s="1"/>
  <c r="M69" i="79" l="1"/>
  <c r="N69" i="79" s="1"/>
  <c r="C97" i="79"/>
  <c r="D58" i="79" s="1"/>
  <c r="D56" i="79" s="1"/>
  <c r="M54" i="79" s="1"/>
  <c r="N57" i="79" s="1"/>
  <c r="C81" i="79"/>
  <c r="N58" i="79" l="1"/>
  <c r="P57" i="79"/>
  <c r="N59" i="79"/>
  <c r="N61" i="79" l="1"/>
  <c r="N60" i="79"/>
  <c r="J8" i="34"/>
  <c r="W8" i="34" s="1"/>
  <c r="H8" i="34"/>
  <c r="AB8" i="34" s="1"/>
  <c r="T49" i="34" s="1"/>
  <c r="G49" i="34" s="1"/>
  <c r="G53" i="34" l="1"/>
  <c r="H53" i="34" s="1"/>
  <c r="U8" i="34"/>
  <c r="AC8" i="34"/>
  <c r="V49" i="34" s="1"/>
  <c r="I49" i="34" s="1"/>
  <c r="F8" i="34"/>
  <c r="S8" i="34" s="1"/>
  <c r="AA8" i="34" l="1"/>
  <c r="R49" i="34" s="1"/>
  <c r="I53" i="34"/>
  <c r="J53" i="34" s="1"/>
  <c r="G54" i="34"/>
  <c r="H54" i="34" s="1"/>
  <c r="E49" i="34" l="1"/>
  <c r="R50" i="34"/>
  <c r="C50" i="34" l="1"/>
  <c r="C49" i="34"/>
  <c r="E54" i="34"/>
  <c r="F54" i="34" s="1"/>
  <c r="E53" i="34"/>
  <c r="F53" i="34" s="1"/>
  <c r="I54" i="34"/>
  <c r="J54" i="34" s="1"/>
  <c r="R24" i="31" l="1"/>
  <c r="R39" i="31" s="1"/>
  <c r="S39" i="31" s="1"/>
  <c r="B2" i="34"/>
  <c r="B3" i="34"/>
  <c r="R32" i="31" l="1"/>
  <c r="S32" i="31" s="1"/>
  <c r="R25" i="31"/>
  <c r="S25" i="31" s="1"/>
  <c r="R38" i="31"/>
  <c r="S38" i="31" s="1"/>
  <c r="R36" i="31"/>
  <c r="S36" i="31" s="1"/>
  <c r="R42" i="31"/>
  <c r="S42" i="31" s="1"/>
  <c r="R34" i="31"/>
  <c r="S34" i="31" s="1"/>
  <c r="R30" i="31"/>
  <c r="S30" i="31" s="1"/>
  <c r="R43" i="31"/>
  <c r="S43" i="31" s="1"/>
  <c r="R27" i="31"/>
  <c r="S27" i="31" s="1"/>
  <c r="R40" i="31"/>
  <c r="S40" i="31" s="1"/>
  <c r="S24" i="31"/>
  <c r="R33" i="31"/>
  <c r="S33" i="31" s="1"/>
  <c r="R35" i="31"/>
  <c r="S35" i="31" s="1"/>
  <c r="R29" i="31"/>
  <c r="S29" i="31" s="1"/>
  <c r="R31" i="31"/>
  <c r="S31" i="31" s="1"/>
  <c r="R26" i="31"/>
  <c r="S26" i="31" s="1"/>
  <c r="R28" i="31"/>
  <c r="S28" i="31" s="1"/>
  <c r="R41" i="31"/>
  <c r="S41" i="31" s="1"/>
  <c r="R37" i="31"/>
  <c r="S37" i="31" s="1"/>
  <c r="S22" i="31" l="1"/>
  <c r="R22" i="31" l="1"/>
  <c r="B21" i="31" s="1"/>
  <c r="B20" i="31"/>
  <c r="C20" i="9"/>
  <c r="C19" i="9"/>
  <c r="C102" i="9" l="1"/>
  <c r="D22" i="9"/>
  <c r="C21" i="9"/>
  <c r="G19" i="9"/>
  <c r="C103" i="9"/>
  <c r="C32" i="9" l="1"/>
  <c r="G21" i="9"/>
  <c r="J21" i="9"/>
  <c r="G20" i="9" s="1"/>
  <c r="H118" i="9" l="1"/>
  <c r="C35" i="9"/>
  <c r="C104" i="9" l="1"/>
  <c r="I118" i="9"/>
  <c r="H4" i="52"/>
  <c r="H101" i="9"/>
  <c r="D14" i="74"/>
  <c r="H4" i="80"/>
  <c r="H119" i="9"/>
  <c r="H5" i="52" s="1"/>
  <c r="F118" i="9"/>
  <c r="C34" i="9"/>
  <c r="D118" i="9" s="1"/>
  <c r="N4" i="80" l="1"/>
  <c r="M63" i="34" s="1"/>
  <c r="D4" i="52"/>
  <c r="B47" i="72" s="1"/>
  <c r="D119" i="9"/>
  <c r="D5" i="52" s="1"/>
  <c r="B49" i="72" s="1"/>
  <c r="D4" i="80"/>
  <c r="F14" i="74"/>
  <c r="E14" i="74"/>
  <c r="B5" i="74"/>
  <c r="F4" i="52"/>
  <c r="B51" i="72" s="1"/>
  <c r="F119" i="9"/>
  <c r="F5" i="52" s="1"/>
  <c r="B53" i="72" s="1"/>
  <c r="G118" i="9"/>
  <c r="G4" i="52" s="1"/>
  <c r="B52" i="72" s="1"/>
  <c r="F4" i="80"/>
  <c r="G4" i="80" s="1"/>
  <c r="I4" i="80"/>
  <c r="D5" i="80"/>
  <c r="M48" i="9"/>
  <c r="H107" i="9"/>
  <c r="D45" i="9"/>
  <c r="D5" i="53"/>
  <c r="C105" i="9"/>
  <c r="I4" i="52"/>
  <c r="H102" i="9"/>
  <c r="D7" i="53" s="1"/>
  <c r="B21" i="72" s="1"/>
  <c r="E4" i="80" l="1"/>
  <c r="D53" i="9"/>
  <c r="C64" i="9"/>
  <c r="C63" i="9" s="1"/>
  <c r="C67" i="9" s="1"/>
  <c r="C68" i="9" s="1"/>
  <c r="D54" i="9" s="1"/>
  <c r="D52" i="9"/>
  <c r="C72" i="9"/>
  <c r="C78" i="9"/>
  <c r="C73" i="9" s="1"/>
  <c r="C85" i="9"/>
  <c r="C93" i="9"/>
  <c r="C86" i="9" s="1"/>
  <c r="D55" i="9"/>
  <c r="M53" i="9" s="1"/>
  <c r="E118" i="9"/>
  <c r="E4" i="52" s="1"/>
  <c r="B48" i="72" s="1"/>
  <c r="B20" i="72"/>
  <c r="D6" i="53"/>
  <c r="B22" i="72" s="1"/>
  <c r="D13" i="53"/>
  <c r="H108" i="9"/>
  <c r="D15" i="53" s="1"/>
  <c r="B31" i="72" s="1"/>
  <c r="D122" i="9"/>
  <c r="M49" i="9"/>
  <c r="D5" i="74"/>
  <c r="C5" i="74"/>
  <c r="L68" i="9" l="1"/>
  <c r="M68" i="9" s="1"/>
  <c r="L66" i="9"/>
  <c r="M66" i="9" s="1"/>
  <c r="L67" i="9"/>
  <c r="M67" i="9" s="1"/>
  <c r="L63" i="9"/>
  <c r="M63" i="9" s="1"/>
  <c r="L64" i="9"/>
  <c r="M64" i="9" s="1"/>
  <c r="L65" i="9"/>
  <c r="M65" i="9" s="1"/>
  <c r="D8" i="52"/>
  <c r="D123" i="9"/>
  <c r="D9" i="52" s="1"/>
  <c r="G14" i="74"/>
  <c r="B6" i="74" s="1"/>
  <c r="B30" i="72"/>
  <c r="D14" i="53"/>
  <c r="B32" i="72" s="1"/>
  <c r="C95" i="9"/>
  <c r="C79" i="9"/>
  <c r="C80" i="9" s="1"/>
  <c r="E80" i="9" s="1"/>
  <c r="E81" i="9" s="1"/>
  <c r="C81" i="9" l="1"/>
  <c r="C6" i="74"/>
  <c r="D6" i="74"/>
  <c r="C96" i="9"/>
  <c r="E96" i="9" s="1"/>
  <c r="E97" i="9" s="1"/>
  <c r="M69" i="9"/>
  <c r="N69"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<sst xmlns="http://schemas.openxmlformats.org/spreadsheetml/2006/main" count="8748" uniqueCount="3235">
  <si>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</si>
  <si>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</si>
  <si>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</si>
  <si>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</si>
  <si>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</si>
  <si>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</si>
  <si>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</si>
  <si>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</si>
  <si>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</si>
  <si>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</si>
  <si>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</si>
  <si>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</si>
  <si>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</si>
  <si>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</si>
  <si>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</si>
  <si>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</si>
  <si>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</si>
  <si>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</si>
  <si>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</si>
  <si>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</si>
  <si>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</si>
  <si>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</si>
  <si>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</si>
  <si>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</si>
  <si>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</si>
  <si>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</si>
  <si>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</si>
  <si>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</si>
  <si>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</si>
  <si>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</si>
  <si>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</si>
  <si>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</si>
  <si>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</si>
  <si>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</si>
  <si>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</si>
  <si>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</si>
  <si>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</si>
  <si>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</si>
  <si>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</si>
  <si>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</si>
  <si>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</si>
  <si>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</si>
  <si>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</si>
  <si>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</si>
  <si>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</si>
  <si>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</si>
  <si>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</si>
  <si>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</si>
  <si>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</si>
  <si>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</si>
  <si>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</si>
  <si>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</si>
  <si>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</si>
  <si>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</si>
  <si>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</si>
  <si>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</si>
  <si>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</si>
  <si>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</si>
  <si>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</si>
  <si>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</si>
  <si>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</si>
  <si>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</si>
  <si>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</si>
  <si>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</si>
  <si>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</si>
  <si>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</si>
  <si>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</si>
  <si>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</si>
  <si>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</si>
  <si>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</si>
  <si>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</si>
  <si>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</si>
  <si>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</si>
  <si>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</si>
  <si>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</si>
  <si>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</si>
  <si>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</si>
  <si>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</si>
  <si>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</si>
  <si>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</si>
  <si>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</si>
  <si>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</si>
  <si>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</si>
  <si>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</si>
  <si>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</si>
  <si>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</si>
  <si>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</si>
  <si>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</si>
  <si>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</si>
  <si>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</si>
  <si>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</si>
  <si>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</si>
  <si>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</si>
  <si>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</si>
  <si>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</si>
  <si>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</si>
  <si>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</si>
  <si>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</si>
  <si>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</si>
  <si>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</si>
  <si>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</si>
  <si>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</si>
  <si>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</si>
  <si>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</si>
  <si>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</si>
  <si>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</si>
  <si>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</si>
  <si>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</si>
  <si>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</si>
  <si>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</si>
  <si>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</si>
  <si>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</si>
  <si>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</si>
  <si>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</si>
  <si>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</si>
  <si>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</si>
  <si>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</si>
  <si>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</si>
  <si>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</si>
  <si>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</si>
  <si>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</si>
  <si>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</si>
  <si>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</si>
  <si>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</si>
  <si>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</si>
  <si>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</si>
  <si>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</si>
  <si>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</si>
  <si>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</si>
  <si>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</si>
  <si>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</si>
  <si>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</si>
  <si>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</si>
  <si>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</si>
  <si>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</si>
  <si>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</si>
  <si>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</si>
  <si>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</si>
  <si>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</si>
  <si>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</si>
  <si>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</si>
  <si>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</si>
  <si>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</si>
  <si>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</si>
  <si>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</si>
  <si>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</si>
  <si>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</si>
  <si>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</si>
  <si>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</si>
  <si>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</si>
  <si>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</si>
  <si>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</si>
  <si>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</si>
  <si>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</si>
  <si>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</si>
  <si>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</si>
  <si>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</si>
  <si>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</si>
  <si>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</si>
  <si>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</si>
  <si>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</si>
  <si>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</si>
  <si>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</si>
  <si>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</si>
  <si>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</si>
  <si>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</si>
  <si>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</si>
  <si>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</si>
  <si>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</si>
  <si>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</si>
  <si>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</si>
  <si>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</si>
  <si>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</si>
  <si>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</si>
  <si>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</si>
  <si>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</si>
  <si>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</si>
  <si>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</si>
  <si>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</si>
  <si>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</si>
  <si>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</si>
  <si>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</si>
  <si>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</si>
  <si>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</si>
  <si>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</si>
  <si>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</si>
  <si>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</si>
  <si>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</si>
  <si>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</si>
  <si>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</si>
  <si>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</si>
  <si>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</si>
  <si>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</si>
  <si>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</si>
  <si>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</si>
  <si>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</si>
  <si>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</si>
  <si>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</si>
  <si>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</si>
  <si>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</si>
  <si>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</si>
  <si>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</si>
  <si>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</si>
  <si>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</si>
  <si>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</si>
  <si>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</si>
  <si>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</si>
  <si>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</si>
  <si>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</si>
  <si>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</si>
  <si>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</si>
  <si>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</si>
  <si>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</si>
  <si>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</si>
  <si>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</si>
  <si>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</si>
  <si>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</si>
  <si>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</si>
  <si>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</si>
  <si>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</si>
  <si>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</si>
  <si>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</si>
  <si>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</si>
  <si>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</si>
  <si>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</si>
  <si>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</si>
  <si>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</si>
  <si>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</si>
  <si>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</si>
  <si>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</si>
  <si>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</si>
  <si>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</si>
  <si>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</si>
  <si>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</si>
  <si>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</si>
  <si>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</si>
  <si>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</si>
  <si>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</si>
  <si>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</si>
  <si>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</si>
  <si>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</si>
  <si>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</si>
  <si>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</si>
  <si>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</si>
  <si>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</si>
  <si>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</si>
  <si>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</si>
  <si>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</si>
  <si>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</si>
  <si>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</si>
  <si>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</si>
  <si>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</si>
  <si>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</si>
  <si>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</si>
  <si>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</si>
  <si>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</si>
  <si>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</si>
  <si>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</si>
  <si>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</si>
  <si>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</si>
  <si>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</si>
  <si>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</si>
  <si>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</si>
  <si>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</si>
  <si>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</si>
  <si>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</si>
  <si>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</si>
  <si>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</si>
  <si>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</si>
  <si>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</si>
  <si>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</si>
  <si>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</si>
  <si>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</si>
  <si>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</si>
  <si>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</si>
  <si>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</si>
  <si>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</si>
  <si>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</si>
  <si>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</si>
  <si>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</si>
  <si>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</si>
  <si>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</si>
  <si>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</si>
  <si>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</si>
  <si>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</si>
  <si>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</si>
  <si>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</si>
  <si>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</si>
  <si>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</si>
  <si>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</si>
  <si>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</si>
  <si>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</si>
  <si>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</si>
  <si>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</si>
  <si>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</si>
  <si>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</si>
  <si>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</si>
  <si>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</si>
  <si>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</si>
  <si>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</si>
  <si>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</si>
  <si>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</si>
  <si>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</si>
  <si>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</si>
  <si>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</si>
  <si>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</si>
  <si>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</si>
  <si>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</si>
  <si>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</si>
  <si>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</si>
  <si>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</si>
  <si>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</si>
  <si>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</si>
  <si>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</si>
  <si>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</si>
  <si>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</si>
  <si>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</si>
  <si>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</si>
  <si>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</si>
  <si>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</si>
  <si>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</si>
  <si>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</si>
  <si>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</si>
  <si>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</si>
  <si>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</si>
  <si>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</si>
  <si>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</si>
  <si>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</si>
  <si>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</si>
  <si>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</si>
  <si>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</si>
  <si>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</si>
  <si>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</si>
  <si>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</si>
  <si>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</si>
  <si>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</si>
  <si>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</si>
  <si>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</si>
  <si>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</si>
  <si>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</si>
  <si>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</si>
  <si>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</si>
  <si>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</si>
  <si>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</si>
  <si>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</si>
  <si>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</si>
  <si>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</si>
  <si>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</si>
  <si>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</si>
  <si>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</si>
  <si>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</si>
  <si>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</si>
  <si>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</si>
  <si>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</si>
  <si>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</si>
  <si>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</si>
  <si>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</si>
  <si>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</si>
  <si>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</si>
  <si>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</si>
  <si>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</si>
  <si>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</si>
  <si>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</si>
  <si>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</si>
  <si>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</si>
  <si>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</si>
  <si>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</si>
  <si>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</si>
  <si>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</si>
  <si>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</si>
  <si>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</si>
  <si>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</si>
  <si>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</si>
  <si>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</si>
  <si>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</si>
  <si>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</si>
  <si>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</si>
  <si>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</si>
  <si>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</si>
  <si>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</si>
  <si>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</si>
  <si>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</si>
  <si>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</si>
  <si>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</si>
  <si>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</si>
  <si>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</si>
  <si>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</si>
  <si>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</si>
  <si>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</si>
  <si>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</si>
  <si>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</si>
  <si>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</si>
  <si>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</si>
  <si>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</si>
  <si>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</si>
  <si>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</si>
  <si>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</si>
  <si>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</si>
  <si>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</si>
  <si>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</si>
  <si>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</si>
  <si>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</si>
  <si>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</si>
  <si>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</si>
  <si>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</si>
  <si>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</si>
  <si>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</si>
  <si>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</si>
  <si>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</si>
  <si>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</si>
  <si>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</si>
  <si>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</si>
  <si>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</si>
  <si>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</si>
  <si>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</si>
  <si>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</si>
  <si>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</si>
  <si>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</si>
  <si>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</si>
  <si>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</si>
  <si>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</si>
  <si>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</si>
  <si>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</si>
  <si>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</si>
  <si>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</si>
  <si>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</si>
  <si>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</si>
  <si>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</si>
  <si>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</si>
  <si>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</si>
  <si>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</si>
  <si>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</si>
  <si>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</si>
  <si>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</si>
  <si>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</si>
  <si>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</si>
  <si>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</si>
  <si>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</si>
  <si>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</si>
  <si>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</si>
  <si>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</si>
  <si>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</si>
  <si>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</si>
  <si>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</si>
  <si>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</si>
  <si>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</si>
  <si>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</si>
  <si>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</si>
  <si>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</si>
  <si>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</si>
  <si>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</si>
  <si>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</si>
  <si>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</si>
  <si>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</si>
  <si>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</si>
  <si>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</si>
  <si>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</si>
  <si>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</si>
  <si>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</si>
  <si>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</si>
  <si>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</si>
  <si>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</si>
  <si>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</si>
  <si>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</si>
  <si>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</si>
  <si>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</si>
  <si>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</si>
  <si>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</si>
  <si>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</si>
  <si>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</si>
  <si>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</si>
  <si>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</si>
  <si>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</si>
  <si>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</si>
  <si>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</si>
  <si>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</si>
  <si>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</si>
  <si>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</si>
  <si>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</si>
  <si>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</si>
  <si>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</si>
  <si>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</si>
  <si>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</si>
  <si>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</si>
  <si>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</si>
  <si>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</si>
  <si>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</si>
  <si>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</si>
  <si>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</si>
  <si>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</si>
  <si>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</si>
  <si>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</si>
  <si>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</si>
  <si>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</si>
  <si>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</si>
  <si>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</si>
  <si>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</si>
  <si>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</si>
  <si>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</si>
  <si>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</si>
  <si>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</si>
  <si>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</si>
  <si>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</si>
  <si>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</si>
  <si>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</si>
  <si>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</si>
  <si>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</si>
  <si>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</si>
  <si>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</si>
  <si>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</si>
  <si>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</si>
  <si>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</si>
  <si>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</si>
  <si>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</si>
  <si>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</si>
  <si>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</si>
  <si>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</si>
  <si>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</si>
  <si>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</si>
  <si>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</si>
  <si>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</si>
  <si>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</si>
  <si>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</si>
  <si>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</si>
  <si>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</si>
  <si>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</si>
  <si>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</si>
  <si>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</si>
  <si>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</si>
  <si>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</si>
  <si>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</si>
  <si>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</si>
  <si>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</si>
  <si>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</si>
  <si>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</si>
  <si>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</si>
  <si>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</si>
  <si>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</si>
  <si>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</si>
  <si>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</si>
  <si>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</si>
  <si>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</si>
  <si>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</si>
  <si>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</si>
  <si>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</si>
  <si>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</si>
  <si>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</si>
  <si>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</si>
  <si>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</si>
  <si>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</si>
  <si>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</si>
  <si>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</si>
  <si>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</si>
  <si>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</si>
  <si>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</si>
  <si>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</si>
  <si>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</si>
  <si>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</si>
  <si>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</si>
  <si>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</si>
  <si>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</si>
  <si>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</si>
  <si>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</si>
  <si>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</si>
  <si>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</si>
  <si>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</si>
  <si>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</si>
  <si>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</si>
  <si>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</si>
  <si>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</si>
  <si>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</si>
  <si>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</si>
  <si>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</si>
  <si>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</si>
  <si>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</si>
  <si>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</si>
  <si>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</si>
  <si>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</si>
  <si>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</si>
  <si>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</si>
  <si>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</si>
  <si>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</si>
  <si>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</si>
  <si>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</si>
  <si>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</si>
  <si>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</si>
  <si>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</si>
  <si>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</si>
  <si>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</si>
  <si>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</si>
  <si>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</si>
  <si>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</si>
  <si>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</si>
  <si>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</si>
  <si>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</si>
  <si>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</si>
  <si>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</si>
  <si>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</si>
  <si>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</si>
  <si>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</si>
  <si>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</si>
  <si>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</si>
  <si>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</si>
  <si>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</si>
  <si>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</si>
  <si>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</si>
  <si>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</si>
  <si>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</si>
  <si>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</si>
  <si>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</si>
  <si>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</si>
  <si>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</si>
  <si>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</si>
  <si>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</si>
  <si>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</si>
  <si>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</si>
  <si>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</si>
  <si>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</si>
  <si>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</si>
  <si>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</si>
  <si>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</si>
  <si>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</si>
  <si>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</si>
  <si>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</si>
  <si>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</si>
  <si>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</si>
  <si>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</si>
  <si>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</si>
  <si>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</si>
  <si>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</si>
  <si>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</si>
  <si>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</si>
  <si>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</si>
  <si>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</si>
  <si>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</si>
  <si>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</si>
  <si>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</si>
  <si>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</si>
  <si>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</si>
  <si>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</si>
  <si>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</si>
  <si>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</si>
  <si>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</si>
  <si>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</si>
  <si>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</si>
  <si>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</si>
  <si>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</si>
  <si>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</si>
  <si>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</si>
  <si>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</si>
  <si>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</si>
  <si>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</si>
  <si>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</si>
  <si>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</si>
  <si>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</si>
  <si>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</si>
  <si>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</si>
  <si>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</si>
  <si>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</si>
  <si>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</si>
  <si>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</si>
  <si>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</si>
  <si>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</si>
  <si>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</si>
  <si>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</si>
  <si>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</si>
  <si>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</si>
  <si>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</si>
  <si>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</si>
  <si>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</si>
  <si>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</si>
  <si>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</si>
  <si>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</si>
  <si>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</si>
  <si>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</si>
  <si>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</si>
  <si>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</si>
  <si>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</si>
  <si>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</si>
  <si>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</si>
  <si>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</si>
  <si>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</si>
  <si>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</si>
  <si>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</si>
  <si>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</si>
  <si>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</si>
  <si>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</si>
  <si>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</si>
  <si>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</si>
  <si>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</si>
  <si>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</si>
  <si>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</si>
  <si>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</si>
  <si>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</si>
  <si>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</si>
  <si>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</si>
  <si>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</si>
  <si>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</si>
  <si>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</si>
  <si>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</si>
  <si>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</si>
  <si>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</si>
  <si>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</si>
  <si>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</si>
  <si>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</si>
  <si>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</si>
  <si>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</si>
  <si>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</si>
  <si>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</si>
  <si>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</si>
  <si>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</si>
  <si>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</si>
  <si>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</si>
  <si>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</si>
  <si>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</si>
  <si>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</si>
  <si>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</si>
  <si>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</si>
  <si>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</si>
  <si>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</si>
  <si>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</si>
  <si>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</si>
  <si>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</si>
  <si>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</si>
  <si>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</si>
  <si>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</si>
  <si>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</si>
  <si>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</si>
  <si>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</si>
  <si>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</si>
  <si>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</si>
  <si>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</si>
  <si>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</si>
  <si>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</si>
  <si>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</si>
  <si>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</si>
  <si>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</si>
  <si>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</si>
  <si>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</si>
  <si>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</si>
  <si>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</si>
  <si>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</si>
  <si>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</si>
  <si>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</si>
  <si>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</si>
  <si>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</si>
  <si>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</si>
  <si>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</si>
  <si>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</si>
  <si>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</si>
  <si>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</si>
  <si>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</si>
  <si>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</si>
  <si>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</si>
  <si>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</si>
  <si>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</si>
  <si>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</si>
  <si>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</si>
  <si>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</si>
  <si>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</si>
  <si>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</si>
  <si>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</si>
  <si>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</si>
  <si>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</si>
  <si>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</si>
  <si>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</si>
  <si>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</si>
  <si>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</si>
  <si>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</si>
  <si>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</si>
  <si>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</si>
  <si>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</si>
  <si>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</si>
  <si>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</si>
  <si>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</si>
  <si>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</si>
  <si>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</si>
  <si>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</si>
  <si>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</si>
  <si>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</si>
  <si>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</si>
  <si>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</si>
  <si>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</si>
  <si>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</si>
  <si>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</si>
  <si>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</si>
  <si>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</si>
  <si>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</si>
  <si>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</si>
  <si>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</si>
  <si>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</si>
  <si>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</si>
  <si>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</si>
  <si>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</si>
  <si>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</si>
  <si>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</si>
  <si>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</si>
  <si>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</si>
  <si>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</si>
  <si>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</si>
  <si>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</si>
  <si>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</si>
  <si>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</si>
  <si>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</si>
  <si>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</si>
  <si>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</si>
  <si>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</si>
  <si>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</si>
  <si>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</si>
  <si>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</si>
  <si>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</si>
  <si>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</si>
  <si>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</si>
  <si>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</si>
  <si>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</si>
  <si>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</si>
  <si>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</si>
  <si>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</si>
  <si>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</si>
  <si>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</si>
  <si>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</si>
  <si>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</si>
  <si>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</si>
  <si>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</si>
  <si>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</si>
  <si>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</si>
  <si>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</si>
  <si>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</si>
  <si>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</si>
  <si>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</si>
  <si>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</si>
  <si>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</si>
  <si>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</si>
  <si>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</si>
  <si>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</si>
  <si>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</si>
  <si>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</si>
  <si>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</si>
  <si>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</si>
  <si>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</si>
  <si>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</si>
  <si>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</si>
  <si>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</si>
  <si>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</si>
  <si>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</si>
  <si>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</si>
  <si>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</si>
  <si>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</si>
  <si>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</si>
  <si>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</si>
  <si>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</si>
  <si>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</si>
  <si>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</si>
  <si>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</si>
  <si>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</si>
  <si>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</si>
  <si>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</si>
  <si>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</si>
  <si>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</si>
  <si>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</si>
  <si>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</si>
  <si>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</si>
  <si>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</si>
  <si>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</si>
  <si>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</si>
  <si>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</si>
  <si>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</si>
  <si>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</si>
  <si>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</si>
  <si>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</si>
  <si>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</si>
  <si>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</si>
  <si>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</si>
  <si>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</si>
  <si>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</si>
  <si>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</si>
  <si>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</si>
  <si>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</si>
  <si>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</si>
  <si>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</si>
  <si>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</si>
  <si>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</si>
  <si>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</si>
  <si>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</si>
  <si>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</si>
  <si>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</si>
  <si>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</si>
  <si>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</si>
  <si>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</si>
  <si>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</si>
  <si>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</si>
  <si>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</si>
  <si>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</si>
  <si>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</si>
  <si>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</si>
  <si>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</si>
  <si>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</si>
  <si>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</si>
  <si>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</si>
  <si>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</si>
  <si>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</si>
  <si>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</si>
  <si>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</si>
  <si>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</si>
  <si>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</si>
  <si>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</si>
  <si>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</si>
  <si>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</si>
  <si>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</si>
  <si>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</si>
  <si>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</si>
  <si>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</si>
  <si>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</si>
  <si>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</si>
  <si>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</si>
  <si>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</si>
  <si>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</si>
  <si>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</si>
  <si>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</si>
  <si>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</si>
  <si>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</si>
  <si>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</si>
  <si>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</si>
  <si>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</si>
  <si>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</si>
  <si>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</si>
  <si>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</si>
  <si>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</si>
  <si>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</si>
  <si>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</si>
  <si>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</si>
  <si>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</si>
  <si>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</si>
  <si>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</si>
  <si>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</si>
  <si>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</si>
  <si>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</si>
  <si>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</si>
  <si>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</si>
  <si>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</si>
  <si>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</si>
  <si>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</si>
  <si>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</si>
  <si>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</si>
  <si>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</si>
  <si>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</si>
  <si>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</si>
  <si>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</si>
  <si>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</si>
  <si>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</si>
  <si>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</si>
  <si>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</si>
  <si>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</si>
  <si>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</si>
  <si>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</si>
  <si>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</si>
  <si>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</si>
  <si>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</si>
  <si>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</si>
  <si>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</si>
  <si>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</si>
  <si>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</si>
  <si>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</si>
  <si>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</si>
  <si>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</si>
  <si>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</si>
  <si>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</si>
  <si>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</si>
  <si>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</si>
  <si>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</si>
  <si>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</si>
  <si>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</si>
  <si>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</si>
  <si>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</si>
  <si>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</si>
  <si>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</si>
  <si>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</si>
  <si>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</si>
  <si>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</si>
  <si>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</si>
  <si>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</si>
  <si>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</si>
  <si>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</si>
  <si>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</si>
  <si>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</si>
  <si>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</si>
  <si>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</si>
  <si>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</si>
  <si>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</si>
  <si>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</si>
  <si>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</si>
  <si>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</si>
  <si>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</si>
  <si>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</si>
  <si>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</si>
  <si>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</si>
  <si>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</si>
  <si>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</si>
  <si>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</si>
  <si>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</si>
  <si>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</si>
  <si>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</si>
  <si>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</si>
  <si>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</si>
  <si>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</si>
  <si>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</si>
  <si>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</si>
  <si>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</si>
  <si>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</si>
  <si>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</si>
  <si>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</si>
  <si>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</si>
  <si>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</si>
  <si>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</si>
  <si>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</si>
  <si>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</si>
  <si>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</si>
  <si>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</si>
  <si>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</si>
  <si>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</si>
  <si>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</si>
  <si>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</si>
  <si>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</si>
  <si>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</si>
  <si>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</si>
  <si>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</si>
  <si>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</si>
  <si>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</si>
  <si>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</si>
  <si>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</si>
  <si>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</si>
  <si>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</si>
  <si>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</si>
  <si>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</si>
  <si>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</si>
  <si>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</si>
  <si>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</si>
  <si>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</si>
  <si>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</si>
  <si>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</si>
  <si>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</si>
  <si>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</si>
  <si>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</si>
  <si>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</si>
  <si>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</si>
  <si>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</si>
  <si>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</si>
  <si>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</si>
  <si>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</si>
  <si>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</si>
  <si>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</si>
  <si>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</si>
  <si>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</si>
  <si>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</si>
  <si>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</si>
  <si>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</si>
  <si>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</si>
  <si>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</si>
  <si>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</si>
  <si>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</si>
  <si>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</si>
  <si>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</si>
  <si>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</si>
  <si>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</si>
  <si>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</si>
  <si>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</si>
  <si>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</si>
  <si>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</si>
  <si>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</si>
  <si>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</si>
  <si>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</si>
  <si>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</si>
  <si>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</si>
  <si>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</si>
  <si>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</si>
  <si>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</si>
  <si>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</si>
  <si>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</si>
  <si>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</si>
  <si>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</si>
  <si>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</si>
  <si>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</si>
  <si>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</si>
  <si>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</si>
  <si>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</si>
  <si>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</si>
  <si>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</si>
  <si>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</si>
  <si>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</si>
  <si>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</si>
  <si>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</si>
  <si>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</si>
  <si>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</si>
  <si>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</si>
  <si>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</si>
  <si>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</si>
  <si>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</si>
  <si>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</si>
  <si>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</si>
  <si>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</si>
  <si>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</si>
  <si>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</si>
  <si>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</si>
  <si>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</si>
  <si>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</si>
  <si>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</si>
  <si>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</si>
  <si>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</si>
  <si>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</si>
  <si>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</si>
  <si>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</si>
  <si>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</si>
  <si>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</si>
  <si>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</si>
  <si>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</si>
  <si>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</si>
  <si>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</si>
  <si>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</si>
  <si>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</si>
  <si>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</si>
  <si>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</si>
  <si>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</si>
  <si>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</si>
  <si>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</si>
  <si>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</si>
  <si>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</si>
  <si>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</si>
  <si>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</si>
  <si>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</si>
  <si>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</si>
  <si>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</si>
  <si>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</si>
  <si>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</si>
  <si>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</si>
  <si>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</si>
  <si>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</si>
  <si>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</si>
  <si>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</si>
  <si>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</si>
  <si>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</si>
  <si>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</si>
  <si>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</si>
  <si>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</si>
  <si>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</si>
  <si>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</si>
  <si>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</si>
  <si>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</si>
  <si>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</si>
  <si>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</si>
  <si>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</si>
  <si>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</si>
  <si>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</si>
  <si>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</si>
  <si>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</si>
  <si>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</si>
  <si>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</si>
  <si>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</si>
  <si>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</si>
  <si>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</si>
  <si>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</si>
  <si>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</si>
  <si>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</si>
  <si>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</si>
  <si>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</si>
  <si>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</si>
  <si>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</si>
  <si>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</si>
  <si>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</si>
  <si>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</si>
  <si>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</si>
  <si>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</si>
  <si>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</si>
  <si>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</si>
  <si>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</si>
  <si>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</si>
  <si>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</si>
  <si>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</si>
  <si>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</si>
  <si>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</si>
  <si>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</si>
  <si>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</si>
  <si>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</si>
  <si>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</si>
  <si>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</si>
  <si>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</si>
  <si>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</si>
  <si>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</si>
  <si>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</si>
  <si>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</si>
  <si>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</si>
  <si>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</si>
  <si>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</si>
  <si>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</si>
  <si>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</si>
  <si>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</si>
  <si>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</si>
  <si>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</si>
  <si>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</si>
  <si>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</si>
  <si>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</si>
  <si>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</si>
  <si>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</si>
  <si>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</si>
  <si>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</si>
  <si>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</si>
  <si>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</si>
  <si>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</si>
  <si>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</si>
  <si>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</si>
  <si>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</si>
  <si>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</si>
  <si>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</si>
  <si>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</si>
  <si>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</si>
  <si>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</si>
  <si>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</si>
  <si>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</si>
  <si>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</si>
  <si>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</si>
  <si>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</si>
  <si>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</si>
  <si>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</si>
  <si>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</si>
  <si>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</si>
  <si>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</si>
  <si>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</si>
  <si>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</si>
  <si>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</si>
  <si>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</si>
  <si>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</si>
  <si>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</si>
  <si>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</si>
  <si>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</si>
  <si>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</si>
  <si>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</si>
  <si>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</si>
  <si>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</si>
  <si>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</si>
  <si>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</si>
  <si>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</si>
  <si>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</si>
  <si>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</si>
  <si>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</si>
  <si>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</si>
  <si>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</si>
  <si>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</si>
  <si>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</si>
  <si>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</si>
  <si>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</si>
  <si>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</si>
  <si>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</si>
  <si>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</si>
  <si>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</si>
  <si>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</si>
  <si>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</si>
  <si>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</si>
  <si>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</si>
  <si>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</si>
  <si>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</si>
  <si>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</si>
  <si>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</si>
  <si>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</si>
  <si>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</si>
  <si>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</si>
  <si>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</si>
  <si>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</si>
  <si>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</si>
  <si>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</si>
  <si>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</si>
  <si>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</si>
  <si>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</si>
  <si>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</si>
  <si>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</si>
  <si>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</si>
  <si>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</si>
  <si>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</si>
  <si>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</si>
  <si>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</si>
  <si>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</si>
  <si>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</si>
  <si>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</si>
  <si>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</si>
  <si>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</si>
  <si>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</si>
  <si>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</si>
  <si>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</si>
  <si>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</si>
  <si>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</si>
  <si>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</si>
  <si>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</si>
  <si>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</si>
  <si>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</si>
  <si>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</si>
  <si>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</si>
  <si>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</si>
  <si>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</si>
  <si>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</si>
  <si>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</si>
  <si>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</si>
  <si>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</si>
  <si>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</si>
  <si>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</si>
  <si>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</si>
  <si>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</si>
  <si>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</si>
  <si>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</si>
  <si>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</si>
  <si>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</si>
  <si>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</si>
  <si>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</si>
  <si>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</si>
  <si>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</si>
  <si>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</si>
  <si>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</si>
  <si>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</si>
  <si>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</si>
  <si>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</si>
  <si>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</si>
  <si>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</si>
  <si>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</si>
  <si>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</si>
  <si>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</si>
  <si>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</si>
  <si>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</si>
  <si>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</si>
  <si>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</si>
  <si>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</si>
  <si>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</si>
  <si>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</si>
  <si>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</si>
  <si>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</si>
  <si>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</si>
  <si>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</si>
  <si>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</si>
  <si>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</si>
  <si>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</si>
  <si>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</si>
  <si>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</si>
  <si>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</si>
  <si>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</si>
  <si>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</si>
  <si>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</si>
  <si>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</si>
  <si>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</si>
  <si>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</si>
  <si>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</si>
  <si>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</si>
  <si>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</si>
  <si>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</si>
  <si>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</si>
  <si>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</si>
  <si>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</si>
  <si>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</si>
  <si>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</si>
  <si>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</si>
  <si>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</si>
  <si>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</si>
  <si>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</si>
  <si>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</si>
  <si>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</si>
  <si>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</si>
  <si>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</si>
  <si>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</si>
  <si>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</si>
  <si>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</si>
  <si>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</si>
  <si>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</si>
  <si>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</si>
  <si>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</si>
  <si>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</si>
  <si>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</si>
  <si>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</si>
  <si>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</si>
  <si>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</si>
  <si>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</si>
  <si>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</si>
  <si>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</si>
  <si>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</si>
  <si>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</si>
  <si>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</si>
  <si>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</si>
  <si>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</si>
  <si>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</si>
  <si>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</si>
  <si>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</si>
  <si>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</si>
  <si>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</si>
  <si>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</si>
  <si>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</si>
  <si>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</si>
  <si>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</si>
  <si>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</si>
  <si>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</si>
  <si>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</si>
  <si>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</si>
  <si>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</si>
  <si>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</si>
  <si>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</si>
  <si>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</si>
  <si>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</si>
  <si>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</si>
  <si>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</si>
  <si>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</si>
  <si>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</si>
  <si>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</si>
  <si>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</si>
  <si>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</si>
  <si>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</si>
  <si>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</si>
  <si>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</si>
  <si>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</si>
  <si>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</si>
  <si>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</si>
  <si>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</si>
  <si>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</si>
  <si>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</si>
  <si>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</si>
  <si>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</si>
  <si>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</si>
  <si>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</si>
  <si>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</si>
  <si>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</si>
  <si>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</si>
  <si>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</si>
  <si>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</si>
  <si>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</si>
  <si>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</si>
  <si>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</si>
  <si>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</si>
  <si>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</si>
  <si>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</si>
  <si>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</si>
  <si>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</si>
  <si>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</si>
  <si>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</si>
  <si>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</si>
  <si>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</si>
  <si>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</si>
  <si>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</si>
  <si>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</si>
  <si>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</si>
  <si>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</si>
  <si>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</si>
  <si>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</si>
  <si>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</si>
  <si>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</si>
  <si>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</si>
  <si>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</si>
  <si>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</si>
  <si>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</si>
  <si>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</si>
  <si>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</si>
  <si>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</si>
  <si>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</si>
  <si>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</si>
  <si>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</si>
  <si>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</si>
  <si>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</si>
  <si>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</si>
  <si>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</si>
  <si>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</si>
  <si>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</si>
  <si>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</si>
  <si>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</si>
  <si>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</si>
  <si>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</si>
  <si>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</si>
  <si>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</si>
  <si>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</si>
  <si>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</si>
  <si>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</si>
  <si>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</si>
  <si>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</si>
  <si>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</si>
  <si>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</si>
  <si>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</si>
  <si>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</si>
  <si>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</si>
  <si>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</si>
  <si>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</si>
  <si>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</si>
  <si>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</si>
  <si>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</si>
  <si>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</si>
  <si>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</si>
  <si>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</si>
  <si>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</si>
  <si>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</si>
  <si>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</si>
  <si>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</si>
  <si>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</si>
  <si>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</si>
  <si>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</si>
  <si>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</si>
  <si>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</si>
  <si>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</si>
  <si>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</si>
  <si>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</si>
  <si>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</si>
  <si>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</si>
  <si>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</si>
  <si>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</si>
  <si>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</si>
  <si>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</si>
  <si>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</si>
  <si>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</si>
  <si>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</si>
  <si>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</si>
  <si>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</si>
  <si>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</si>
  <si>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</si>
  <si>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</si>
  <si>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</si>
  <si>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</si>
  <si>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</si>
  <si>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</si>
  <si>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</si>
  <si>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</si>
  <si>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</si>
  <si>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</si>
  <si>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</si>
  <si>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</si>
  <si>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</si>
  <si>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</si>
  <si>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</si>
  <si>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</si>
  <si>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</si>
  <si>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</si>
  <si>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</si>
  <si>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</si>
  <si>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</si>
  <si>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</si>
  <si>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</si>
  <si>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</si>
  <si>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</si>
  <si>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</si>
  <si>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</si>
  <si>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</si>
  <si>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</si>
  <si>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</si>
  <si>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</si>
  <si>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</si>
  <si>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</si>
  <si>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</si>
  <si>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</si>
  <si>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</si>
  <si>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</si>
  <si>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</si>
  <si>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</si>
  <si>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</si>
  <si>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</si>
  <si>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</si>
  <si>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</si>
  <si>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</si>
  <si>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</si>
  <si>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</si>
  <si>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</si>
  <si>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</si>
  <si>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</si>
  <si>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</si>
  <si>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</si>
  <si>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</si>
  <si>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</si>
  <si>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</si>
  <si>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</si>
  <si>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</si>
  <si>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</si>
  <si>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</si>
  <si>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</si>
  <si>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</si>
  <si>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</si>
  <si>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</si>
  <si>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</si>
  <si>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</si>
  <si>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</si>
  <si>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</si>
  <si>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</si>
  <si>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</si>
  <si>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</si>
  <si>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</si>
  <si>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</si>
  <si>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</si>
  <si>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</si>
  <si>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</si>
  <si>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</si>
  <si>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</si>
  <si>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</si>
  <si>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</si>
  <si>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</si>
  <si>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</si>
  <si>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</si>
  <si>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</si>
  <si>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</si>
  <si>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</si>
  <si>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</si>
  <si>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</si>
  <si>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</si>
  <si>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</si>
  <si>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</si>
  <si>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</si>
  <si>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</si>
  <si>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</si>
  <si>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</si>
  <si>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</si>
  <si>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</si>
  <si>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</si>
  <si>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</si>
  <si>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</si>
  <si>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</si>
  <si>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</si>
  <si>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</si>
  <si>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</si>
  <si>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</si>
  <si>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</si>
  <si>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</si>
  <si>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</si>
  <si>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</si>
  <si>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</si>
  <si>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</si>
  <si>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</si>
  <si>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</si>
  <si>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</si>
  <si>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</si>
  <si>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</si>
  <si>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</si>
  <si>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</si>
  <si>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</si>
  <si>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</si>
  <si>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</si>
  <si>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</si>
  <si>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</si>
  <si>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</si>
  <si>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</si>
  <si>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</si>
  <si>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</si>
  <si>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</si>
  <si>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</si>
  <si>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</si>
  <si>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</si>
  <si>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</si>
  <si>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</si>
  <si>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</si>
  <si>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</si>
  <si>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</si>
  <si>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</si>
  <si>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</si>
  <si>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</si>
  <si>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</si>
  <si>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</si>
  <si>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</si>
  <si>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</si>
  <si>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</si>
  <si>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</si>
  <si>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</si>
  <si>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</si>
  <si>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</si>
  <si>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</si>
  <si>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</si>
  <si>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</si>
  <si>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</si>
  <si>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</si>
  <si>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</si>
  <si>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</si>
  <si>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</si>
  <si>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</si>
  <si>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</si>
  <si>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</si>
  <si>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</si>
  <si>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</si>
  <si>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</si>
  <si>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</si>
  <si>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</si>
  <si>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</si>
  <si>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</si>
  <si>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</si>
  <si>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</si>
  <si>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</si>
  <si>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</si>
  <si>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</si>
  <si>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</si>
  <si>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</si>
  <si>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</si>
  <si>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</si>
  <si>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</si>
  <si>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</si>
  <si>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</si>
  <si>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</si>
  <si>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</si>
  <si>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</si>
  <si>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</si>
  <si>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</si>
  <si>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</si>
  <si>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</si>
  <si>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</si>
  <si>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</si>
  <si>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</si>
  <si>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</si>
  <si>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</si>
  <si>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</si>
  <si>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</si>
  <si>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</si>
  <si>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</si>
  <si>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</si>
  <si>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</si>
  <si>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</si>
  <si>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</si>
  <si>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</si>
  <si>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</si>
  <si>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</si>
  <si>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</si>
  <si>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</si>
  <si>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</si>
  <si>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</si>
  <si>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</si>
  <si>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</si>
  <si>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</si>
  <si>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</si>
  <si>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</si>
  <si>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</si>
  <si>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</si>
  <si>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</si>
  <si>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</si>
  <si>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</si>
  <si>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</si>
  <si>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</si>
  <si>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</si>
  <si>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</si>
  <si>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</si>
  <si>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</si>
  <si>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</si>
  <si>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</si>
  <si>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</si>
  <si>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</si>
  <si>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</si>
  <si>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</si>
  <si>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</si>
  <si>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</si>
  <si>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</si>
  <si>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</si>
  <si>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</si>
  <si>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</si>
  <si>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</si>
  <si>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</si>
  <si>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</si>
  <si>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</si>
  <si>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</si>
  <si>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</si>
  <si>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</si>
  <si>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</si>
  <si>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</si>
  <si>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</si>
  <si>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</si>
  <si>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</si>
  <si>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</si>
  <si>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</si>
  <si>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</si>
  <si>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</si>
  <si>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</si>
  <si>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</si>
  <si>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</si>
  <si>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</si>
  <si>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</si>
  <si>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</si>
  <si>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</si>
  <si>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</si>
  <si>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</si>
  <si>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</si>
  <si>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</si>
  <si>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</si>
  <si>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</si>
  <si>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</si>
  <si>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</si>
  <si>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</si>
  <si>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</si>
  <si>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</si>
  <si>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</si>
  <si>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</si>
  <si>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</si>
  <si>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</si>
  <si>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</si>
  <si>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</si>
  <si>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</si>
  <si>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</si>
  <si>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</si>
  <si>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</si>
  <si>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</si>
  <si>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</si>
  <si>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</si>
  <si>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</si>
  <si>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</si>
  <si>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</si>
  <si>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</si>
  <si>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</si>
  <si>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</si>
  <si>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</si>
  <si>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</si>
  <si>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</si>
  <si>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</si>
  <si>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</si>
  <si>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</si>
  <si>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</si>
  <si>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</si>
  <si>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</si>
  <si>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</si>
  <si>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</si>
  <si>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</si>
  <si>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</si>
  <si>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</si>
  <si>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</si>
  <si>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</si>
  <si>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</si>
  <si>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</si>
  <si>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</si>
  <si>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</si>
  <si>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</si>
  <si>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</si>
  <si>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</si>
  <si>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</si>
  <si>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</si>
  <si>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</si>
  <si>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</si>
  <si>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</si>
  <si>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</si>
  <si>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</si>
  <si>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</si>
  <si>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</si>
  <si>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</si>
  <si>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</si>
  <si>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</si>
  <si>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</si>
  <si>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</si>
  <si>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</si>
  <si>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</si>
  <si>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</si>
  <si>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</si>
  <si>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</si>
  <si>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</si>
  <si>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</si>
  <si>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</si>
  <si>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</si>
  <si>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</si>
  <si>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</si>
  <si>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</si>
  <si>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</si>
  <si>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</si>
  <si>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</si>
  <si>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</si>
  <si>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</si>
  <si>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</si>
  <si>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</si>
  <si>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</si>
  <si>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</si>
  <si>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</si>
  <si>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</si>
  <si>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</si>
  <si>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</si>
  <si>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</si>
  <si>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</si>
  <si>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</si>
  <si>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</si>
  <si>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</si>
  <si>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</si>
  <si>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</si>
  <si>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</si>
  <si>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</si>
  <si>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</si>
  <si>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</si>
  <si>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</si>
  <si>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</si>
  <si>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</si>
  <si>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</si>
  <si>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</si>
  <si>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</si>
  <si>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</si>
  <si>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</si>
  <si>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</si>
  <si>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</si>
  <si>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</si>
  <si>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</si>
  <si>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</si>
  <si>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</si>
  <si>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</si>
  <si>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</si>
  <si>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</si>
  <si>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</si>
  <si>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</si>
  <si>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</si>
  <si>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</si>
  <si>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</si>
  <si>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</si>
  <si>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</si>
  <si>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</si>
  <si>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</si>
  <si>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</si>
  <si>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</si>
  <si>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</si>
  <si>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</si>
  <si>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</si>
  <si>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</si>
  <si>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</si>
  <si>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</si>
  <si>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</si>
  <si>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</si>
  <si>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</si>
  <si>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</si>
  <si>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</si>
  <si>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</si>
  <si>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</si>
  <si>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</si>
  <si>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</si>
  <si>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</si>
  <si>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</si>
  <si>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</si>
  <si>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</si>
  <si>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</si>
  <si>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</si>
  <si>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</si>
  <si>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</si>
  <si>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</si>
  <si>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</si>
  <si>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</si>
  <si>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</si>
  <si>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</si>
  <si>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</si>
  <si>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</si>
  <si>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</si>
  <si>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</si>
  <si>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</si>
  <si>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</si>
  <si>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</si>
  <si>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</si>
  <si>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</si>
  <si>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</si>
  <si>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</si>
  <si>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</si>
  <si>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</si>
  <si>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</si>
  <si>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</si>
  <si>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</si>
  <si>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</si>
  <si>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</si>
  <si>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</si>
  <si>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</si>
  <si>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</si>
  <si>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</si>
  <si>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</si>
  <si>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</si>
  <si>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</si>
  <si>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</si>
  <si>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</si>
  <si>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</si>
  <si>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</si>
  <si>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</si>
  <si>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</si>
  <si>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</si>
  <si>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</si>
  <si>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</si>
  <si>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</si>
  <si>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</si>
  <si>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</si>
  <si>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</si>
  <si>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</si>
  <si>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</si>
  <si>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</si>
  <si>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</si>
  <si>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</si>
  <si>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</si>
  <si>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</si>
  <si>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</si>
  <si>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</si>
  <si>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</si>
  <si>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</si>
  <si>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</si>
  <si>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</si>
  <si>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</si>
  <si>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</si>
  <si>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</si>
  <si>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</si>
  <si>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</si>
  <si>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</si>
  <si>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</si>
  <si>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</si>
  <si>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</si>
  <si>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</si>
  <si>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</si>
  <si>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</si>
  <si>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</si>
  <si>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</si>
  <si>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</si>
  <si>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</si>
  <si>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</si>
  <si>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</si>
  <si>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</si>
  <si>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</si>
  <si>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</si>
  <si>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</si>
  <si>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</si>
  <si>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</si>
  <si>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</si>
  <si>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</si>
  <si>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</si>
  <si>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</si>
  <si>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</si>
  <si>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</si>
  <si>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</si>
  <si>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</si>
  <si>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</si>
  <si>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</si>
  <si>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</si>
  <si>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</si>
  <si>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</si>
  <si>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</si>
  <si>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</si>
  <si>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</si>
  <si>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</si>
  <si>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</si>
  <si>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</si>
  <si>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</si>
  <si>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</si>
  <si>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</si>
  <si>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</si>
  <si>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</si>
  <si>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</si>
  <si>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</si>
  <si>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</si>
  <si>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</si>
  <si>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</si>
  <si>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</si>
  <si>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</si>
  <si>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</si>
  <si>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</si>
  <si>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</si>
  <si>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</si>
  <si>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</si>
  <si>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</si>
  <si>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</si>
  <si>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</si>
  <si>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</si>
  <si>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</si>
  <si>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</si>
  <si>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</si>
  <si>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</si>
  <si>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</si>
  <si>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</si>
  <si>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</si>
  <si>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</si>
  <si>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</si>
  <si>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</si>
  <si>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</si>
  <si>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</si>
  <si>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</si>
  <si>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</si>
  <si>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</si>
  <si>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</si>
  <si>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</si>
  <si>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</si>
  <si>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</si>
  <si>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</si>
  <si>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</si>
  <si>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</si>
  <si>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</si>
  <si>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</si>
  <si>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</si>
  <si>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</si>
  <si>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</si>
  <si>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</si>
  <si>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</si>
  <si>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</si>
  <si>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</si>
  <si>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</si>
  <si>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</si>
  <si>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</si>
  <si>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</si>
  <si>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</si>
  <si>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</si>
  <si>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</si>
  <si>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</si>
  <si>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</si>
  <si>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</si>
  <si>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</si>
  <si>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</si>
  <si>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</si>
  <si>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</si>
  <si>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</si>
  <si>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</si>
  <si>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</si>
  <si>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</si>
  <si>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</si>
  <si>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</si>
  <si>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</si>
  <si>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</si>
  <si>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</si>
  <si>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</si>
  <si>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</si>
  <si>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</si>
  <si>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</si>
  <si>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</si>
  <si>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</si>
  <si>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</si>
  <si>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</si>
  <si>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</si>
  <si>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</si>
  <si>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</si>
  <si>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</si>
  <si>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</si>
  <si>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</si>
  <si>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</si>
  <si>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</si>
  <si>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</si>
  <si>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</si>
  <si>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</si>
  <si>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</si>
  <si>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</si>
  <si>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</si>
  <si>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</si>
  <si>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</si>
  <si>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</si>
  <si>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</si>
  <si>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</si>
  <si>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</si>
  <si>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</si>
  <si>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</si>
  <si>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</si>
  <si>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</si>
  <si>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</si>
  <si>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</si>
  <si>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</si>
  <si>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</si>
  <si>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</si>
  <si>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</si>
  <si>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</si>
  <si>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</si>
  <si>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</si>
  <si>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</si>
  <si>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</si>
  <si>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</si>
  <si>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</si>
  <si>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</si>
  <si>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</si>
  <si>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</si>
  <si>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</si>
  <si>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</si>
  <si>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</si>
  <si>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</si>
  <si>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</si>
  <si>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</si>
  <si>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</si>
  <si>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</si>
  <si>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</si>
  <si>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</si>
  <si>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</si>
  <si>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</si>
  <si>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</si>
  <si>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</si>
  <si>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</si>
  <si>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</si>
  <si>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</si>
  <si>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</si>
  <si>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</si>
  <si>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</si>
  <si>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</si>
  <si>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</si>
  <si>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</si>
  <si>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</si>
  <si>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</si>
  <si>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</si>
  <si>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</si>
  <si>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</si>
  <si>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</si>
  <si>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</si>
  <si>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</si>
  <si>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</si>
  <si>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</si>
  <si>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</si>
  <si>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</si>
  <si>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</si>
  <si>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</si>
  <si>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</si>
  <si>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</si>
  <si>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</si>
  <si>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</si>
  <si>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</si>
  <si>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</si>
  <si>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</si>
  <si>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</si>
  <si>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</si>
  <si>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</si>
  <si>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</si>
  <si>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</si>
  <si>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</si>
  <si>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</si>
  <si>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</si>
  <si>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</si>
  <si>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</si>
  <si>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</si>
  <si>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</si>
  <si>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</si>
  <si>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</si>
  <si>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</si>
  <si>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</si>
  <si>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</si>
  <si>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</si>
  <si>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</si>
  <si>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</si>
  <si>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</si>
  <si>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</si>
  <si>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</si>
  <si>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</si>
  <si>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</si>
  <si>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</si>
  <si>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</si>
  <si>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</si>
  <si>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</si>
  <si>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</si>
  <si>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</si>
  <si>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</si>
  <si>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</si>
  <si>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</si>
  <si>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</si>
  <si>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</si>
  <si>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</si>
  <si>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</si>
  <si>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</si>
  <si>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</si>
  <si>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</si>
  <si>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</si>
  <si>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</si>
  <si>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</si>
  <si>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</si>
  <si>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</si>
  <si>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</si>
  <si>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</si>
  <si>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</si>
  <si>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</si>
  <si>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</si>
  <si>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</si>
  <si>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</si>
  <si>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</si>
  <si>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</si>
  <si>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</si>
  <si>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</si>
  <si>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</si>
  <si>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</si>
  <si>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</si>
  <si>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</si>
  <si>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</si>
  <si>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</si>
  <si>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</si>
  <si>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</si>
  <si>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</si>
  <si>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</si>
  <si>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</si>
  <si>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</si>
  <si>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</si>
  <si>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</si>
  <si>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</si>
  <si>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</si>
  <si>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</si>
  <si>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</si>
  <si>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</si>
  <si>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</si>
  <si>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</si>
  <si>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</si>
  <si>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</si>
  <si>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</si>
  <si>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</si>
  <si>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</si>
  <si>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</si>
  <si>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</si>
  <si>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</si>
  <si>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</si>
  <si>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</si>
  <si>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</si>
  <si>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</si>
  <si>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</si>
  <si>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</si>
  <si>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</si>
  <si>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</si>
  <si>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</si>
  <si>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</si>
  <si>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</si>
  <si>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</si>
  <si>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</si>
  <si>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</si>
  <si>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</si>
  <si>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</si>
  <si>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</si>
  <si>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</si>
  <si>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</si>
  <si>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</si>
  <si>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</si>
  <si>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</si>
  <si>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</si>
  <si>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</si>
  <si>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</si>
  <si>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</si>
  <si>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</si>
  <si>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</si>
  <si>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</si>
  <si>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</si>
  <si>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</si>
  <si>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</si>
  <si>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</si>
  <si>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</si>
  <si>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</si>
  <si>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</si>
  <si>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</si>
  <si>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</si>
  <si>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</si>
  <si>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</si>
  <si>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</si>
  <si>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</si>
  <si>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</si>
  <si>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</si>
  <si>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</si>
  <si>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</si>
  <si>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</si>
  <si>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</si>
  <si>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</si>
  <si>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</si>
  <si>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</si>
  <si>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</si>
  <si>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</si>
  <si>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</si>
  <si>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</si>
  <si>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</si>
  <si>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</si>
  <si>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</si>
  <si>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</si>
  <si>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</si>
  <si>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</si>
  <si>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</si>
  <si>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</si>
  <si>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</si>
  <si>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</si>
  <si>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</si>
  <si>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</si>
  <si>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</si>
  <si>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</si>
  <si>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</si>
  <si>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</si>
  <si>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</si>
  <si>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</si>
  <si>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</si>
  <si>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</si>
  <si>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</si>
  <si>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</si>
  <si>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</si>
  <si>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</si>
  <si>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</si>
  <si>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</si>
  <si>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</si>
  <si>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</si>
  <si>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</si>
  <si>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</si>
  <si>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</si>
  <si>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</si>
  <si>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</si>
  <si>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</si>
  <si>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</si>
  <si>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</si>
  <si>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</si>
  <si>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</si>
  <si>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</si>
  <si>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</si>
  <si>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</si>
  <si>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</si>
  <si>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</si>
  <si>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</si>
  <si>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</si>
  <si>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</si>
  <si>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</si>
  <si>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</si>
  <si>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</si>
  <si>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</si>
  <si>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</si>
  <si>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</si>
  <si>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</si>
  <si>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</si>
  <si>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</si>
  <si>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</si>
  <si>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</si>
  <si>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</si>
  <si>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</si>
  <si>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</si>
  <si>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</si>
  <si>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</si>
  <si>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</si>
  <si>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</si>
  <si>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</si>
  <si>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</si>
  <si>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</si>
  <si>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</si>
  <si>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</si>
  <si>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</si>
  <si>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</si>
  <si>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</si>
  <si>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</si>
  <si>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</si>
  <si>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</si>
  <si>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</si>
  <si>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</si>
  <si>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</si>
  <si>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</si>
  <si>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</si>
  <si>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</si>
  <si>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</si>
  <si>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</si>
  <si>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</si>
  <si>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</si>
  <si>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</si>
  <si>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</si>
  <si>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</si>
  <si>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</si>
  <si>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</si>
  <si>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</si>
  <si>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</si>
  <si>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</si>
  <si>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</si>
  <si>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</si>
  <si>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</si>
  <si>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</si>
  <si>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</si>
  <si>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</si>
  <si>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</si>
  <si>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</si>
  <si>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</si>
  <si>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</si>
  <si>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</si>
  <si>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</si>
  <si>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</si>
  <si>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</si>
  <si>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</si>
  <si>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</si>
  <si>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</si>
  <si>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</si>
  <si>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</si>
  <si>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</si>
  <si>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</si>
  <si>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</si>
  <si>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</si>
  <si>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</si>
  <si>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</si>
  <si>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</si>
  <si>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</si>
  <si>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</si>
  <si>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</si>
  <si>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</si>
  <si>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</si>
  <si>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</si>
  <si>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</si>
  <si>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</si>
  <si>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</si>
  <si>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</si>
  <si>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</si>
  <si>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</si>
  <si>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</si>
  <si>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</si>
  <si>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</si>
  <si>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</si>
  <si>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</si>
  <si>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</si>
  <si>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</si>
  <si>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</si>
  <si>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</si>
  <si>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</si>
  <si>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</si>
  <si>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</si>
  <si>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</si>
  <si>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</si>
  <si>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</si>
  <si>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</si>
  <si>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</si>
  <si>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</si>
  <si>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</si>
  <si>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</si>
  <si>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</si>
  <si>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</si>
  <si>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</si>
  <si>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</si>
  <si>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</si>
  <si>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</si>
  <si>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</si>
  <si>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</si>
  <si>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</si>
  <si>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</si>
  <si>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</si>
  <si>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</si>
  <si>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</si>
  <si>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</si>
  <si>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</si>
  <si>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</si>
  <si>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</si>
  <si>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</si>
  <si>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</si>
  <si>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</si>
  <si>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</si>
  <si>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</si>
  <si>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</si>
  <si>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</si>
  <si>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</si>
  <si>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</si>
  <si>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</si>
  <si>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</si>
  <si>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</si>
  <si>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</si>
  <si>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</si>
  <si>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</si>
  <si>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</si>
  <si>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</si>
  <si>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</si>
  <si>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</si>
  <si>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</si>
  <si>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</si>
  <si>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</si>
  <si>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</si>
  <si>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</si>
  <si>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</si>
  <si>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</si>
  <si>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</si>
  <si>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</si>
  <si>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</si>
  <si>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</si>
  <si>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</si>
  <si>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</si>
  <si>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</si>
  <si>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</si>
  <si>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</si>
  <si>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</si>
  <si>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</si>
  <si>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</si>
  <si>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</si>
  <si>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</si>
  <si>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</si>
  <si>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</si>
  <si>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</si>
  <si>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</si>
  <si>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</si>
  <si>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</si>
  <si>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</si>
  <si>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</si>
  <si>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</si>
  <si>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</si>
  <si>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</si>
  <si>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</si>
  <si>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</si>
  <si>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</si>
  <si>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</si>
  <si>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</si>
  <si>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</si>
  <si>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</si>
  <si>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</si>
  <si>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</si>
  <si>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</si>
  <si>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</si>
  <si>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</si>
  <si>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</si>
  <si>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</si>
  <si>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</si>
  <si>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</si>
  <si>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</si>
  <si>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</si>
  <si>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</si>
  <si>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</si>
  <si>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</si>
  <si>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</si>
  <si>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</si>
  <si>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</si>
  <si>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</si>
  <si>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</si>
  <si>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</si>
  <si>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</si>
  <si>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</si>
  <si>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</si>
  <si>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</si>
  <si>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</si>
  <si>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</si>
  <si>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</si>
  <si>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</si>
  <si>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</si>
  <si>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</si>
  <si>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</si>
  <si>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</si>
  <si>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</si>
  <si>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</si>
  <si>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</si>
  <si>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</si>
  <si>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</si>
  <si>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</si>
  <si>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</si>
  <si>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</si>
  <si>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</si>
  <si>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</si>
  <si>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</si>
  <si>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</si>
  <si>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</si>
  <si>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</si>
  <si>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</si>
  <si>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</si>
  <si>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</si>
  <si>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</si>
  <si>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</si>
  <si>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</si>
  <si>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</si>
  <si>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</si>
  <si>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</si>
  <si>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</si>
  <si>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</si>
  <si>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</si>
  <si>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</si>
  <si>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</si>
  <si>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</si>
  <si>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</si>
  <si>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</si>
  <si>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</si>
  <si>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</si>
  <si>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</si>
  <si>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</si>
  <si>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</si>
  <si>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</si>
  <si>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</si>
  <si>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</si>
  <si>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</si>
  <si>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</si>
  <si>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</si>
  <si>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</si>
  <si>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</si>
  <si>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</si>
  <si>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</si>
  <si>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</si>
  <si>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</si>
  <si>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</si>
  <si>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</si>
  <si>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</si>
  <si>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</si>
  <si>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</si>
  <si>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</si>
  <si>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</si>
  <si>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</si>
  <si>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</si>
  <si>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</si>
  <si>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</si>
  <si>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</si>
  <si>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</si>
  <si>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</si>
  <si>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</si>
  <si>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</si>
  <si>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</si>
  <si>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</si>
  <si>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</si>
  <si>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</si>
  <si>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</si>
  <si>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</si>
  <si>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</si>
  <si>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</si>
  <si>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</si>
  <si>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</si>
  <si>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</si>
  <si>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</si>
  <si>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</si>
  <si>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</si>
  <si>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</si>
  <si>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</si>
  <si>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</si>
  <si>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</si>
  <si>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</si>
  <si>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</si>
  <si>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</si>
  <si>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</si>
  <si>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</si>
  <si>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</si>
  <si>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</si>
  <si>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</si>
  <si>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</si>
  <si>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</si>
  <si>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</si>
  <si>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</si>
  <si>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</si>
  <si>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</si>
  <si>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</si>
  <si>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</si>
  <si>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</si>
  <si>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</si>
  <si>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</si>
  <si>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</si>
  <si>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</si>
  <si>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</si>
  <si>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</si>
  <si>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</si>
  <si>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</si>
  <si>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</si>
  <si>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</si>
  <si>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</si>
  <si>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</si>
  <si>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</si>
  <si>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</si>
  <si>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</si>
  <si>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</si>
  <si>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</si>
  <si>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</si>
  <si>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</si>
  <si>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</si>
  <si>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</si>
  <si>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</si>
  <si>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</si>
  <si>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</si>
  <si>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</si>
  <si>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</si>
  <si>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</si>
  <si>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</si>
  <si>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</si>
  <si>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</si>
  <si>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</si>
  <si>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</si>
  <si>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</si>
  <si>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</si>
  <si>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</si>
  <si>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</si>
  <si>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</si>
  <si>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</si>
  <si>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</si>
  <si>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</si>
  <si>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</si>
  <si>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</si>
  <si>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</si>
  <si>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</si>
  <si>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</si>
  <si>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</si>
  <si>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</si>
  <si>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</si>
  <si>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</si>
  <si>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</si>
  <si>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</si>
  <si>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</si>
  <si>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</si>
  <si>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</si>
  <si>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</si>
  <si>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</si>
  <si>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</si>
  <si>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</si>
  <si>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</si>
  <si>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</si>
  <si>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</si>
  <si>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</si>
  <si>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</si>
  <si>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</si>
  <si>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</si>
  <si>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</si>
  <si>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</si>
  <si>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</si>
  <si>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</si>
  <si>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</si>
  <si>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</si>
  <si>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</si>
  <si>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</si>
  <si>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</si>
  <si>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</si>
  <si>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</si>
  <si>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</si>
  <si>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</si>
  <si>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</si>
  <si>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</si>
  <si>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</si>
  <si>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</si>
  <si>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</si>
  <si>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</si>
  <si>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</si>
  <si>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</si>
  <si>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</si>
  <si>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</si>
  <si>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</si>
  <si>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</si>
  <si>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</si>
  <si>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</si>
  <si>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</si>
  <si>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</si>
  <si>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</si>
  <si>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</si>
  <si>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</si>
  <si>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</si>
  <si>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</si>
  <si>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</si>
  <si>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</si>
  <si>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</si>
  <si>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</si>
  <si>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</si>
  <si>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</si>
  <si>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</si>
  <si>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</si>
  <si>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</si>
  <si>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</si>
  <si>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</si>
  <si>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</si>
  <si>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</si>
  <si>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</si>
  <si>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</si>
  <si>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</si>
  <si>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</si>
  <si>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</si>
  <si>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</si>
  <si>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</si>
  <si>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</si>
  <si>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</si>
  <si>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</si>
  <si>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</si>
  <si>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</si>
  <si>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</si>
  <si>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</si>
  <si>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</si>
  <si>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</si>
  <si>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</si>
  <si>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</si>
  <si>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</si>
  <si>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</si>
  <si>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</si>
  <si>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</si>
  <si>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</si>
  <si>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</si>
  <si>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</si>
  <si>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</si>
  <si>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</si>
  <si>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</si>
  <si>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</si>
  <si>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</si>
  <si>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</si>
  <si>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</si>
  <si>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</si>
  <si>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</si>
  <si>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</si>
  <si>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</si>
  <si>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</si>
  <si>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</si>
  <si>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</si>
  <si>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</si>
  <si>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</si>
  <si>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</si>
  <si>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</si>
  <si>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</si>
  <si>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</si>
  <si>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</si>
  <si>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</si>
  <si>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</si>
  <si>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</si>
  <si>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</si>
  <si>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</si>
  <si>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</si>
  <si>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</si>
  <si>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</si>
  <si>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</si>
  <si>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</si>
  <si>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</si>
  <si>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</si>
  <si>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</si>
  <si>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</si>
  <si>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</si>
  <si>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</si>
  <si>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</si>
  <si>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</si>
  <si>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</si>
  <si>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</si>
  <si>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</si>
  <si>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</si>
  <si>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</si>
  <si>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</si>
  <si>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</si>
  <si>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</si>
  <si>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</si>
  <si>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</si>
  <si>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</si>
  <si>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</si>
  <si>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</si>
  <si>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</si>
  <si>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</si>
  <si>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</si>
  <si>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</si>
  <si>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</si>
  <si>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</si>
  <si>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</si>
  <si>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</si>
  <si>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</si>
  <si>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</si>
  <si>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</si>
  <si>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</si>
  <si>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</si>
  <si>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</si>
  <si>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</si>
  <si>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</si>
  <si>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</si>
  <si>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</si>
  <si>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</si>
  <si>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</si>
  <si>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</si>
  <si>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</si>
  <si>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</si>
  <si>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</si>
  <si>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</si>
  <si>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</si>
  <si>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</si>
  <si>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</si>
  <si>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</si>
  <si>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</si>
  <si>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</si>
  <si>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</si>
  <si>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</si>
  <si>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</si>
  <si>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</si>
  <si>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</si>
  <si>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</si>
  <si>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</si>
  <si>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</si>
  <si>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</si>
  <si>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</si>
  <si>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</si>
  <si>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</si>
  <si>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</si>
  <si>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</si>
  <si>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</si>
  <si>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</si>
  <si>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</si>
  <si>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</si>
  <si>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</si>
  <si>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</si>
  <si>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</si>
  <si>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</si>
  <si>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</si>
  <si>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</si>
  <si>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</si>
  <si>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</si>
  <si>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</si>
  <si>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</si>
  <si>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</si>
  <si>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</si>
  <si>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</si>
  <si>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</si>
  <si>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</si>
  <si>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</si>
  <si>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</si>
  <si>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</si>
  <si>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</si>
  <si>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</si>
  <si>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</si>
  <si>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</si>
  <si>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</si>
  <si>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</si>
  <si>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</si>
  <si>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</si>
  <si>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</si>
  <si>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</si>
  <si>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</si>
  <si>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</si>
  <si>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</si>
  <si>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</si>
  <si>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</si>
  <si>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</si>
  <si>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</si>
  <si>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</si>
  <si>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</si>
  <si>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</si>
  <si>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</si>
  <si>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</si>
  <si>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</si>
  <si>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</si>
  <si>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</si>
  <si>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</si>
  <si>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</si>
  <si>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</si>
  <si>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</si>
  <si>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</si>
  <si>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</si>
  <si>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</si>
  <si>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</si>
  <si>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</si>
  <si>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</si>
  <si>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</si>
  <si>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</si>
  <si>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</si>
  <si>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</si>
  <si>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</si>
  <si>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</si>
  <si>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</si>
  <si>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</si>
  <si>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</si>
  <si>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</si>
  <si>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</si>
  <si>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</si>
  <si>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</si>
  <si>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</si>
  <si>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</si>
  <si>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</si>
  <si>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</si>
  <si>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</si>
  <si>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</si>
  <si>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</si>
  <si>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</si>
  <si>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</si>
  <si>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</si>
  <si>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</si>
  <si>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</si>
  <si>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</si>
  <si>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</si>
  <si>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</si>
  <si>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</si>
  <si>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</si>
  <si>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</si>
  <si>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</si>
  <si>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</si>
  <si>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</si>
  <si>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</si>
  <si>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</si>
  <si>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</si>
  <si>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</si>
  <si>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</si>
  <si>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</si>
  <si>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</si>
  <si>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</si>
  <si>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</si>
  <si>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</si>
  <si>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</si>
  <si>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</si>
  <si>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</si>
  <si>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</si>
  <si>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</si>
  <si>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</si>
  <si>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</si>
  <si>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</si>
  <si>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</si>
  <si>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</si>
  <si>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</si>
  <si>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</si>
  <si>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</si>
  <si>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</si>
  <si>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</si>
  <si>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</si>
  <si>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</si>
  <si>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</si>
  <si>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</si>
  <si>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</si>
  <si>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</si>
  <si>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北京居然之家投资控股集团有限公司</t>
    <phoneticPr fontId="6" type="noConversion"/>
  </si>
  <si>
    <t>工商银行</t>
    <phoneticPr fontId="3" type="noConversion"/>
  </si>
  <si>
    <t>抵押</t>
  </si>
  <si>
    <t>房地产抵押价值</t>
  </si>
  <si>
    <t>北京市</t>
  </si>
  <si>
    <t>出让</t>
  </si>
  <si>
    <t>企业</t>
  </si>
  <si>
    <r>
      <rPr>
        <sz val="12"/>
        <color theme="9" tint="-0.249977111117893"/>
        <rFont val="宋体"/>
        <family val="3"/>
        <charset val="134"/>
      </rPr>
      <t>东城区东直门南大街甲</t>
    </r>
    <r>
      <rPr>
        <sz val="12"/>
        <color theme="9" tint="-0.249977111117893"/>
        <rFont val="Arial"/>
        <family val="2"/>
      </rPr>
      <t>3</t>
    </r>
    <r>
      <rPr>
        <sz val="12"/>
        <color theme="9" tint="-0.249977111117893"/>
        <rFont val="宋体"/>
        <family val="3"/>
        <charset val="134"/>
      </rPr>
      <t>号办公楼、车库用房房地产</t>
    </r>
    <phoneticPr fontId="6" type="noConversion"/>
  </si>
  <si>
    <t>办公、地下车库</t>
    <phoneticPr fontId="3" type="noConversion"/>
  </si>
  <si>
    <t>办公及车库36.5年</t>
    <phoneticPr fontId="3" type="noConversion"/>
  </si>
  <si>
    <t>《房屋所有权证》[X京房权证东股字第009690号]</t>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</si>
  <si>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2005</t>
    </r>
    <r>
      <rPr>
        <sz val="12"/>
        <color theme="9" tint="-0.249977111117893"/>
        <rFont val="宋体"/>
        <family val="3"/>
        <charset val="134"/>
      </rPr>
      <t>出）第更</t>
    </r>
    <r>
      <rPr>
        <sz val="12"/>
        <color theme="9" tint="-0.249977111117893"/>
        <rFont val="Arial"/>
        <family val="2"/>
      </rPr>
      <t>0018</t>
    </r>
    <r>
      <rPr>
        <sz val="12"/>
        <color theme="9" tint="-0.249977111117893"/>
        <rFont val="宋体"/>
        <family val="3"/>
        <charset val="134"/>
      </rPr>
      <t>号</t>
    </r>
    <r>
      <rPr>
        <sz val="12"/>
        <color theme="9" tint="-0.249977111117893"/>
        <rFont val="Arial"/>
        <family val="2"/>
      </rPr>
      <t>]</t>
    </r>
    <phoneticPr fontId="3" type="noConversion"/>
  </si>
  <si>
    <t>原件</t>
  </si>
  <si>
    <t>是</t>
  </si>
  <si>
    <t>办公项目</t>
  </si>
  <si>
    <t>无</t>
  </si>
  <si>
    <t>否</t>
  </si>
  <si>
    <t>现房</t>
  </si>
  <si>
    <t>通路</t>
  </si>
  <si>
    <t>通电</t>
  </si>
  <si>
    <t>通上水</t>
  </si>
  <si>
    <t>通下水</t>
  </si>
  <si>
    <t>通讯</t>
  </si>
  <si>
    <t>其他</t>
  </si>
  <si>
    <t>车库</t>
  </si>
  <si>
    <t>自行车库</t>
  </si>
  <si>
    <t>商业服务</t>
  </si>
  <si>
    <t>办公楼</t>
  </si>
  <si>
    <t>地上</t>
  </si>
  <si>
    <t>地下</t>
  </si>
  <si>
    <t>车库—办公</t>
  </si>
  <si>
    <t>办公自用</t>
    <phoneticPr fontId="3" type="noConversion"/>
  </si>
  <si>
    <t>地下车库</t>
    <phoneticPr fontId="3" type="noConversion"/>
  </si>
  <si>
    <t>办公出租</t>
    <phoneticPr fontId="3" type="noConversion"/>
  </si>
  <si>
    <t>周边有东环广场、东方银座等写字楼，办公聚集度较好。</t>
  </si>
  <si>
    <t>估价对象周边道路状况、周边有24、106、117路及地铁2号、13号、机场线，综合评价交通便捷度好</t>
  </si>
  <si>
    <t>周边有银行、购物场所、餐饮等配套设施，公共服务设施状况较好。</t>
  </si>
  <si>
    <t>七通</t>
  </si>
  <si>
    <t>区域自然环境：南馆公园、工人体育馆；人文环境：保利艺术博物馆、自来水博物馆；综合评价环境状况较好</t>
  </si>
  <si>
    <t>快速路——东二环</t>
  </si>
  <si>
    <t>售价</t>
  </si>
  <si>
    <t>收益法车</t>
  </si>
  <si>
    <t>收益法车</t>
    <phoneticPr fontId="16" type="noConversion"/>
  </si>
  <si>
    <t>收益法租</t>
  </si>
  <si>
    <t>收益法租</t>
    <phoneticPr fontId="16" type="noConversion"/>
  </si>
  <si>
    <t>收益法自</t>
  </si>
  <si>
    <t>收益法自</t>
    <phoneticPr fontId="16" type="noConversion"/>
  </si>
  <si>
    <t>收益法（汇总）</t>
  </si>
  <si>
    <t>收益法（汇总）</t>
    <phoneticPr fontId="16" type="noConversion"/>
  </si>
  <si>
    <t>办公出租</t>
  </si>
  <si>
    <t>押一</t>
  </si>
  <si>
    <t>钢混</t>
  </si>
  <si>
    <t>非生产用房</t>
  </si>
  <si>
    <t>办公自用</t>
  </si>
  <si>
    <t>居然大厦</t>
    <phoneticPr fontId="3" type="noConversion"/>
  </si>
  <si>
    <t>银河soho</t>
    <phoneticPr fontId="3" type="noConversion"/>
  </si>
  <si>
    <t>东城区东直门南大街甲3号</t>
    <phoneticPr fontId="3" type="noConversion"/>
  </si>
  <si>
    <t>东四十条西南角</t>
    <phoneticPr fontId="3" type="noConversion"/>
  </si>
  <si>
    <t>正常</t>
    <phoneticPr fontId="3" type="noConversion"/>
  </si>
  <si>
    <t>办公</t>
    <phoneticPr fontId="3" type="noConversion"/>
  </si>
  <si>
    <t>30-40（含）</t>
  </si>
  <si>
    <t>40-50（含）</t>
  </si>
  <si>
    <t>较好</t>
  </si>
  <si>
    <t>好</t>
  </si>
  <si>
    <t>城市快速路——东二环</t>
    <phoneticPr fontId="3" type="noConversion"/>
  </si>
  <si>
    <t>快速路</t>
  </si>
  <si>
    <t>东</t>
  </si>
  <si>
    <t>标准写字楼</t>
  </si>
  <si>
    <t>精装修</t>
  </si>
  <si>
    <t>甲级</t>
  </si>
  <si>
    <t>专业</t>
  </si>
  <si>
    <t>六通</t>
  </si>
  <si>
    <t>标准层高</t>
  </si>
  <si>
    <t>估价对象周边道路状况、周边有24、106、117路及地铁2号、6号，综合评价交通便捷度较好</t>
    <phoneticPr fontId="3" type="noConversion"/>
  </si>
  <si>
    <t>低区</t>
  </si>
  <si>
    <r>
      <rPr>
        <sz val="11"/>
        <rFont val="楷体_GB2312"/>
        <family val="3"/>
        <charset val="134"/>
      </rPr>
      <t>项目位置</t>
    </r>
    <phoneticPr fontId="3" type="noConversion"/>
  </si>
  <si>
    <r>
      <rPr>
        <sz val="11"/>
        <color indexed="8"/>
        <rFont val="楷体_GB2312"/>
        <family val="3"/>
        <charset val="134"/>
      </rPr>
      <t>正常</t>
    </r>
    <phoneticPr fontId="3" type="noConversion"/>
  </si>
  <si>
    <r>
      <rPr>
        <sz val="11"/>
        <color indexed="8"/>
        <rFont val="楷体_GB2312"/>
        <family val="3"/>
        <charset val="134"/>
      </rPr>
      <t>车库</t>
    </r>
    <phoneticPr fontId="3" type="noConversion"/>
  </si>
  <si>
    <r>
      <rPr>
        <sz val="11"/>
        <color indexed="8"/>
        <rFont val="楷体_GB2312"/>
        <family val="3"/>
        <charset val="134"/>
      </rPr>
      <t>车库</t>
    </r>
  </si>
  <si>
    <r>
      <rPr>
        <sz val="11"/>
        <rFont val="楷体_GB2312"/>
        <family val="3"/>
        <charset val="134"/>
      </rPr>
      <t>一般</t>
    </r>
  </si>
  <si>
    <t>一般</t>
  </si>
  <si>
    <t>区域自然环境：庆丰公园；人文环境：；综合评价环境状况一般</t>
    <phoneticPr fontId="3" type="noConversion"/>
  </si>
  <si>
    <t>住宅</t>
  </si>
  <si>
    <r>
      <rPr>
        <sz val="11"/>
        <rFont val="楷体_GB2312"/>
        <family val="3"/>
        <charset val="134"/>
      </rPr>
      <t>普通装修</t>
    </r>
  </si>
  <si>
    <r>
      <rPr>
        <sz val="11"/>
        <color indexed="8"/>
        <rFont val="楷体_GB2312"/>
        <family val="3"/>
        <charset val="134"/>
      </rPr>
      <t>甲级</t>
    </r>
  </si>
  <si>
    <r>
      <rPr>
        <sz val="11"/>
        <rFont val="楷体_GB2312"/>
        <family val="3"/>
        <charset val="134"/>
      </rPr>
      <t>平面车位</t>
    </r>
  </si>
  <si>
    <t>周边有银行、购物场所、餐饮等配套设施，公共服务设施状况较好。</t>
    <phoneticPr fontId="3" type="noConversion"/>
  </si>
  <si>
    <r>
      <rPr>
        <sz val="11"/>
        <rFont val="楷体_GB2312"/>
        <family val="3"/>
        <charset val="134"/>
      </rPr>
      <t>较好</t>
    </r>
  </si>
  <si>
    <r>
      <rPr>
        <sz val="11"/>
        <rFont val="楷体_GB2312"/>
        <family val="3"/>
        <charset val="134"/>
      </rPr>
      <t>住宅</t>
    </r>
  </si>
  <si>
    <t>平面车位</t>
  </si>
  <si>
    <t>新保利大厦</t>
    <phoneticPr fontId="3" type="noConversion"/>
  </si>
  <si>
    <t>建国门7号</t>
    <phoneticPr fontId="3" type="noConversion"/>
  </si>
  <si>
    <t>20-30（含）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</si>
  <si>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</si>
  <si>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</si>
  <si>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</si>
  <si>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</si>
  <si>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</si>
  <si>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</si>
  <si>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</si>
  <si>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</si>
  <si>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</si>
  <si>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</si>
  <si>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</si>
  <si>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</si>
  <si>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</si>
  <si>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</si>
  <si>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</si>
  <si>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</si>
  <si>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</si>
  <si>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</si>
  <si>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</si>
  <si>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</si>
  <si>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</si>
  <si>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</si>
  <si>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</si>
  <si>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</si>
  <si>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</si>
  <si>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</si>
  <si>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</si>
  <si>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</si>
  <si>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</si>
  <si>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</si>
  <si>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</si>
  <si>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</si>
  <si>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</si>
  <si>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</si>
  <si>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</si>
  <si>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</si>
  <si>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</si>
  <si>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100-200</t>
    <phoneticPr fontId="3" type="noConversion"/>
  </si>
  <si>
    <t>200-300</t>
    <phoneticPr fontId="3" type="noConversion"/>
  </si>
  <si>
    <t>300-400</t>
    <phoneticPr fontId="3" type="noConversion"/>
  </si>
  <si>
    <t>400-500</t>
    <phoneticPr fontId="3" type="noConversion"/>
  </si>
  <si>
    <t>中区</t>
  </si>
  <si>
    <t>楼层</t>
    <phoneticPr fontId="3" type="noConversion"/>
  </si>
  <si>
    <t>典型户型修正</t>
  </si>
  <si>
    <t>典型户型修正</t>
    <phoneticPr fontId="16" type="noConversion"/>
  </si>
  <si>
    <t>结果表-3</t>
    <phoneticPr fontId="3" type="noConversion"/>
  </si>
  <si>
    <t>抵押物名称</t>
  </si>
  <si>
    <t>(规划)建筑面积</t>
    <phoneticPr fontId="3" type="noConversion"/>
  </si>
  <si>
    <t>(分摊)土地面积</t>
    <phoneticPr fontId="3" type="noConversion"/>
  </si>
  <si>
    <t>出让国有建设用地使用权价值</t>
  </si>
  <si>
    <t>在建建筑物价值</t>
  </si>
  <si>
    <t>房地产价值</t>
  </si>
  <si>
    <t>总 价</t>
  </si>
  <si>
    <t>楼面单价</t>
    <phoneticPr fontId="3" type="noConversion"/>
  </si>
  <si>
    <t>楼面单价</t>
  </si>
  <si>
    <t>大写金额</t>
  </si>
  <si>
    <t xml:space="preserve"> </t>
    <phoneticPr fontId="143" type="noConversion"/>
  </si>
  <si>
    <t>单位：平方米、万元、元/平方米（币种：人民币）</t>
    <phoneticPr fontId="3" type="noConversion"/>
  </si>
  <si>
    <t>测算中的特殊事项处理</t>
    <phoneticPr fontId="3" type="noConversion"/>
  </si>
  <si>
    <t xml:space="preserve">  </t>
    <phoneticPr fontId="143" type="noConversion"/>
  </si>
  <si>
    <t xml:space="preserve">   </t>
    <phoneticPr fontId="143" type="noConversion"/>
  </si>
  <si>
    <t xml:space="preserve">测算人员：      </t>
    <phoneticPr fontId="3" type="noConversion"/>
  </si>
  <si>
    <t xml:space="preserve"> 日期：  年  月  日</t>
    <phoneticPr fontId="3" type="noConversion"/>
  </si>
  <si>
    <t xml:space="preserve">初审意见：      </t>
    <phoneticPr fontId="3" type="noConversion"/>
  </si>
  <si>
    <t>签字：                    日期：  年  月  日</t>
    <phoneticPr fontId="3" type="noConversion"/>
  </si>
  <si>
    <t xml:space="preserve">终审意见：      </t>
    <phoneticPr fontId="3" type="noConversion"/>
  </si>
  <si>
    <t>收益比率</t>
  </si>
  <si>
    <t>比较法-车位</t>
  </si>
  <si>
    <t>商业</t>
    <phoneticPr fontId="3" type="noConversion"/>
  </si>
  <si>
    <t>项目位置</t>
  </si>
  <si>
    <t>区域自然环境：团结湖公园；人文环境：民俗博物馆；综合评价环境状况较好</t>
    <phoneticPr fontId="3" type="noConversion"/>
  </si>
  <si>
    <t>普通装修</t>
  </si>
  <si>
    <t>办公</t>
    <phoneticPr fontId="32" type="noConversion"/>
  </si>
  <si>
    <t>住宅</t>
    <phoneticPr fontId="32"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</si>
  <si>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</si>
  <si>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</si>
  <si>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rFont val="楷体_GB2312"/>
        <family val="3"/>
        <charset val="134"/>
      </rPr>
      <t>是</t>
    </r>
    <phoneticPr fontId="3" type="noConversion"/>
  </si>
  <si>
    <r>
      <rPr>
        <sz val="11"/>
        <rFont val="楷体_GB2312"/>
        <family val="3"/>
        <charset val="134"/>
      </rPr>
      <t>否</t>
    </r>
    <phoneticPr fontId="3"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</si>
  <si>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</si>
  <si>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</si>
  <si>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t>1:1</t>
    <phoneticPr fontId="3" type="noConversion"/>
  </si>
  <si>
    <t>1:1.5</t>
    <phoneticPr fontId="3" type="noConversion"/>
  </si>
  <si>
    <t>1:2</t>
    <phoneticPr fontId="3" type="noConversion"/>
  </si>
  <si>
    <t>1:3</t>
    <phoneticPr fontId="3" type="noConversion"/>
  </si>
  <si>
    <t>北京市东城区东直门南大街甲3号办公、地下车库用房房地产</t>
    <phoneticPr fontId="143" type="noConversion"/>
  </si>
  <si>
    <t xml:space="preserve"> </t>
    <phoneticPr fontId="6" type="noConversion"/>
  </si>
  <si>
    <t>光华长安大厦</t>
    <phoneticPr fontId="3" type="noConversion"/>
  </si>
  <si>
    <t>周边有恒基中心、中粮广场等写字楼，办公聚集度好。</t>
    <phoneticPr fontId="3" type="noConversion"/>
  </si>
  <si>
    <r>
      <rPr>
        <sz val="11"/>
        <rFont val="宋体"/>
        <family val="3"/>
        <charset val="134"/>
      </rPr>
      <t>估价对象周边道路状况、周边有</t>
    </r>
    <r>
      <rPr>
        <sz val="11"/>
        <rFont val="Arial"/>
        <family val="2"/>
      </rPr>
      <t>24</t>
    </r>
    <r>
      <rPr>
        <sz val="11"/>
        <rFont val="宋体"/>
        <family val="3"/>
        <charset val="134"/>
      </rPr>
      <t>、</t>
    </r>
    <r>
      <rPr>
        <sz val="11"/>
        <rFont val="Arial"/>
        <family val="2"/>
      </rPr>
      <t>106</t>
    </r>
    <r>
      <rPr>
        <sz val="11"/>
        <rFont val="宋体"/>
        <family val="3"/>
        <charset val="134"/>
      </rPr>
      <t>、</t>
    </r>
    <r>
      <rPr>
        <sz val="11"/>
        <rFont val="Arial"/>
        <family val="2"/>
      </rPr>
      <t>117</t>
    </r>
    <r>
      <rPr>
        <sz val="11"/>
        <rFont val="宋体"/>
        <family val="3"/>
        <charset val="134"/>
      </rPr>
      <t>路及地铁</t>
    </r>
    <r>
      <rPr>
        <sz val="11"/>
        <rFont val="Arial"/>
        <family val="2"/>
      </rPr>
      <t>1</t>
    </r>
    <r>
      <rPr>
        <sz val="11"/>
        <rFont val="宋体"/>
        <family val="3"/>
        <charset val="134"/>
      </rPr>
      <t>、</t>
    </r>
    <r>
      <rPr>
        <sz val="11"/>
        <rFont val="Arial"/>
        <family val="2"/>
      </rPr>
      <t>2</t>
    </r>
    <r>
      <rPr>
        <sz val="11"/>
        <rFont val="宋体"/>
        <family val="3"/>
        <charset val="134"/>
      </rPr>
      <t>号、</t>
    </r>
    <r>
      <rPr>
        <sz val="11"/>
        <rFont val="Arial"/>
        <family val="2"/>
      </rPr>
      <t>10</t>
    </r>
    <r>
      <rPr>
        <sz val="11"/>
        <rFont val="宋体"/>
        <family val="3"/>
        <charset val="134"/>
      </rPr>
      <t>号线，综合评价交通便捷度好</t>
    </r>
    <phoneticPr fontId="32" type="noConversion"/>
  </si>
  <si>
    <t>区域自然环境：日坛公园；人文环境：海关博物馆、邮票邮政博物馆；综合评价环境状况较好</t>
    <phoneticPr fontId="32" type="noConversion"/>
  </si>
  <si>
    <t>周边有中汇广场、保利大厦等写字楼，办公聚集度较好。</t>
    <phoneticPr fontId="3" type="noConversion"/>
  </si>
  <si>
    <t>估价对象周边道路状况、周边有24、106、117路及地铁2号、13号、机场线，综合评价交通便捷度好</t>
    <phoneticPr fontId="32" type="noConversion"/>
  </si>
  <si>
    <t>区域自然环境：南馆公园、工人体育馆；人文环境：保利艺术博物馆、自来水博物馆；综合评价环境状况较好</t>
    <phoneticPr fontId="32" type="noConversion"/>
  </si>
  <si>
    <t>周边有昆泰国际大厦、悠唐国际等写字楼，办公聚集度较好。</t>
    <phoneticPr fontId="3" type="noConversion"/>
  </si>
  <si>
    <t>小牌坊胡同甲七号</t>
    <phoneticPr fontId="3" type="noConversion"/>
  </si>
  <si>
    <t>21/05/19</t>
  </si>
  <si>
    <t>估价对象周边道路状况、周边有547、471路及地铁15号线，综合评价交通便捷度一般</t>
    <phoneticPr fontId="3" type="noConversion"/>
  </si>
  <si>
    <t>周边有银行、购物场所、餐饮等配套设施，公共服务设施状况一般。</t>
    <phoneticPr fontId="3" type="noConversion"/>
  </si>
  <si>
    <t>估价对象周边道路状况、周边有9、98、619路多条公交及地铁6号、10号线，综合评价交通便捷度较好</t>
    <phoneticPr fontId="3" type="noConversion"/>
  </si>
  <si>
    <t>远洋万和公馆</t>
    <phoneticPr fontId="3" type="noConversion"/>
  </si>
  <si>
    <t>财富购物中心</t>
    <phoneticPr fontId="32" type="noConversion"/>
  </si>
  <si>
    <t>优品国际公寓</t>
    <phoneticPr fontId="3" type="noConversion"/>
  </si>
  <si>
    <t>区域自然环境：庆丰公园；人文环境：；综合评价环境状况一般</t>
    <phoneticPr fontId="3" type="noConversion"/>
  </si>
  <si>
    <t>估价对象周边道路状况、周边有29、34、674路多条公交及地铁7号、14号线，综合评价交通便捷度较好</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</si>
</sst>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
      <sz val="11"/>
      <name val="楷体_GB2312"/>
      <family val="3"/>
      <charset val="134"/>
    </font>
    <font>
      <b/>
      <sz val="11"/>
      <color indexed="8"/>
      <name val="楷体_GB2312"/>
      <family val="3"/>
      <charset val="134"/>
    </font>
    <font>
      <b/>
      <sz val="12"/>
      <color rgb="FFFF0000"/>
      <name val="楷体_GB2312"/>
      <family val="3"/>
      <charset val="134"/>
    </font>
    <font>
      <b/>
      <sz val="16"/>
      <color indexed="8"/>
      <name val="楷体_GB2312"/>
      <family val="3"/>
      <charset val="134"/>
    </font>
    <font>
      <b/>
      <sz val="10"/>
      <color indexed="8"/>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1" xfId="0" applyNumberFormat="1" applyFont="1" applyFill="1" applyBorder="1" applyAlignment="1" applyProtection="1">
      <alignment horizontal="center" vertical="center" shrinkToFit="1"/>
      <protection locked="0"/>
    </xf>
    <xf numFmtId="0" fontId="256" fillId="5" borderId="1"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1"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0" fontId="50" fillId="8" borderId="1" xfId="1" applyNumberFormat="1" applyFont="1" applyFill="1" applyBorder="1" applyAlignment="1" applyProtection="1">
      <alignment horizontal="center" vertical="center"/>
      <protection locked="0"/>
    </xf>
    <xf numFmtId="0" fontId="50" fillId="8" borderId="23" xfId="0" applyFont="1" applyFill="1" applyBorder="1" applyAlignment="1" applyProtection="1">
      <alignment vertical="center"/>
      <protection locked="0"/>
    </xf>
    <xf numFmtId="0" fontId="47" fillId="8" borderId="23" xfId="0"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179" fontId="47" fillId="8" borderId="23" xfId="0"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49" fontId="104" fillId="0" borderId="10" xfId="0" applyNumberFormat="1" applyFont="1" applyFill="1" applyBorder="1" applyAlignment="1" applyProtection="1">
      <alignment horizontal="center" vertical="center" wrapText="1"/>
      <protection locked="0"/>
    </xf>
    <xf numFmtId="49" fontId="104" fillId="0" borderId="24" xfId="0" applyNumberFormat="1" applyFont="1" applyFill="1" applyBorder="1" applyAlignment="1" applyProtection="1">
      <alignment horizontal="center" vertical="center" wrapText="1"/>
      <protection locked="0"/>
    </xf>
    <xf numFmtId="0" fontId="104" fillId="0" borderId="24" xfId="0" applyFont="1" applyBorder="1" applyAlignment="1" applyProtection="1">
      <alignment horizontal="center" vertical="center" wrapText="1"/>
      <protection locked="0"/>
    </xf>
    <xf numFmtId="0" fontId="104" fillId="0" borderId="49" xfId="0" applyFont="1" applyBorder="1" applyAlignment="1" applyProtection="1">
      <alignment horizontal="center" vertical="center"/>
      <protection locked="0"/>
    </xf>
    <xf numFmtId="49" fontId="22" fillId="2" borderId="26" xfId="0" applyNumberFormat="1" applyFont="1" applyFill="1" applyBorder="1" applyAlignment="1" applyProtection="1">
      <alignment horizontal="center" vertical="center" wrapText="1"/>
      <protection locked="0"/>
    </xf>
    <xf numFmtId="0" fontId="22" fillId="0" borderId="51" xfId="0" applyNumberFormat="1" applyFont="1" applyFill="1" applyBorder="1" applyAlignment="1" applyProtection="1">
      <alignment horizontal="center" vertical="center" wrapText="1"/>
      <protection locked="0"/>
    </xf>
    <xf numFmtId="49" fontId="22" fillId="2" borderId="23" xfId="0" applyNumberFormat="1" applyFont="1" applyFill="1" applyBorder="1" applyAlignment="1" applyProtection="1">
      <alignment horizontal="center" vertical="center" wrapText="1"/>
      <protection locked="0"/>
    </xf>
    <xf numFmtId="184" fontId="22" fillId="0" borderId="26" xfId="0" applyNumberFormat="1" applyFont="1" applyFill="1" applyBorder="1" applyAlignment="1" applyProtection="1">
      <alignment horizontal="center" vertical="center" wrapText="1"/>
      <protection locked="0"/>
    </xf>
    <xf numFmtId="49" fontId="22" fillId="2" borderId="30" xfId="0" applyNumberFormat="1" applyFont="1" applyFill="1" applyBorder="1" applyAlignment="1" applyProtection="1">
      <alignment horizontal="center" vertical="center" wrapText="1"/>
      <protection locked="0"/>
    </xf>
    <xf numFmtId="49" fontId="22" fillId="2" borderId="3"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49" fontId="257" fillId="0" borderId="39" xfId="0" applyNumberFormat="1" applyFont="1" applyFill="1" applyBorder="1" applyAlignment="1" applyProtection="1">
      <alignment horizontal="center" vertical="center" wrapText="1"/>
      <protection locked="0"/>
    </xf>
    <xf numFmtId="0" fontId="257" fillId="2" borderId="7"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7" fillId="2" borderId="35" xfId="0" applyNumberFormat="1" applyFont="1" applyFill="1" applyBorder="1" applyAlignment="1" applyProtection="1">
      <alignment horizontal="center" vertical="center" wrapText="1"/>
      <protection locked="0"/>
    </xf>
    <xf numFmtId="49" fontId="257" fillId="0" borderId="11" xfId="0" applyNumberFormat="1" applyFont="1" applyFill="1" applyBorder="1" applyAlignment="1" applyProtection="1">
      <alignment horizontal="center" vertical="center" wrapText="1"/>
      <protection locked="0"/>
    </xf>
    <xf numFmtId="49" fontId="257" fillId="0" borderId="22" xfId="0" applyNumberFormat="1" applyFont="1" applyFill="1" applyBorder="1" applyAlignment="1" applyProtection="1">
      <alignment horizontal="center" vertical="center" wrapText="1"/>
      <protection locked="0"/>
    </xf>
    <xf numFmtId="0" fontId="257" fillId="2" borderId="41" xfId="0" applyNumberFormat="1" applyFont="1" applyFill="1" applyBorder="1" applyAlignment="1" applyProtection="1">
      <alignment horizontal="center" vertical="center" wrapText="1"/>
      <protection locked="0"/>
    </xf>
    <xf numFmtId="49" fontId="257" fillId="2" borderId="41" xfId="0" applyNumberFormat="1" applyFont="1" applyFill="1" applyBorder="1" applyAlignment="1" applyProtection="1">
      <alignment horizontal="center" vertical="center" wrapText="1"/>
      <protection locked="0"/>
    </xf>
    <xf numFmtId="0" fontId="257" fillId="0" borderId="54" xfId="0" applyNumberFormat="1" applyFont="1" applyFill="1" applyBorder="1" applyAlignment="1" applyProtection="1">
      <alignment horizontal="center" vertical="center" wrapText="1"/>
      <protection locked="0"/>
    </xf>
    <xf numFmtId="0" fontId="257" fillId="2" borderId="37" xfId="0" applyNumberFormat="1" applyFont="1" applyFill="1" applyBorder="1" applyAlignment="1" applyProtection="1">
      <alignment horizontal="center" vertical="center" wrapText="1"/>
      <protection locked="0"/>
    </xf>
    <xf numFmtId="0" fontId="257" fillId="2" borderId="54"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pplyProtection="1">
      <alignment horizontal="center" vertical="center" wrapText="1"/>
      <protection locked="0"/>
    </xf>
    <xf numFmtId="0" fontId="257" fillId="2" borderId="6" xfId="0" applyNumberFormat="1" applyFont="1" applyFill="1" applyBorder="1" applyAlignment="1" applyProtection="1">
      <alignment horizontal="center" vertical="center" wrapText="1"/>
      <protection locked="0"/>
    </xf>
    <xf numFmtId="0" fontId="257" fillId="2" borderId="23" xfId="0" applyNumberFormat="1" applyFont="1" applyFill="1" applyBorder="1" applyAlignment="1" applyProtection="1">
      <alignment horizontal="center" vertical="center" wrapText="1"/>
      <protection locked="0"/>
    </xf>
    <xf numFmtId="0" fontId="22" fillId="0" borderId="41" xfId="0" applyNumberFormat="1" applyFont="1" applyFill="1" applyBorder="1" applyAlignment="1" applyProtection="1">
      <alignment horizontal="center" vertical="center" wrapText="1"/>
      <protection locked="0"/>
    </xf>
    <xf numFmtId="49" fontId="257" fillId="2" borderId="7" xfId="0" applyNumberFormat="1" applyFont="1" applyFill="1" applyBorder="1" applyAlignment="1" applyProtection="1">
      <alignment horizontal="center" vertical="center" wrapText="1"/>
      <protection locked="0"/>
    </xf>
    <xf numFmtId="0" fontId="257" fillId="0" borderId="52" xfId="0" applyNumberFormat="1" applyFont="1" applyFill="1" applyBorder="1" applyAlignment="1" applyProtection="1">
      <alignment horizontal="center" vertical="center" wrapText="1"/>
      <protection locked="0"/>
    </xf>
    <xf numFmtId="0" fontId="257" fillId="2" borderId="1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7" fillId="0" borderId="9"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1" fillId="0" borderId="10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11" fillId="7" borderId="0" xfId="10" applyFont="1" applyFill="1" applyProtection="1">
      <alignment vertical="center"/>
      <protection locked="0"/>
    </xf>
    <xf numFmtId="0" fontId="11" fillId="7" borderId="0" xfId="10" applyFont="1" applyFill="1" applyProtection="1">
      <alignment vertical="center"/>
    </xf>
    <xf numFmtId="0" fontId="11" fillId="0" borderId="0" xfId="10" applyFont="1" applyProtection="1">
      <alignment vertical="center"/>
    </xf>
    <xf numFmtId="0" fontId="259" fillId="0" borderId="46" xfId="10" applyFont="1" applyBorder="1" applyAlignment="1" applyProtection="1">
      <alignment horizontal="left" vertical="center"/>
    </xf>
    <xf numFmtId="0" fontId="11" fillId="0" borderId="36" xfId="10" applyFont="1" applyBorder="1" applyAlignment="1" applyProtection="1">
      <alignment horizontal="left" vertical="center" wrapText="1"/>
    </xf>
    <xf numFmtId="0" fontId="260" fillId="5" borderId="36" xfId="10" applyFont="1" applyFill="1" applyBorder="1" applyAlignment="1" applyProtection="1">
      <alignment horizontal="left" vertical="center" wrapText="1"/>
      <protection locked="0"/>
    </xf>
    <xf numFmtId="0" fontId="11" fillId="7" borderId="36" xfId="10" applyFont="1" applyFill="1" applyBorder="1" applyAlignment="1" applyProtection="1">
      <alignment horizontal="center" vertical="center" wrapText="1"/>
    </xf>
    <xf numFmtId="0" fontId="11" fillId="7" borderId="36" xfId="10" applyFont="1" applyFill="1" applyBorder="1" applyAlignment="1" applyProtection="1">
      <alignment horizontal="center" vertical="center"/>
    </xf>
    <xf numFmtId="0" fontId="11" fillId="7" borderId="22" xfId="10" applyFont="1" applyFill="1" applyBorder="1" applyProtection="1">
      <alignment vertical="center"/>
    </xf>
    <xf numFmtId="0" fontId="11" fillId="7" borderId="58" xfId="10" applyFont="1" applyFill="1" applyBorder="1" applyAlignment="1" applyProtection="1">
      <alignment horizontal="left" vertical="center" wrapText="1"/>
      <protection locked="0"/>
    </xf>
    <xf numFmtId="0" fontId="11" fillId="7" borderId="0" xfId="10" applyFont="1" applyFill="1" applyBorder="1" applyAlignment="1" applyProtection="1">
      <alignment horizontal="left" vertical="center" wrapText="1"/>
      <protection locked="0"/>
    </xf>
    <xf numFmtId="0" fontId="11" fillId="7" borderId="0" xfId="10" applyFont="1" applyFill="1" applyBorder="1" applyAlignment="1" applyProtection="1">
      <alignment horizontal="center" vertical="center" wrapText="1"/>
      <protection locked="0"/>
    </xf>
    <xf numFmtId="0" fontId="11" fillId="7" borderId="0" xfId="10" applyFont="1" applyFill="1" applyBorder="1" applyAlignment="1" applyProtection="1">
      <alignment horizontal="center" vertical="center"/>
      <protection locked="0"/>
    </xf>
    <xf numFmtId="0" fontId="11" fillId="7" borderId="35" xfId="10" applyFont="1" applyFill="1" applyBorder="1" applyProtection="1">
      <alignment vertical="center"/>
      <protection locked="0"/>
    </xf>
    <xf numFmtId="0" fontId="11" fillId="7" borderId="4" xfId="10" applyFont="1" applyFill="1" applyBorder="1" applyAlignment="1" applyProtection="1">
      <alignment horizontal="left" vertical="center" wrapText="1"/>
      <protection locked="0"/>
    </xf>
    <xf numFmtId="0" fontId="11" fillId="7" borderId="60" xfId="10" applyFont="1" applyFill="1" applyBorder="1" applyAlignment="1" applyProtection="1">
      <alignment horizontal="left" vertical="center" wrapText="1"/>
      <protection locked="0"/>
    </xf>
    <xf numFmtId="0" fontId="11" fillId="7" borderId="60" xfId="10" applyFont="1" applyFill="1" applyBorder="1" applyAlignment="1" applyProtection="1">
      <alignment horizontal="center" vertical="center" wrapText="1"/>
      <protection locked="0"/>
    </xf>
    <xf numFmtId="0" fontId="11" fillId="7" borderId="60" xfId="10" applyFont="1" applyFill="1" applyBorder="1" applyAlignment="1" applyProtection="1">
      <alignment horizontal="center" vertical="center"/>
      <protection locked="0"/>
    </xf>
    <xf numFmtId="0" fontId="11" fillId="7" borderId="7" xfId="10" applyFont="1" applyFill="1" applyBorder="1" applyProtection="1">
      <alignment vertical="center"/>
      <protection locked="0"/>
    </xf>
    <xf numFmtId="0" fontId="261" fillId="7" borderId="60" xfId="10" applyFont="1" applyFill="1" applyBorder="1" applyAlignment="1" applyProtection="1">
      <alignment horizontal="left" vertical="center"/>
      <protection locked="0"/>
    </xf>
    <xf numFmtId="0" fontId="11" fillId="7" borderId="60" xfId="10" applyFont="1" applyFill="1" applyBorder="1" applyProtection="1">
      <alignment vertical="center"/>
      <protection locked="0"/>
    </xf>
    <xf numFmtId="0" fontId="11" fillId="7" borderId="60" xfId="10" applyFont="1" applyFill="1" applyBorder="1" applyAlignment="1" applyProtection="1">
      <alignment horizontal="right" vertical="center"/>
      <protection locked="0"/>
    </xf>
    <xf numFmtId="0" fontId="261" fillId="7" borderId="0" xfId="10" applyFont="1" applyFill="1" applyAlignment="1" applyProtection="1">
      <alignment horizontal="left" vertical="center"/>
      <protection locked="0"/>
    </xf>
    <xf numFmtId="2" fontId="11" fillId="7" borderId="0" xfId="10" applyNumberFormat="1" applyFont="1" applyFill="1" applyAlignment="1" applyProtection="1">
      <alignment vertical="center" wrapText="1"/>
      <protection locked="0"/>
    </xf>
    <xf numFmtId="0" fontId="261" fillId="7" borderId="0" xfId="10" applyFont="1" applyFill="1" applyAlignment="1" applyProtection="1">
      <alignment vertical="center" wrapText="1"/>
      <protection locked="0"/>
    </xf>
    <xf numFmtId="0" fontId="11" fillId="7" borderId="0" xfId="10" applyFont="1" applyFill="1" applyAlignment="1" applyProtection="1">
      <alignment vertical="center" wrapText="1"/>
      <protection locked="0"/>
    </xf>
    <xf numFmtId="0" fontId="99" fillId="0" borderId="0" xfId="10">
      <alignment vertical="center"/>
    </xf>
    <xf numFmtId="49" fontId="137" fillId="2" borderId="2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 fontId="47" fillId="6" borderId="5" xfId="0" applyNumberFormat="1" applyFont="1" applyFill="1" applyBorder="1" applyAlignment="1" applyProtection="1">
      <alignment horizontal="right" vertical="center"/>
    </xf>
    <xf numFmtId="0" fontId="22" fillId="0" borderId="1" xfId="10" applyFont="1" applyFill="1" applyBorder="1" applyAlignment="1" applyProtection="1">
      <alignment horizontal="center" vertical="center" wrapText="1"/>
    </xf>
    <xf numFmtId="0" fontId="22" fillId="0" borderId="1" xfId="10" applyFont="1" applyFill="1" applyBorder="1" applyAlignment="1" applyProtection="1">
      <alignment horizontal="center" vertical="center" wrapText="1"/>
      <protection locked="0"/>
    </xf>
    <xf numFmtId="0" fontId="47" fillId="0" borderId="1" xfId="1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2" fillId="0" borderId="1" xfId="10" applyFont="1" applyFill="1" applyBorder="1" applyAlignment="1" applyProtection="1">
      <alignment horizontal="center" vertical="center" wrapText="1"/>
    </xf>
    <xf numFmtId="182" fontId="22" fillId="0" borderId="5" xfId="10" applyNumberFormat="1" applyFont="1" applyFill="1" applyBorder="1" applyAlignment="1" applyProtection="1">
      <alignment horizontal="center" vertical="center" wrapText="1"/>
    </xf>
    <xf numFmtId="182" fontId="22" fillId="0" borderId="54" xfId="10" applyNumberFormat="1" applyFont="1" applyFill="1" applyBorder="1" applyAlignment="1" applyProtection="1">
      <alignment horizontal="center" vertical="center" wrapText="1"/>
    </xf>
    <xf numFmtId="182" fontId="22" fillId="0" borderId="3" xfId="10" applyNumberFormat="1" applyFont="1" applyFill="1" applyBorder="1" applyAlignment="1" applyProtection="1">
      <alignment horizontal="center" vertical="center" wrapText="1"/>
    </xf>
    <xf numFmtId="0" fontId="11" fillId="0" borderId="36" xfId="10" applyFont="1" applyFill="1" applyBorder="1" applyAlignment="1" applyProtection="1">
      <alignment horizontal="left" vertical="center"/>
    </xf>
    <xf numFmtId="0" fontId="258" fillId="0" borderId="1" xfId="10" applyFont="1" applyFill="1" applyBorder="1" applyAlignment="1" applyProtection="1">
      <alignment horizontal="center" vertical="center" wrapText="1"/>
    </xf>
    <xf numFmtId="0" fontId="49" fillId="0" borderId="5" xfId="10" applyFont="1" applyFill="1" applyBorder="1" applyAlignment="1" applyProtection="1">
      <alignment horizontal="center" vertical="center" wrapText="1"/>
    </xf>
    <xf numFmtId="0" fontId="49" fillId="0" borderId="54" xfId="10" applyFont="1" applyFill="1" applyBorder="1" applyAlignment="1" applyProtection="1">
      <alignment horizontal="center" vertical="center" wrapText="1"/>
    </xf>
    <xf numFmtId="0" fontId="49" fillId="0" borderId="3" xfId="10" applyFont="1" applyFill="1" applyBorder="1" applyAlignment="1" applyProtection="1">
      <alignment horizontal="center" vertical="center" wrapText="1"/>
    </xf>
    <xf numFmtId="0" fontId="22" fillId="0" borderId="5" xfId="10" applyFont="1" applyFill="1" applyBorder="1" applyAlignment="1" applyProtection="1">
      <alignment horizontal="center" vertical="center" wrapText="1"/>
    </xf>
    <xf numFmtId="0" fontId="22" fillId="0" borderId="54" xfId="10" applyFont="1" applyFill="1" applyBorder="1" applyAlignment="1" applyProtection="1">
      <alignment horizontal="center" vertical="center" wrapText="1"/>
    </xf>
    <xf numFmtId="0" fontId="22" fillId="0" borderId="3" xfId="10" applyFont="1" applyFill="1" applyBorder="1" applyAlignment="1" applyProtection="1">
      <alignment horizontal="center" vertical="center" wrapText="1"/>
    </xf>
    <xf numFmtId="0" fontId="258" fillId="0" borderId="5" xfId="10" applyFont="1" applyFill="1" applyBorder="1" applyAlignment="1" applyProtection="1">
      <alignment horizontal="center" vertical="center"/>
    </xf>
    <xf numFmtId="0" fontId="258" fillId="0" borderId="54" xfId="10" applyFont="1" applyFill="1" applyBorder="1" applyAlignment="1" applyProtection="1">
      <alignment horizontal="center" vertical="center"/>
    </xf>
    <xf numFmtId="0" fontId="258" fillId="0" borderId="3" xfId="10" applyFont="1" applyFill="1" applyBorder="1" applyAlignment="1" applyProtection="1">
      <alignment horizontal="center" vertical="center"/>
    </xf>
    <xf numFmtId="0" fontId="22" fillId="0" borderId="13" xfId="10" applyFont="1" applyFill="1" applyBorder="1" applyAlignment="1" applyProtection="1">
      <alignment horizontal="center" vertical="center" wrapText="1"/>
      <protection locked="0"/>
    </xf>
    <xf numFmtId="0" fontId="22" fillId="0" borderId="2" xfId="10" applyFont="1" applyFill="1" applyBorder="1" applyAlignment="1" applyProtection="1">
      <alignment horizontal="center" vertical="center" wrapText="1"/>
      <protection locked="0"/>
    </xf>
    <xf numFmtId="0" fontId="22" fillId="0" borderId="5" xfId="10" applyFont="1" applyFill="1" applyBorder="1" applyAlignment="1" applyProtection="1">
      <alignment horizontal="center" vertical="center" wrapText="1"/>
      <protection locked="0"/>
    </xf>
    <xf numFmtId="0" fontId="22" fillId="0" borderId="3" xfId="10" applyFont="1" applyFill="1" applyBorder="1" applyAlignment="1" applyProtection="1">
      <alignment horizontal="center" vertical="center" wrapText="1"/>
      <protection locked="0"/>
    </xf>
    <xf numFmtId="0" fontId="22" fillId="0" borderId="1" xfId="10" applyFont="1" applyFill="1" applyBorder="1" applyAlignment="1" applyProtection="1">
      <alignment horizontal="center" vertical="center" wrapText="1"/>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7" fillId="0" borderId="3"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23" xfId="0" applyFont="1" applyFill="1" applyBorder="1" applyAlignment="1" applyProtection="1">
      <alignment horizontal="center" vertical="center" wrapText="1"/>
      <protection locked="0"/>
    </xf>
    <xf numFmtId="0" fontId="257" fillId="0" borderId="24"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61" xfId="0" applyFont="1" applyFill="1" applyBorder="1" applyAlignment="1" applyProtection="1">
      <alignment horizontal="center" vertical="center" wrapText="1"/>
      <protection locked="0"/>
    </xf>
    <xf numFmtId="0" fontId="257" fillId="0" borderId="22"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0" borderId="5"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7&#23621;&#28982;&#22823;&#21414;28&#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汇总"/>
      <sheetName val="结果表"/>
      <sheetName val="成本法"/>
      <sheetName val="成本法 (元)"/>
      <sheetName val="假设开发法"/>
      <sheetName val="比较法-办公"/>
      <sheetName val="典型户型修正"/>
      <sheetName val="收益法办"/>
      <sheetName val="收益法 (元)"/>
      <sheetName val="收益法自"/>
      <sheetName val="收益法（汇总）"/>
      <sheetName val="酒店收入计算"/>
      <sheetName val="比较法-住宅"/>
      <sheetName val="比较法-商业"/>
      <sheetName val="比较法-工业"/>
      <sheetName val="结果表1"/>
      <sheetName val="比较法-车位"/>
      <sheetName val="比较法-仓储"/>
      <sheetName val="土地比较法-住宅、综合"/>
      <sheetName val="土地比较法-工业"/>
      <sheetName val="基准地价修正"/>
      <sheetName val="修正"/>
      <sheetName val="容积率修正"/>
      <sheetName val="收益法车"/>
      <sheetName val="地价"/>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收益法车</v>
          </cell>
          <cell r="C8" t="str">
            <v>七级</v>
          </cell>
          <cell r="F8" t="str">
            <v>车库—办公</v>
          </cell>
          <cell r="I8" t="str">
            <v>0-10（含）</v>
          </cell>
        </row>
        <row r="9">
          <cell r="A9" t="str">
            <v>联排</v>
          </cell>
          <cell r="B9" t="str">
            <v>收益法办</v>
          </cell>
          <cell r="C9" t="str">
            <v>八级</v>
          </cell>
          <cell r="F9" t="str">
            <v>仓储</v>
          </cell>
        </row>
        <row r="10">
          <cell r="A10" t="str">
            <v>双拼</v>
          </cell>
          <cell r="B10" t="str">
            <v>收益法自</v>
          </cell>
          <cell r="C10" t="str">
            <v>九级</v>
          </cell>
          <cell r="F10" t="str">
            <v>——</v>
          </cell>
        </row>
        <row r="11">
          <cell r="A11" t="str">
            <v>独栋</v>
          </cell>
          <cell r="B11" t="str">
            <v>比较法-办公</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K5">
            <v>7705.92</v>
          </cell>
        </row>
        <row r="20">
          <cell r="I20">
            <v>2786.78</v>
          </cell>
        </row>
      </sheetData>
      <sheetData sheetId="12"/>
      <sheetData sheetId="13">
        <row r="17">
          <cell r="C17" t="str">
            <v>项目类型</v>
          </cell>
        </row>
        <row r="19">
          <cell r="C19" t="str">
            <v>办公自用</v>
          </cell>
        </row>
        <row r="20">
          <cell r="C20" t="str">
            <v>地下车库</v>
          </cell>
        </row>
        <row r="21">
          <cell r="C21" t="str">
            <v>办公出租</v>
          </cell>
        </row>
      </sheetData>
      <sheetData sheetId="14">
        <row r="6">
          <cell r="N6">
            <v>0.85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row r="37">
          <cell r="K37">
            <v>0.5</v>
          </cell>
        </row>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2">
        <row r="5">
          <cell r="B5" t="str">
            <v>楼层</v>
          </cell>
          <cell r="C5" t="str">
            <v>高区</v>
          </cell>
          <cell r="D5" t="str">
            <v>中区</v>
          </cell>
          <cell r="E5" t="str">
            <v>低区</v>
          </cell>
          <cell r="T5">
            <v>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23"/>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sheetData sheetId="32">
        <row r="51">
          <cell r="A51" t="str">
            <v>交易情况</v>
          </cell>
          <cell r="C51" t="str">
            <v>正常</v>
          </cell>
          <cell r="D51" t="str">
            <v>其他情况</v>
          </cell>
        </row>
        <row r="53">
          <cell r="B53" t="str">
            <v>用途</v>
          </cell>
          <cell r="C53" t="str">
            <v>车库</v>
          </cell>
        </row>
        <row r="71">
          <cell r="B71" t="str">
            <v>楼层</v>
          </cell>
          <cell r="C71" t="str">
            <v>地下</v>
          </cell>
        </row>
        <row r="79">
          <cell r="B79" t="str">
            <v>配套类型（地上主用途）</v>
          </cell>
          <cell r="C79" t="str">
            <v>办公</v>
          </cell>
          <cell r="D79" t="str">
            <v>住宅</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3">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4">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5">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1217</v>
      </c>
      <c r="B1" s="1581" t="s">
        <v>1296</v>
      </c>
    </row>
    <row r="2" spans="1:2" s="1586" customFormat="1" ht="15" thickTop="1">
      <c r="A2" s="1584" t="s">
        <v>1218</v>
      </c>
      <c r="B2" s="1585" t="str">
        <f>'预评函-封皮'!B37:I37</f>
        <v>北京市东城区东直门南大街甲3号办公楼、车库用房房地产出让国有建设用地使用权及在建建筑物房地产抵押价值预评估</v>
      </c>
    </row>
    <row r="3" spans="1:2" s="1589" customFormat="1">
      <c r="A3" s="1587" t="s">
        <v>1219</v>
      </c>
      <c r="B3" s="1588" t="str">
        <f>'预评函-封皮'!B40</f>
        <v>北京居然之家投资控股集团有限公司</v>
      </c>
    </row>
    <row r="4" spans="1:2" s="1589" customFormat="1">
      <c r="A4" s="1587" t="s">
        <v>1220</v>
      </c>
      <c r="B4" s="1588" t="str">
        <f ca="1">'预评函-封皮'!B46</f>
        <v xml:space="preserve"> （注册号：0)、欧红伟（注册号：1120000080)</v>
      </c>
    </row>
    <row r="5" spans="1:2" s="1583" customFormat="1" ht="15" thickBot="1">
      <c r="A5" s="1590" t="s">
        <v>1221</v>
      </c>
      <c r="B5" s="1591" t="str">
        <f>'预评函-封皮'!B49</f>
        <v>康正预评字号</v>
      </c>
    </row>
    <row r="6" spans="1:2" s="1586" customFormat="1" ht="15" thickTop="1">
      <c r="A6" s="1584" t="s">
        <v>1222</v>
      </c>
      <c r="B6" s="1585" t="str">
        <f>'预评函-1'!A4</f>
        <v>受贵公司委托，我公司对北京市东城区东直门南大街甲3号办公楼、车库用房房地产出让国有建设用地使用权及在建建筑物房地产抵押价值进行了预评估。</v>
      </c>
    </row>
    <row r="7" spans="1:2" s="1589" customFormat="1">
      <c r="A7" s="1587" t="s">
        <v>1262</v>
      </c>
      <c r="B7" s="1588" t="str">
        <f>'预评函-1'!A7</f>
        <v>估价对象为北京市东城区东直门南大街甲3号办公楼、车库用房房地产出让国有建设用地使用权及在建建筑物房地产，为所有。根据《国有土地使用证》[京东国用（2005出）第更0018号]，估价对象（分摊）出让国有建设用地使用权面积为8406.27平方米，建筑面积为52177.78平方米。</v>
      </c>
    </row>
    <row r="8" spans="1:2" s="1589" customFormat="1">
      <c r="A8" s="1587" t="s">
        <v>1263</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1264</v>
      </c>
      <c r="B9" s="1588" t="str">
        <f>'预评函-1'!A10</f>
        <v>估价对象为北京市东城区东直门南大街甲3号办公楼、车库用房房地产出让国有建设用地使用权及在建建筑物房地产,属开发建设的办公项目，该项目尚在开发建设中。根据《国有土地使用证》[京东国用（2005出）第更0018号]，估价对象（分摊）出让国有建设用地使用权面积为8406.27平方米，规划建筑面积为52177.78平方米。</v>
      </c>
    </row>
    <row r="10" spans="1:2" s="1589" customFormat="1">
      <c r="A10" s="1587" t="s">
        <v>1265</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1223</v>
      </c>
      <c r="B11" s="1588" t="str">
        <f>'预评函-1'!A13</f>
        <v>为估价委托人在向工商银行办理贷款手续过程中，确定房地产抵押贷款额度提供参考依据而评估房地产抵押价值。</v>
      </c>
    </row>
    <row r="12" spans="1:2" s="1589" customFormat="1">
      <c r="A12" s="1587" t="s">
        <v>1224</v>
      </c>
      <c r="B12" s="1588" t="str">
        <f>'预评函-1'!A15</f>
        <v>2018年3月6日（评估专业人员实地查勘之日）</v>
      </c>
    </row>
    <row r="13" spans="1:2" s="1589" customFormat="1">
      <c r="A13" s="1587" t="s">
        <v>1225</v>
      </c>
      <c r="B13" s="1588" t="str">
        <f>'预评函-1'!A18</f>
        <v>本次估价的“房地产价值”是指在正常市场情况下，在价值时点2018年3月6日，估价对象规划用途为办公、地下车库，土地取得方式为出让，出让国有建设用地使用权剩余土地使用年限为办公及车库36.5年，假定未设立法定优先受偿款下的房地产市场价值。</v>
      </c>
    </row>
    <row r="14" spans="1:2" s="1589" customFormat="1">
      <c r="A14" s="1587" t="s">
        <v>1226</v>
      </c>
      <c r="B14" s="1588" t="str">
        <f>'预评函-1'!A19</f>
        <v>其中，“出让国有建设用地使用权价值”是指估价对象用途为办公、地下车库，实际开发程度为宗地红线外“七通”（即通路、通电、通上水、通下水、通讯、、）、红线内场地平整条件下，剩余土地使用年限为办公及车库36.5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1227</v>
      </c>
      <c r="B15" s="1588" t="str">
        <f>'预评函-1'!A20</f>
        <v>本次估价的“房地产抵押价值”是指估价对象在价值时点的“房地产价值”扣减估价师于价值时点所知悉的法定优先受偿款后的余额。</v>
      </c>
    </row>
    <row r="16" spans="1:2" s="1589" customFormat="1">
      <c r="A16" s="1587" t="s">
        <v>1228</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1229</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1230</v>
      </c>
      <c r="B18" s="1591" t="str">
        <f>'预评函-1'!A24</f>
        <v>本次评估采用的主估价方法为基准地价系数修正法和收益法。</v>
      </c>
    </row>
    <row r="19" spans="1:2" s="1586" customFormat="1" ht="15" thickTop="1">
      <c r="A19" s="1584" t="s">
        <v>1231</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1232</v>
      </c>
      <c r="B20" s="1588">
        <f ca="1">'预评函-2'!D5</f>
        <v>264998</v>
      </c>
    </row>
    <row r="21" spans="1:2" s="1589" customFormat="1">
      <c r="A21" s="1587" t="s">
        <v>1233</v>
      </c>
      <c r="B21" s="1588">
        <f ca="1">'预评函-2'!D7</f>
        <v>50788</v>
      </c>
    </row>
    <row r="22" spans="1:2" s="1589" customFormat="1">
      <c r="A22" s="1587" t="s">
        <v>1234</v>
      </c>
      <c r="B22" s="1588" t="str">
        <f ca="1">'预评函-2'!D6</f>
        <v>贰拾陆亿肆仟玖佰玖拾捌万元整</v>
      </c>
    </row>
    <row r="23" spans="1:2" s="1589" customFormat="1">
      <c r="A23" s="1587" t="s">
        <v>1285</v>
      </c>
      <c r="B23" s="1588" t="str">
        <f>'预评函-2'!B8</f>
        <v>2.估价师知悉的法定优先受偿款</v>
      </c>
    </row>
    <row r="24" spans="1:2" s="1589" customFormat="1">
      <c r="A24" s="1587" t="s">
        <v>1291</v>
      </c>
      <c r="B24" s="1588">
        <f>'预评函-2'!D8</f>
        <v>0</v>
      </c>
    </row>
    <row r="25" spans="1:2" s="1589" customFormat="1">
      <c r="A25" s="1587" t="s">
        <v>1235</v>
      </c>
      <c r="B25" s="1588" t="str">
        <f>'预评函-2'!D9</f>
        <v>零元整</v>
      </c>
    </row>
    <row r="26" spans="1:2" s="1589" customFormat="1">
      <c r="A26" s="1587" t="s">
        <v>1236</v>
      </c>
      <c r="B26" s="1588">
        <f>'预评函-2'!D10</f>
        <v>0</v>
      </c>
    </row>
    <row r="27" spans="1:2" s="1589" customFormat="1">
      <c r="A27" s="1587" t="s">
        <v>1237</v>
      </c>
      <c r="B27" s="1588">
        <f>'预评函-2'!D11</f>
        <v>0</v>
      </c>
    </row>
    <row r="28" spans="1:2" s="1589" customFormat="1">
      <c r="A28" s="1587" t="s">
        <v>1238</v>
      </c>
      <c r="B28" s="1588">
        <f>'预评函-2'!D12</f>
        <v>0</v>
      </c>
    </row>
    <row r="29" spans="1:2" s="1589" customFormat="1">
      <c r="A29" s="1587" t="s">
        <v>1289</v>
      </c>
      <c r="B29" s="1588" t="str">
        <f>'预评函-2'!B13</f>
        <v>3.房地产抵押价值</v>
      </c>
    </row>
    <row r="30" spans="1:2" s="1589" customFormat="1">
      <c r="A30" s="1587" t="s">
        <v>1290</v>
      </c>
      <c r="B30" s="1588">
        <f ca="1">'预评函-2'!D13</f>
        <v>264998</v>
      </c>
    </row>
    <row r="31" spans="1:2" s="1589" customFormat="1">
      <c r="A31" s="1587" t="s">
        <v>1272</v>
      </c>
      <c r="B31" s="1588">
        <f ca="1">'预评函-2'!D15</f>
        <v>50788</v>
      </c>
    </row>
    <row r="32" spans="1:2" s="1589" customFormat="1">
      <c r="A32" s="1587" t="s">
        <v>1239</v>
      </c>
      <c r="B32" s="1588" t="str">
        <f ca="1">'预评函-2'!D14</f>
        <v>贰拾陆亿肆仟玖佰玖拾捌万元整</v>
      </c>
    </row>
    <row r="33" spans="1:2" s="1589" customFormat="1">
      <c r="A33" s="1587" t="s">
        <v>1274</v>
      </c>
      <c r="B33" s="1588" t="str">
        <f>'预评函-2'!B16</f>
        <v>——</v>
      </c>
    </row>
    <row r="34" spans="1:2" s="1589" customFormat="1">
      <c r="A34" s="1587" t="s">
        <v>1292</v>
      </c>
      <c r="B34" s="1588" t="str">
        <f>'预评函-2'!D16</f>
        <v>——</v>
      </c>
    </row>
    <row r="35" spans="1:2" s="1589" customFormat="1">
      <c r="A35" s="1587" t="s">
        <v>1273</v>
      </c>
      <c r="B35" s="1588" t="str">
        <f>'预评函-2'!D18</f>
        <v>——</v>
      </c>
    </row>
    <row r="36" spans="1:2" s="1589" customFormat="1">
      <c r="A36" s="1587" t="s">
        <v>1240</v>
      </c>
      <c r="B36" s="1588" t="e">
        <f>'预评函-2'!D17</f>
        <v>#VALUE!</v>
      </c>
    </row>
    <row r="37" spans="1:2" s="1589" customFormat="1">
      <c r="A37" s="1587" t="s">
        <v>1275</v>
      </c>
      <c r="B37" s="1588" t="str">
        <f>'预评函-2'!B19</f>
        <v>——</v>
      </c>
    </row>
    <row r="38" spans="1:2" s="1589" customFormat="1">
      <c r="A38" s="1587" t="s">
        <v>1293</v>
      </c>
      <c r="B38" s="1588" t="str">
        <f>'预评函-2'!D19</f>
        <v>——</v>
      </c>
    </row>
    <row r="39" spans="1:2" s="1589" customFormat="1">
      <c r="A39" s="1587" t="s">
        <v>1241</v>
      </c>
      <c r="B39" s="1588" t="str">
        <f>'预评函-2'!D21</f>
        <v>——</v>
      </c>
    </row>
    <row r="40" spans="1:2" s="1589" customFormat="1">
      <c r="A40" s="1587" t="s">
        <v>1242</v>
      </c>
      <c r="B40" s="1588" t="e">
        <f>'预评函-2'!D20</f>
        <v>#VALUE!</v>
      </c>
    </row>
    <row r="41" spans="1:2" s="1589" customFormat="1">
      <c r="A41" s="1587" t="s">
        <v>1288</v>
      </c>
      <c r="B41" s="1588" t="str">
        <f>'预评函-3'!A4</f>
        <v>北京市东城区东直门南大街甲3号办公楼、车库用房房地产出让国有建设用地使用权及在建建筑物房地产</v>
      </c>
    </row>
    <row r="42" spans="1:2" s="1589" customFormat="1">
      <c r="A42" s="1587" t="s">
        <v>1286</v>
      </c>
      <c r="B42" s="1588" t="str">
        <f>'预评函-3'!B2</f>
        <v>建筑面积</v>
      </c>
    </row>
    <row r="43" spans="1:2" s="1589" customFormat="1">
      <c r="A43" s="1587" t="s">
        <v>1287</v>
      </c>
      <c r="B43" s="1588">
        <f>'预评函-3'!B4</f>
        <v>52177.779999999992</v>
      </c>
    </row>
    <row r="44" spans="1:2" s="1589" customFormat="1">
      <c r="A44" s="1587" t="s">
        <v>1271</v>
      </c>
      <c r="B44" s="1588" t="str">
        <f>'预评函-3'!C2</f>
        <v>(分摊)土地面积</v>
      </c>
    </row>
    <row r="45" spans="1:2" s="1589" customFormat="1">
      <c r="A45" s="1587" t="s">
        <v>1243</v>
      </c>
      <c r="B45" s="1588">
        <f>'预评函-3'!C4</f>
        <v>8406.27</v>
      </c>
    </row>
    <row r="46" spans="1:2" s="1589" customFormat="1">
      <c r="A46" s="1587" t="s">
        <v>1269</v>
      </c>
      <c r="B46" s="1588" t="str">
        <f>'预评函-3'!D2</f>
        <v>出让国有建设用地使用权价值</v>
      </c>
    </row>
    <row r="47" spans="1:2" s="1589" customFormat="1">
      <c r="A47" s="1587" t="s">
        <v>1244</v>
      </c>
      <c r="B47" s="1588">
        <f ca="1">'预评函-3'!D4</f>
        <v>215178</v>
      </c>
    </row>
    <row r="48" spans="1:2" s="1589" customFormat="1">
      <c r="A48" s="1587" t="s">
        <v>1245</v>
      </c>
      <c r="B48" s="1588">
        <f ca="1">'预评函-3'!E4</f>
        <v>41240</v>
      </c>
    </row>
    <row r="49" spans="1:2" s="1589" customFormat="1">
      <c r="A49" s="1587" t="s">
        <v>1246</v>
      </c>
      <c r="B49" s="1588" t="str">
        <f ca="1">'预评函-3'!D5</f>
        <v>贰拾壹亿伍仟壹佰柒拾捌万元整</v>
      </c>
    </row>
    <row r="50" spans="1:2" s="1589" customFormat="1">
      <c r="A50" s="1587" t="s">
        <v>1270</v>
      </c>
      <c r="B50" s="1588" t="str">
        <f>'预评函-3'!F2</f>
        <v>在建建筑物价值</v>
      </c>
    </row>
    <row r="51" spans="1:2" s="1589" customFormat="1">
      <c r="A51" s="1587" t="s">
        <v>1247</v>
      </c>
      <c r="B51" s="1588">
        <f ca="1">'预评函-3'!F4</f>
        <v>49820</v>
      </c>
    </row>
    <row r="52" spans="1:2" s="1589" customFormat="1">
      <c r="A52" s="1587" t="s">
        <v>1248</v>
      </c>
      <c r="B52" s="1588">
        <f ca="1">'预评函-3'!G4</f>
        <v>9548</v>
      </c>
    </row>
    <row r="53" spans="1:2" s="1589" customFormat="1">
      <c r="A53" s="1587" t="s">
        <v>1276</v>
      </c>
      <c r="B53" s="1588" t="str">
        <f ca="1">'预评函-3'!F5</f>
        <v>肆亿玖仟捌佰贰拾万元整</v>
      </c>
    </row>
    <row r="54" spans="1:2" s="1589" customFormat="1">
      <c r="A54" s="1587" t="s">
        <v>1294</v>
      </c>
      <c r="B54" s="1588" t="str">
        <f>'预评函-3'!A8</f>
        <v>房地产抵押价值</v>
      </c>
    </row>
    <row r="55" spans="1:2" s="1589" customFormat="1">
      <c r="A55" s="1587" t="s">
        <v>1277</v>
      </c>
      <c r="B55" s="1588" t="str">
        <f>'预评函-3'!A10</f>
        <v/>
      </c>
    </row>
    <row r="56" spans="1:2" s="1589" customFormat="1">
      <c r="A56" s="1587" t="s">
        <v>1278</v>
      </c>
      <c r="B56" s="1588" t="str">
        <f>'预评函-3'!A12</f>
        <v/>
      </c>
    </row>
    <row r="57" spans="1:2" s="1583" customFormat="1" ht="15" thickBot="1">
      <c r="A57" s="1590" t="s">
        <v>1295</v>
      </c>
      <c r="B57" s="1591" t="str">
        <f>'预评函-3'!A6</f>
        <v>估价师知悉的法定优先受偿款</v>
      </c>
    </row>
    <row r="58" spans="1:2" s="1586" customFormat="1" ht="15" thickTop="1">
      <c r="A58" s="1584" t="s">
        <v>1249</v>
      </c>
      <c r="B58" s="1585" t="str">
        <f>'预评函-4'!A12</f>
        <v>2.本《评估意见函》仅供金融机构进行内部审核使用，不做其他目的之用。</v>
      </c>
    </row>
    <row r="59" spans="1:2" s="1589" customFormat="1">
      <c r="A59" s="1587" t="s">
        <v>1250</v>
      </c>
      <c r="B59" s="1588" t="str">
        <f>'预评函-4'!A13</f>
        <v>3.抵押双方在办理抵押登记手续时，应使用本公司出具的正式《房地产评估报告》，特提醒报告使用者注意。</v>
      </c>
    </row>
    <row r="60" spans="1:2" s="1589" customFormat="1">
      <c r="A60" s="1587" t="s">
        <v>1251</v>
      </c>
      <c r="B60" s="1588" t="str">
        <f>'预评函-4'!A14</f>
        <v>4.本次评估估价师所知悉的法定优先受偿款情况说明如下：</v>
      </c>
    </row>
    <row r="61" spans="1:2" s="1589" customFormat="1">
      <c r="A61" s="1587" t="s">
        <v>1252</v>
      </c>
      <c r="B61" s="1588"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1253</v>
      </c>
      <c r="B62" s="1588" t="str">
        <f>'预评函-4'!A16</f>
        <v>（2）根据《工程款支付情况说明》，截至价值时点，估价对象不存在应付未付工程款项。（只要没有施工方盖章的，均“设定”进行表述）</v>
      </c>
    </row>
    <row r="63" spans="1:2" s="1589" customFormat="1">
      <c r="A63" s="1587" t="s">
        <v>1254</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1266</v>
      </c>
      <c r="B64" s="1588" t="str">
        <f>'预评函-4'!A18</f>
        <v>故，本次评估不存在估价师知悉的法定优先受偿款</v>
      </c>
    </row>
    <row r="65" spans="1:2" s="1589" customFormat="1">
      <c r="A65" s="1587" t="s">
        <v>1255</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1256</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1267</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1268</v>
      </c>
      <c r="B68" s="1588" t="str">
        <f>'预评函-4'!A22</f>
        <v>8.其他需特殊说明事项：无（注意调整序号）</v>
      </c>
    </row>
    <row r="69" spans="1:2" s="1583" customFormat="1" ht="15" thickBot="1">
      <c r="A69" s="1590" t="s">
        <v>1257</v>
      </c>
      <c r="B69" s="1592">
        <f>'预评函-4'!C31</f>
        <v>42551</v>
      </c>
    </row>
    <row r="70" spans="1:2" ht="15" thickTop="1">
      <c r="A70" s="1593" t="s">
        <v>1258</v>
      </c>
      <c r="B70" s="1594" t="str">
        <f>'预评函-4'!A4</f>
        <v xml:space="preserve"> </v>
      </c>
    </row>
    <row r="71" spans="1:2">
      <c r="A71" s="1587" t="s">
        <v>1259</v>
      </c>
      <c r="B71" s="1588">
        <f>'预评函-4'!B4</f>
        <v>0</v>
      </c>
    </row>
    <row r="72" spans="1:2">
      <c r="A72" s="1587" t="s">
        <v>1260</v>
      </c>
      <c r="B72" s="1596" t="str">
        <f>'预评函-4'!A5</f>
        <v>欧红伟</v>
      </c>
    </row>
    <row r="73" spans="1:2" s="1583" customFormat="1" ht="15" thickBot="1">
      <c r="A73" s="1590" t="s">
        <v>1261</v>
      </c>
      <c r="B73" s="1591">
        <f ca="1">'预评函-4'!B5</f>
        <v>1120000080</v>
      </c>
    </row>
    <row r="74" spans="1:2" ht="15" thickTop="1">
      <c r="A74" s="1580" t="s">
        <v>1297</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1" sqref="Y21"/>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1689</v>
      </c>
      <c r="C1" s="2005" t="s">
        <v>759</v>
      </c>
      <c r="D1" s="2006" t="s">
        <v>1690</v>
      </c>
      <c r="E1" s="2006" t="s">
        <v>1691</v>
      </c>
      <c r="F1" s="2006" t="s">
        <v>1692</v>
      </c>
      <c r="G1" s="2006" t="s">
        <v>1693</v>
      </c>
      <c r="H1" s="2006" t="s">
        <v>1694</v>
      </c>
      <c r="I1" s="2006" t="s">
        <v>1695</v>
      </c>
      <c r="J1" s="2006" t="s">
        <v>1696</v>
      </c>
      <c r="K1" s="2006" t="s">
        <v>1697</v>
      </c>
      <c r="L1" s="2006" t="s">
        <v>1698</v>
      </c>
      <c r="M1" s="2006" t="s">
        <v>1699</v>
      </c>
      <c r="N1" s="2006" t="s">
        <v>1700</v>
      </c>
      <c r="O1" s="2006" t="s">
        <v>1701</v>
      </c>
      <c r="P1" s="2007" t="s">
        <v>753</v>
      </c>
      <c r="Q1" s="2007" t="s">
        <v>1144</v>
      </c>
      <c r="R1" s="2006" t="s">
        <v>1138</v>
      </c>
      <c r="S1" s="2006" t="s">
        <v>1702</v>
      </c>
      <c r="T1" s="2008" t="s">
        <v>1703</v>
      </c>
      <c r="U1" s="2006" t="s">
        <v>1704</v>
      </c>
      <c r="V1" s="2006" t="s">
        <v>1705</v>
      </c>
      <c r="W1" s="2006" t="s">
        <v>755</v>
      </c>
    </row>
    <row r="2" spans="1:23">
      <c r="A2" s="2010" t="s">
        <v>22</v>
      </c>
      <c r="B2" s="2010" t="s">
        <v>1706</v>
      </c>
      <c r="C2" s="2011" t="s">
        <v>760</v>
      </c>
      <c r="D2" s="2012" t="s">
        <v>1707</v>
      </c>
      <c r="E2" s="2012" t="s">
        <v>1708</v>
      </c>
      <c r="F2" s="2012" t="s">
        <v>1709</v>
      </c>
      <c r="G2" s="2012">
        <v>40</v>
      </c>
      <c r="H2" s="2012" t="s">
        <v>1709</v>
      </c>
      <c r="I2" s="2012" t="s">
        <v>1710</v>
      </c>
      <c r="J2" s="2012" t="s">
        <v>1711</v>
      </c>
      <c r="K2" s="2012" t="s">
        <v>1712</v>
      </c>
      <c r="L2" s="2012" t="s">
        <v>1712</v>
      </c>
      <c r="M2" s="2012" t="s">
        <v>1712</v>
      </c>
      <c r="N2" s="2012" t="s">
        <v>1712</v>
      </c>
      <c r="O2" s="2012" t="s">
        <v>1712</v>
      </c>
      <c r="P2" s="2012" t="s">
        <v>1712</v>
      </c>
      <c r="Q2" s="2012" t="s">
        <v>1712</v>
      </c>
      <c r="R2" s="2012" t="s">
        <v>1140</v>
      </c>
      <c r="S2" s="2012" t="s">
        <v>1712</v>
      </c>
      <c r="T2" s="2012" t="s">
        <v>1713</v>
      </c>
      <c r="U2" s="2012" t="s">
        <v>1712</v>
      </c>
      <c r="V2" s="2012" t="s">
        <v>1714</v>
      </c>
      <c r="W2" s="2012" t="s">
        <v>1712</v>
      </c>
    </row>
    <row r="3" spans="1:23">
      <c r="A3" s="2010" t="s">
        <v>1715</v>
      </c>
      <c r="B3" s="2013" t="s">
        <v>1145</v>
      </c>
      <c r="C3" s="2014" t="s">
        <v>761</v>
      </c>
      <c r="D3" s="2012" t="s">
        <v>1716</v>
      </c>
      <c r="E3" s="2012" t="s">
        <v>16</v>
      </c>
      <c r="F3" s="2012" t="s">
        <v>1717</v>
      </c>
      <c r="G3" s="2012">
        <v>50</v>
      </c>
      <c r="H3" s="2012" t="s">
        <v>1717</v>
      </c>
      <c r="I3" s="2012" t="s">
        <v>1718</v>
      </c>
      <c r="J3" s="2012" t="s">
        <v>1719</v>
      </c>
      <c r="K3" s="2012" t="s">
        <v>1720</v>
      </c>
      <c r="L3" s="2012" t="s">
        <v>1720</v>
      </c>
      <c r="M3" s="2012" t="s">
        <v>1720</v>
      </c>
      <c r="N3" s="2012" t="s">
        <v>1720</v>
      </c>
      <c r="O3" s="2012" t="s">
        <v>1720</v>
      </c>
      <c r="P3" s="2012" t="s">
        <v>1720</v>
      </c>
      <c r="Q3" s="2012" t="s">
        <v>1720</v>
      </c>
      <c r="R3" s="2012" t="s">
        <v>1139</v>
      </c>
      <c r="S3" s="2012" t="s">
        <v>1720</v>
      </c>
      <c r="T3" s="2012" t="s">
        <v>1721</v>
      </c>
      <c r="U3" s="2012" t="s">
        <v>1720</v>
      </c>
      <c r="V3" s="2012" t="s">
        <v>1722</v>
      </c>
      <c r="W3" s="2012" t="s">
        <v>1720</v>
      </c>
    </row>
    <row r="4" spans="1:23">
      <c r="A4" s="2010" t="s">
        <v>1723</v>
      </c>
      <c r="B4" s="2010" t="s">
        <v>1724</v>
      </c>
      <c r="C4" s="2011" t="s">
        <v>762</v>
      </c>
      <c r="D4" s="2012" t="s">
        <v>868</v>
      </c>
      <c r="E4" s="2012" t="s">
        <v>1725</v>
      </c>
      <c r="F4" s="2012" t="s">
        <v>1726</v>
      </c>
      <c r="G4" s="2012">
        <v>70</v>
      </c>
      <c r="H4" s="2012" t="s">
        <v>1726</v>
      </c>
      <c r="I4" s="2012" t="s">
        <v>1727</v>
      </c>
      <c r="K4" s="2012" t="s">
        <v>1728</v>
      </c>
      <c r="L4" s="2012" t="s">
        <v>1728</v>
      </c>
      <c r="M4" s="2012" t="s">
        <v>1728</v>
      </c>
      <c r="N4" s="2012" t="s">
        <v>1728</v>
      </c>
      <c r="O4" s="2012" t="s">
        <v>1728</v>
      </c>
      <c r="P4" s="2012" t="s">
        <v>1728</v>
      </c>
      <c r="Q4" s="2012" t="s">
        <v>1728</v>
      </c>
      <c r="R4" s="2012" t="s">
        <v>1141</v>
      </c>
      <c r="S4" s="2012" t="s">
        <v>1728</v>
      </c>
      <c r="T4" s="2012" t="s">
        <v>1729</v>
      </c>
      <c r="U4" s="2012" t="s">
        <v>1728</v>
      </c>
      <c r="W4" s="2012" t="s">
        <v>1728</v>
      </c>
    </row>
    <row r="5" spans="1:23">
      <c r="A5" s="2010" t="s">
        <v>1730</v>
      </c>
      <c r="B5" s="2013" t="s">
        <v>3082</v>
      </c>
      <c r="C5" s="2011" t="s">
        <v>763</v>
      </c>
      <c r="F5" s="2012" t="s">
        <v>1731</v>
      </c>
      <c r="H5" s="2012" t="s">
        <v>1732</v>
      </c>
      <c r="I5" s="2012" t="s">
        <v>1733</v>
      </c>
      <c r="K5" s="2012" t="s">
        <v>1734</v>
      </c>
      <c r="L5" s="2012" t="s">
        <v>1734</v>
      </c>
      <c r="M5" s="2012" t="s">
        <v>1734</v>
      </c>
      <c r="N5" s="2012" t="s">
        <v>1734</v>
      </c>
      <c r="O5" s="2012" t="s">
        <v>1734</v>
      </c>
      <c r="P5" s="2012" t="s">
        <v>1734</v>
      </c>
      <c r="Q5" s="2012" t="s">
        <v>1734</v>
      </c>
      <c r="R5" s="2012" t="s">
        <v>1142</v>
      </c>
      <c r="S5" s="2012" t="s">
        <v>1734</v>
      </c>
      <c r="T5" s="2012" t="s">
        <v>1735</v>
      </c>
      <c r="U5" s="2012" t="s">
        <v>1734</v>
      </c>
      <c r="W5" s="2012" t="s">
        <v>1734</v>
      </c>
    </row>
    <row r="6" spans="1:23">
      <c r="A6" s="2010" t="s">
        <v>1736</v>
      </c>
      <c r="B6" s="2013" t="s">
        <v>3080</v>
      </c>
      <c r="C6" s="2016" t="s">
        <v>30</v>
      </c>
      <c r="F6" s="2012" t="s">
        <v>1732</v>
      </c>
      <c r="H6" s="2012" t="s">
        <v>1737</v>
      </c>
      <c r="I6" s="2012" t="s">
        <v>1738</v>
      </c>
      <c r="K6" s="2012" t="s">
        <v>1739</v>
      </c>
      <c r="L6" s="2012" t="s">
        <v>1739</v>
      </c>
      <c r="M6" s="2012" t="s">
        <v>1739</v>
      </c>
      <c r="N6" s="2012" t="s">
        <v>1739</v>
      </c>
      <c r="O6" s="2012" t="s">
        <v>1739</v>
      </c>
      <c r="P6" s="2012" t="s">
        <v>1739</v>
      </c>
      <c r="Q6" s="2012" t="s">
        <v>1739</v>
      </c>
      <c r="R6" s="2012" t="s">
        <v>1143</v>
      </c>
      <c r="S6" s="2012" t="s">
        <v>1739</v>
      </c>
      <c r="T6" s="2012"/>
      <c r="U6" s="2012" t="s">
        <v>1739</v>
      </c>
      <c r="W6" s="2012" t="s">
        <v>1739</v>
      </c>
    </row>
    <row r="7" spans="1:23">
      <c r="A7" s="2010" t="s">
        <v>1740</v>
      </c>
      <c r="B7" s="2013" t="s">
        <v>3084</v>
      </c>
      <c r="C7" s="2011" t="s">
        <v>31</v>
      </c>
      <c r="F7" s="2012" t="s">
        <v>1741</v>
      </c>
      <c r="H7" s="2012" t="s">
        <v>1742</v>
      </c>
      <c r="I7" s="2012" t="s">
        <v>1743</v>
      </c>
    </row>
    <row r="8" spans="1:23">
      <c r="A8" s="2010" t="s">
        <v>1744</v>
      </c>
      <c r="B8" s="2010" t="s">
        <v>1745</v>
      </c>
      <c r="C8" s="2011" t="s">
        <v>764</v>
      </c>
      <c r="F8" s="2012" t="s">
        <v>1746</v>
      </c>
      <c r="H8" s="2012"/>
      <c r="I8" s="2012" t="s">
        <v>1747</v>
      </c>
    </row>
    <row r="9" spans="1:23">
      <c r="A9" s="2010" t="s">
        <v>1748</v>
      </c>
      <c r="B9" s="2010" t="s">
        <v>1749</v>
      </c>
      <c r="C9" s="2011" t="s">
        <v>765</v>
      </c>
      <c r="F9" s="2012" t="s">
        <v>1750</v>
      </c>
      <c r="H9" s="2012"/>
    </row>
    <row r="10" spans="1:23">
      <c r="A10" s="2010" t="s">
        <v>1751</v>
      </c>
      <c r="B10" s="2010" t="s">
        <v>1752</v>
      </c>
      <c r="C10" s="2011" t="s">
        <v>766</v>
      </c>
      <c r="F10" s="2012" t="s">
        <v>16</v>
      </c>
    </row>
    <row r="11" spans="1:23">
      <c r="A11" s="2010" t="s">
        <v>1753</v>
      </c>
      <c r="B11" s="2010" t="s">
        <v>1754</v>
      </c>
      <c r="C11" s="2011" t="s">
        <v>767</v>
      </c>
    </row>
    <row r="12" spans="1:23">
      <c r="A12" s="2010" t="s">
        <v>1755</v>
      </c>
      <c r="B12" s="2010" t="s">
        <v>1756</v>
      </c>
      <c r="C12" s="2011" t="s">
        <v>768</v>
      </c>
    </row>
    <row r="13" spans="1:23">
      <c r="A13" s="2010" t="s">
        <v>1757</v>
      </c>
      <c r="B13" s="2010" t="s">
        <v>1758</v>
      </c>
      <c r="C13" s="2011" t="s">
        <v>769</v>
      </c>
    </row>
    <row r="14" spans="1:23">
      <c r="A14" s="2010" t="s">
        <v>1759</v>
      </c>
      <c r="B14" s="2010" t="s">
        <v>1760</v>
      </c>
      <c r="C14" s="2012" t="s">
        <v>16</v>
      </c>
    </row>
    <row r="15" spans="1:23">
      <c r="A15" s="2010" t="s">
        <v>1761</v>
      </c>
      <c r="B15" s="2010" t="s">
        <v>1762</v>
      </c>
      <c r="C15" s="2011"/>
    </row>
    <row r="16" spans="1:23">
      <c r="A16" s="2010" t="s">
        <v>1763</v>
      </c>
      <c r="B16" s="2010" t="s">
        <v>756</v>
      </c>
      <c r="C16" s="2011"/>
    </row>
    <row r="17" spans="1:3">
      <c r="A17" s="2010" t="s">
        <v>1764</v>
      </c>
      <c r="B17" s="2010" t="s">
        <v>3086</v>
      </c>
      <c r="C17" s="2011"/>
    </row>
    <row r="18" spans="1:3">
      <c r="A18" s="2010" t="s">
        <v>1765</v>
      </c>
      <c r="B18" s="2010" t="s">
        <v>3175</v>
      </c>
      <c r="C18" s="2011"/>
    </row>
    <row r="19" spans="1:3">
      <c r="A19" s="2010" t="s">
        <v>1766</v>
      </c>
      <c r="B19" s="2010" t="s">
        <v>757</v>
      </c>
      <c r="C19" s="2011"/>
    </row>
    <row r="20" spans="1:3">
      <c r="A20" s="2010" t="s">
        <v>1767</v>
      </c>
      <c r="B20" s="2010" t="s">
        <v>757</v>
      </c>
      <c r="C20" s="2011"/>
    </row>
    <row r="21" spans="1:3">
      <c r="A21" s="2010" t="s">
        <v>1768</v>
      </c>
      <c r="B21" s="2010" t="s">
        <v>757</v>
      </c>
      <c r="C21" s="2011"/>
    </row>
    <row r="22" spans="1:3">
      <c r="A22" s="2010" t="s">
        <v>1769</v>
      </c>
      <c r="B22" s="2010" t="s">
        <v>757</v>
      </c>
      <c r="C22" s="2011"/>
    </row>
    <row r="23" spans="1:3">
      <c r="A23" s="2010" t="s">
        <v>1770</v>
      </c>
      <c r="B23" s="2010" t="s">
        <v>757</v>
      </c>
      <c r="C23" s="2011"/>
    </row>
    <row r="24" spans="1:3">
      <c r="A24" s="2010" t="s">
        <v>1771</v>
      </c>
      <c r="B24" s="2010" t="s">
        <v>757</v>
      </c>
      <c r="C24" s="2011"/>
    </row>
    <row r="25" spans="1:3">
      <c r="A25" s="2010" t="s">
        <v>1772</v>
      </c>
      <c r="B25" s="2010" t="s">
        <v>757</v>
      </c>
      <c r="C25" s="2011"/>
    </row>
    <row r="26" spans="1:3">
      <c r="A26" s="2010" t="s">
        <v>1773</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居然之家投资控股集团有限公司拟使用北京市东城区东直门南大街甲3号办公楼、车库用房房地产出让国有建设用地使用权及在建建筑物房地产作为抵押担保物，向工商银行办理贷款手续。工商银行特委托北京康正宏基房地产评估有限公司对上述抵押物进行评估。本次评估为确定房地产抵押贷款额度提供参考依据而评估房地产抵押价值。</v>
      </c>
      <c r="D51" s="2018" t="s">
        <v>1282</v>
      </c>
    </row>
    <row r="52" spans="1:4">
      <c r="A52" s="2017" t="s">
        <v>858</v>
      </c>
      <c r="B52" s="2017" t="s">
        <v>859</v>
      </c>
      <c r="C52" s="2015" t="s">
        <v>860</v>
      </c>
      <c r="D52" s="2015" t="s">
        <v>861</v>
      </c>
    </row>
    <row r="53" spans="1:4">
      <c r="A53" s="3078"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6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78"/>
      <c r="B54" s="2018" t="s">
        <v>864</v>
      </c>
      <c r="C54" s="2015" t="s">
        <v>1279</v>
      </c>
    </row>
    <row r="55" spans="1:4">
      <c r="A55" s="3078"/>
      <c r="B55" s="2018" t="s">
        <v>865</v>
      </c>
      <c r="C55" s="2015" t="s">
        <v>1280</v>
      </c>
    </row>
    <row r="56" spans="1:4">
      <c r="A56" s="3078"/>
      <c r="B56" s="2018" t="s">
        <v>866</v>
      </c>
      <c r="C56" s="2015" t="s">
        <v>1284</v>
      </c>
    </row>
    <row r="57" spans="1:4">
      <c r="A57" s="3078"/>
      <c r="B57" s="2018" t="s">
        <v>867</v>
      </c>
      <c r="C57" s="2015" t="s">
        <v>1281</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L7" sqref="L7"/>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1774</v>
      </c>
      <c r="B1" s="3079" t="str">
        <f>IF(B10="北京市","北京市",C10)&amp;F10&amp;IF(结果表办!G1="在建","出让国有建设用地使用权及在建建筑物",IF(结果表办!G1="土地","出让国有建设用地使用权",))&amp;B9&amp;"预评估"</f>
        <v>北京市东城区东直门南大街甲3号办公楼、车库用房房地产出让国有建设用地使用权及在建建筑物房地产抵押价值预评估</v>
      </c>
      <c r="C1" s="3080"/>
      <c r="D1" s="3080"/>
      <c r="E1" s="3080"/>
      <c r="F1" s="3080"/>
      <c r="G1" s="3080"/>
      <c r="H1" s="3080"/>
      <c r="I1" s="3081"/>
      <c r="J1" s="2022"/>
      <c r="K1" s="2023"/>
      <c r="L1" s="2024"/>
      <c r="M1" s="2024"/>
      <c r="N1" s="2025"/>
      <c r="O1" s="2026"/>
      <c r="P1" s="2025"/>
      <c r="Q1" s="2025"/>
      <c r="R1" s="2025"/>
      <c r="S1" s="2027" t="str">
        <f>IF(B10="北京市","北京市",C10)&amp;F10&amp;IF(结果表办!G1="在建","出让国有建设用地使用权及在建建筑物房地产抵押价值",IF(结果表办!G1="土地","出让国有建设用地使用权抵押价值",B9))</f>
        <v>北京市东城区东直门南大街甲3号办公楼、车库用房房地产出让国有建设用地使用权及在建建筑物房地产抵押价值</v>
      </c>
    </row>
    <row r="2" spans="1:19" ht="18" customHeight="1">
      <c r="A2" s="2022" t="s">
        <v>1775</v>
      </c>
      <c r="B2" s="1035"/>
      <c r="C2" s="2029"/>
      <c r="D2" s="2022"/>
      <c r="E2" s="2030"/>
      <c r="F2" s="2030"/>
      <c r="G2" s="2022"/>
      <c r="H2" s="2022"/>
      <c r="I2" s="2022"/>
      <c r="J2" s="2022"/>
      <c r="K2" s="2023"/>
      <c r="L2" s="2024"/>
      <c r="M2" s="2024"/>
      <c r="N2" s="2025"/>
      <c r="O2" s="2026"/>
      <c r="P2" s="2025"/>
      <c r="Q2" s="2025"/>
      <c r="R2" s="2025"/>
      <c r="S2" s="2027" t="str">
        <f>IF(B10="北京市","北京市",C10)&amp;F10&amp;IF(结果表办!G1="在建","出让国有建设用地使用权及在建建筑物房地产",IF(结果表办!G1="土地","出让国有建设用地使用权","房地产"))</f>
        <v>北京市东城区东直门南大街甲3号办公楼、车库用房房地产出让国有建设用地使用权及在建建筑物房地产</v>
      </c>
    </row>
    <row r="3" spans="1:19" ht="18" customHeight="1">
      <c r="A3" s="2031" t="s">
        <v>1776</v>
      </c>
      <c r="B3" s="2032">
        <v>43165</v>
      </c>
      <c r="C3" s="2033" t="s">
        <v>1777</v>
      </c>
      <c r="D3" s="2032">
        <f>B3</f>
        <v>43165</v>
      </c>
      <c r="E3" s="2022"/>
      <c r="F3" s="2022"/>
      <c r="G3" s="2022"/>
      <c r="H3" s="2022"/>
      <c r="I3" s="2022"/>
      <c r="J3" s="2022"/>
      <c r="K3" s="2023"/>
      <c r="L3" s="2024"/>
      <c r="M3" s="2024"/>
      <c r="N3" s="2025"/>
      <c r="O3" s="2026"/>
      <c r="P3" s="2025"/>
      <c r="Q3" s="2025"/>
      <c r="R3" s="2025"/>
      <c r="S3" s="2027"/>
    </row>
    <row r="4" spans="1:19" ht="18" customHeight="1" thickBot="1">
      <c r="A4" s="2034" t="s">
        <v>1778</v>
      </c>
      <c r="B4" s="2035" t="s">
        <v>3216</v>
      </c>
      <c r="C4" s="1033">
        <f>SUMIF(注册房地产估价师,B4,估价师及机构信息!B3:B24)</f>
        <v>0</v>
      </c>
      <c r="D4" s="2035" t="s">
        <v>3037</v>
      </c>
      <c r="E4" s="1034">
        <f ca="1">SUMIF(注册房地产估价师,D4,估价师及机构信息!B3:B24)</f>
        <v>1120000080</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 xml:space="preserve"> （注册号：0)、欧红伟（注册号：1120000080)</v>
      </c>
      <c r="L4" s="2024"/>
      <c r="M4" s="2024"/>
      <c r="N4" s="2025"/>
      <c r="O4" s="2026"/>
      <c r="P4" s="2025"/>
      <c r="Q4" s="2025"/>
      <c r="R4" s="2025"/>
      <c r="S4" s="2027"/>
    </row>
    <row r="5" spans="1:19" ht="18" customHeight="1" thickTop="1">
      <c r="A5" s="2040" t="s">
        <v>1779</v>
      </c>
      <c r="B5" s="2927" t="s">
        <v>3038</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1780</v>
      </c>
      <c r="B6" s="2928" t="s">
        <v>3039</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1781</v>
      </c>
      <c r="B7" s="2047" t="str">
        <f>B5</f>
        <v>北京居然之家投资控股集团有限公司</v>
      </c>
      <c r="C7" s="2044"/>
      <c r="D7" s="2045"/>
      <c r="E7" s="2030"/>
      <c r="F7" s="2038"/>
      <c r="G7" s="2038"/>
      <c r="H7" s="2038"/>
      <c r="I7" s="2038"/>
      <c r="J7" s="2038"/>
      <c r="K7" s="2048"/>
      <c r="L7" s="2024"/>
      <c r="M7" s="2024"/>
      <c r="N7" s="2025"/>
      <c r="O7" s="2026"/>
      <c r="P7" s="2025"/>
      <c r="Q7" s="2025"/>
      <c r="R7" s="2025"/>
    </row>
    <row r="8" spans="1:19" ht="18" customHeight="1">
      <c r="A8" s="2043" t="s">
        <v>1782</v>
      </c>
      <c r="B8" s="2049" t="s">
        <v>3040</v>
      </c>
      <c r="C8" s="2050"/>
      <c r="D8" s="3082" t="s">
        <v>1783</v>
      </c>
      <c r="E8" s="2051" t="s">
        <v>3041</v>
      </c>
      <c r="F8" s="2052"/>
      <c r="G8" s="2022"/>
      <c r="H8" s="2022"/>
      <c r="I8" s="2022"/>
      <c r="J8" s="2038"/>
      <c r="K8" s="2039"/>
      <c r="L8" s="2024"/>
      <c r="M8" s="2024"/>
      <c r="N8" s="2025"/>
      <c r="O8" s="2026"/>
      <c r="P8" s="2025"/>
      <c r="Q8" s="2025"/>
      <c r="R8" s="2025"/>
    </row>
    <row r="9" spans="1:19" ht="18" customHeight="1" thickBot="1">
      <c r="A9" s="2036" t="s">
        <v>1784</v>
      </c>
      <c r="B9" s="2053" t="s">
        <v>3041</v>
      </c>
      <c r="C9" s="2054"/>
      <c r="D9" s="3083"/>
      <c r="E9" s="2053"/>
      <c r="F9" s="2055"/>
      <c r="G9" s="2056"/>
      <c r="H9" s="2056"/>
      <c r="I9" s="2056"/>
      <c r="J9" s="2038"/>
      <c r="K9" s="2048"/>
      <c r="L9" s="2024"/>
      <c r="M9" s="2024"/>
      <c r="N9" s="2025"/>
      <c r="O9" s="2026"/>
      <c r="P9" s="2025"/>
      <c r="Q9" s="2025"/>
      <c r="R9" s="2025"/>
    </row>
    <row r="10" spans="1:19" ht="18" customHeight="1" thickTop="1">
      <c r="A10" s="2057" t="s">
        <v>1785</v>
      </c>
      <c r="B10" s="2058" t="s">
        <v>3042</v>
      </c>
      <c r="C10" s="2059"/>
      <c r="D10" s="2042"/>
      <c r="E10" s="2060" t="s">
        <v>1786</v>
      </c>
      <c r="F10" s="2061" t="s">
        <v>3045</v>
      </c>
      <c r="G10" s="2062"/>
      <c r="H10" s="2063"/>
      <c r="I10" s="2042"/>
      <c r="J10" s="2038"/>
      <c r="K10" s="2048"/>
      <c r="L10" s="2024"/>
      <c r="M10" s="2024"/>
      <c r="N10" s="2025"/>
      <c r="O10" s="2026"/>
      <c r="P10" s="2025"/>
      <c r="Q10" s="2025"/>
      <c r="R10" s="2025"/>
    </row>
    <row r="11" spans="1:19" ht="18" customHeight="1">
      <c r="A11" s="2064" t="s">
        <v>1787</v>
      </c>
      <c r="B11" s="2065" t="s">
        <v>3044</v>
      </c>
      <c r="C11" s="2066"/>
      <c r="D11" s="2067"/>
      <c r="E11" s="2038"/>
      <c r="F11" s="2038"/>
      <c r="G11" s="2038"/>
      <c r="H11" s="2038"/>
      <c r="I11" s="2038"/>
      <c r="J11" s="2038"/>
      <c r="K11" s="2048"/>
      <c r="L11" s="2024"/>
      <c r="M11" s="2024"/>
      <c r="N11" s="2025"/>
      <c r="O11" s="2026"/>
      <c r="P11" s="2025"/>
      <c r="Q11" s="2025"/>
      <c r="R11" s="2025"/>
    </row>
    <row r="12" spans="1:19" ht="18" customHeight="1">
      <c r="A12" s="2068" t="s">
        <v>1788</v>
      </c>
      <c r="B12" s="2065" t="s">
        <v>3043</v>
      </c>
      <c r="C12" s="2069" t="s">
        <v>1789</v>
      </c>
      <c r="D12" s="2070" t="s">
        <v>1790</v>
      </c>
      <c r="E12" s="2070" t="s">
        <v>1791</v>
      </c>
      <c r="F12" s="2070" t="s">
        <v>1792</v>
      </c>
      <c r="G12" s="2070" t="s">
        <v>1793</v>
      </c>
      <c r="H12" s="2070" t="s">
        <v>1794</v>
      </c>
      <c r="I12" s="2070" t="s">
        <v>1795</v>
      </c>
      <c r="J12" s="2038"/>
      <c r="K12" s="2048"/>
      <c r="L12" s="2024"/>
      <c r="M12" s="2024"/>
      <c r="N12" s="2025"/>
      <c r="O12" s="2026"/>
      <c r="P12" s="2025"/>
      <c r="Q12" s="2025"/>
      <c r="R12" s="2025"/>
    </row>
    <row r="13" spans="1:19" ht="18" customHeight="1">
      <c r="A13" s="2071"/>
      <c r="B13" s="2072"/>
      <c r="C13" s="2073" t="s">
        <v>1796</v>
      </c>
      <c r="D13" s="2074"/>
      <c r="E13" s="2074"/>
      <c r="F13" s="2929">
        <v>56489</v>
      </c>
      <c r="G13" s="2929">
        <v>56489</v>
      </c>
      <c r="H13" s="2074"/>
      <c r="I13" s="1043" t="s">
        <v>3226</v>
      </c>
      <c r="J13" s="2038"/>
      <c r="K13" s="2048"/>
      <c r="L13" s="2024"/>
      <c r="M13" s="2024"/>
      <c r="N13" s="2025"/>
      <c r="O13" s="2026"/>
      <c r="P13" s="2025"/>
      <c r="Q13" s="2025"/>
      <c r="R13" s="2025"/>
    </row>
    <row r="14" spans="1:19" ht="18" customHeight="1">
      <c r="A14" s="2071"/>
      <c r="B14" s="2072"/>
      <c r="C14" s="2073" t="s">
        <v>1797</v>
      </c>
      <c r="D14" s="1046"/>
      <c r="E14" s="1046"/>
      <c r="F14" s="1046">
        <v>50</v>
      </c>
      <c r="G14" s="1046">
        <v>50</v>
      </c>
      <c r="H14" s="1046"/>
      <c r="I14" s="1046"/>
      <c r="J14" s="2038"/>
      <c r="K14" s="2075"/>
      <c r="L14" s="2024"/>
      <c r="M14" s="2024"/>
      <c r="N14" s="2025"/>
      <c r="O14" s="2026"/>
      <c r="P14" s="2025"/>
      <c r="Q14" s="2025"/>
      <c r="R14" s="2025"/>
    </row>
    <row r="15" spans="1:19" ht="18" customHeight="1">
      <c r="A15" s="2057"/>
      <c r="B15" s="2076"/>
      <c r="C15" s="2073" t="s">
        <v>1798</v>
      </c>
      <c r="D15" s="1045" t="str">
        <f>IF(B12="出让",IF(D13="","",ROUNDDOWN(MIN((D13-$D$3)/365,D14),2)),D14)</f>
        <v/>
      </c>
      <c r="E15" s="1045" t="str">
        <f>IF(B12="出让",IF(E13="","",ROUNDDOWN(MIN((E13-$D$3)/365,E14),2)),E14)</f>
        <v/>
      </c>
      <c r="F15" s="1045">
        <f>IF(B12="出让",IF(F13="","",ROUNDDOWN(MIN((F13-$D$3)/365,F14),2)),F14)</f>
        <v>36.5</v>
      </c>
      <c r="G15" s="1045">
        <f>IF(B12="出让",IF(G13="","",ROUNDDOWN(MIN((G13-$D$3)/365,G14),2)),G14)</f>
        <v>36.5</v>
      </c>
      <c r="H15" s="1045" t="str">
        <f>IF(B12="出让",IF(H13="","",ROUNDDOWN(MIN((H13-$D$3)/365,H14),2)),H14)</f>
        <v/>
      </c>
      <c r="I15" s="1045">
        <f>IF(B12="出让",IF(I13="","",ROUNDDOWN(MIN((I13-$D$3)/365,I14),2)),I14)</f>
        <v>3.2</v>
      </c>
      <c r="J15" s="2038"/>
      <c r="K15" s="2077"/>
      <c r="L15" s="2078"/>
      <c r="M15" s="2078"/>
      <c r="N15" s="2079"/>
      <c r="O15" s="2078"/>
      <c r="P15" s="2079"/>
      <c r="Q15" s="2025"/>
      <c r="R15" s="2025"/>
    </row>
    <row r="16" spans="1:19" ht="30.75" customHeight="1">
      <c r="A16" s="2060" t="s">
        <v>1799</v>
      </c>
      <c r="B16" s="3089" t="s">
        <v>3046</v>
      </c>
      <c r="C16" s="3090"/>
      <c r="D16" s="3091"/>
      <c r="E16" s="2080" t="s">
        <v>1800</v>
      </c>
      <c r="F16" s="3092" t="s">
        <v>3047</v>
      </c>
      <c r="G16" s="3093"/>
      <c r="H16" s="3093"/>
      <c r="I16" s="3094"/>
      <c r="J16" s="2025"/>
      <c r="K16" s="2077"/>
      <c r="L16" s="2078"/>
      <c r="M16" s="2078"/>
      <c r="N16" s="2079"/>
      <c r="O16" s="2078"/>
      <c r="P16" s="2079"/>
      <c r="Q16" s="2025"/>
      <c r="R16" s="2025"/>
    </row>
    <row r="17" spans="1:22" ht="18" customHeight="1">
      <c r="A17" s="2081" t="s">
        <v>1801</v>
      </c>
      <c r="B17" s="2031" t="s">
        <v>1802</v>
      </c>
      <c r="C17" s="1050">
        <f>'数据-汇总表'!E3</f>
        <v>52177.779999999992</v>
      </c>
      <c r="D17" s="2082" t="s">
        <v>1803</v>
      </c>
      <c r="E17" s="3095" t="s">
        <v>3048</v>
      </c>
      <c r="F17" s="3096"/>
      <c r="G17" s="3096"/>
      <c r="H17" s="3096"/>
      <c r="I17" s="3097"/>
      <c r="J17" s="2025"/>
      <c r="K17" s="2083"/>
      <c r="L17" s="2078"/>
      <c r="M17" s="2078"/>
      <c r="N17" s="2079"/>
      <c r="O17" s="2078"/>
      <c r="P17" s="2079"/>
      <c r="Q17" s="2025"/>
      <c r="R17" s="2025"/>
      <c r="S17" s="2025"/>
      <c r="T17" s="2025"/>
      <c r="U17" s="2025"/>
      <c r="V17" s="2025"/>
    </row>
    <row r="18" spans="1:22" ht="36" customHeight="1" thickBot="1">
      <c r="A18" s="2084" t="s">
        <v>1804</v>
      </c>
      <c r="B18" s="2034" t="s">
        <v>1805</v>
      </c>
      <c r="C18" s="1440">
        <f>'数据-汇总表'!D3</f>
        <v>8406.27</v>
      </c>
      <c r="D18" s="2085" t="s">
        <v>1803</v>
      </c>
      <c r="E18" s="3098" t="s">
        <v>3049</v>
      </c>
      <c r="F18" s="3099"/>
      <c r="G18" s="3099"/>
      <c r="H18" s="3099"/>
      <c r="I18" s="3100"/>
      <c r="J18" s="2025"/>
      <c r="K18" s="2083"/>
      <c r="L18" s="2078"/>
      <c r="M18" s="2078"/>
      <c r="N18" s="2079"/>
      <c r="O18" s="2078"/>
      <c r="P18" s="2079"/>
      <c r="Q18" s="2025"/>
      <c r="R18" s="2025"/>
      <c r="S18" s="2025"/>
      <c r="T18" s="2025"/>
      <c r="U18" s="2025"/>
      <c r="V18" s="2025"/>
    </row>
    <row r="19" spans="1:22" ht="37.5" customHeight="1" thickTop="1" thickBot="1">
      <c r="A19" s="372" t="s">
        <v>1806</v>
      </c>
      <c r="B19" s="351" t="s">
        <v>1807</v>
      </c>
      <c r="C19" s="2086" t="s">
        <v>3051</v>
      </c>
      <c r="D19" s="2087" t="s">
        <v>1808</v>
      </c>
      <c r="E19" s="2088"/>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1809</v>
      </c>
      <c r="B20" s="3085" t="s">
        <v>1810</v>
      </c>
      <c r="C20" s="3086"/>
      <c r="D20" s="3087" t="s">
        <v>1811</v>
      </c>
      <c r="E20" s="3088"/>
      <c r="F20" s="2092" t="s">
        <v>1812</v>
      </c>
      <c r="G20" s="2038"/>
      <c r="H20" s="2038"/>
      <c r="I20" s="2038"/>
      <c r="J20" s="2038"/>
      <c r="K20" s="3084" t="s">
        <v>1813</v>
      </c>
      <c r="L20" s="7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4"/>
      <c r="N20" s="2079"/>
      <c r="O20" s="2078"/>
      <c r="P20" s="2079"/>
      <c r="Q20" s="2025"/>
      <c r="R20" s="2025"/>
      <c r="S20" s="2025"/>
      <c r="T20" s="2025"/>
      <c r="U20" s="2025"/>
      <c r="V20" s="2025"/>
    </row>
    <row r="21" spans="1:22" ht="24.75" customHeight="1">
      <c r="A21" s="2091"/>
      <c r="B21" s="2093" t="s">
        <v>1814</v>
      </c>
      <c r="C21" s="2094" t="s">
        <v>1815</v>
      </c>
      <c r="D21" s="2095" t="s">
        <v>1816</v>
      </c>
      <c r="E21" s="2096" t="s">
        <v>1815</v>
      </c>
      <c r="F21" s="2097"/>
      <c r="G21" s="2038"/>
      <c r="H21" s="2038"/>
      <c r="I21" s="2038"/>
      <c r="J21" s="2038"/>
      <c r="K21" s="308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1817</v>
      </c>
      <c r="C22" s="2094" t="s">
        <v>3050</v>
      </c>
      <c r="D22" s="2022"/>
      <c r="E22" s="2022"/>
      <c r="F22" s="2099"/>
      <c r="G22" s="2038"/>
      <c r="H22" s="2038"/>
      <c r="I22" s="2038"/>
      <c r="J22" s="2038"/>
      <c r="K22" s="3084"/>
      <c r="L22" s="746"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1818</v>
      </c>
      <c r="B23" s="182" t="s">
        <v>1819</v>
      </c>
      <c r="C23" s="2101"/>
      <c r="D23" s="2102" t="s">
        <v>1819</v>
      </c>
      <c r="E23" s="2103"/>
      <c r="F23" s="2099"/>
      <c r="G23" s="2038"/>
      <c r="H23" s="2038"/>
      <c r="I23" s="2038"/>
      <c r="J23" s="2038"/>
      <c r="K23" s="2104"/>
      <c r="L23" s="746"/>
      <c r="M23" s="2024"/>
      <c r="N23" s="2079"/>
      <c r="O23" s="2078"/>
      <c r="P23" s="2079"/>
      <c r="Q23" s="2025"/>
      <c r="R23" s="2025"/>
      <c r="S23" s="2025"/>
      <c r="T23" s="2025"/>
      <c r="U23" s="2025"/>
      <c r="V23" s="2025"/>
    </row>
    <row r="24" spans="1:22" ht="18" customHeight="1">
      <c r="A24" s="2105"/>
      <c r="B24" s="182" t="s">
        <v>1820</v>
      </c>
      <c r="C24" s="2106"/>
      <c r="D24" s="2100" t="s">
        <v>1820</v>
      </c>
      <c r="E24" s="2107"/>
      <c r="F24" s="2099"/>
      <c r="G24" s="2038"/>
      <c r="H24" s="2038"/>
      <c r="I24" s="2038"/>
      <c r="J24" s="2038"/>
      <c r="K24" s="2104"/>
      <c r="L24" s="746"/>
      <c r="M24" s="2024"/>
      <c r="N24" s="2079"/>
      <c r="O24" s="2078"/>
      <c r="P24" s="2079"/>
      <c r="Q24" s="2025"/>
      <c r="R24" s="2025"/>
      <c r="S24" s="2025"/>
      <c r="T24" s="2025"/>
      <c r="U24" s="2025"/>
      <c r="V24" s="2025"/>
    </row>
    <row r="25" spans="1:22" ht="18" customHeight="1">
      <c r="A25" s="2105"/>
      <c r="B25" s="182" t="s">
        <v>1821</v>
      </c>
      <c r="C25" s="2106"/>
      <c r="D25" s="2100" t="s">
        <v>1821</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1822</v>
      </c>
      <c r="C26" s="2110"/>
      <c r="D26" s="2111" t="s">
        <v>1823</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102" t="s">
        <v>1824</v>
      </c>
      <c r="B27" s="2057" t="s">
        <v>1825</v>
      </c>
      <c r="C27" s="2114" t="s">
        <v>3052</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102"/>
      <c r="B28" s="2031" t="s">
        <v>1826</v>
      </c>
      <c r="C28" s="2116" t="s">
        <v>3053</v>
      </c>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102"/>
      <c r="B29" s="2031" t="s">
        <v>1827</v>
      </c>
      <c r="C29" s="2119" t="s">
        <v>3054</v>
      </c>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103"/>
      <c r="B30" s="2031" t="s">
        <v>1828</v>
      </c>
      <c r="C30" s="3104"/>
      <c r="D30" s="3105"/>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106" t="s">
        <v>1829</v>
      </c>
      <c r="B31" s="2121" t="s">
        <v>3055</v>
      </c>
      <c r="C31" s="2122" t="str">
        <f>IF(B31="现房","成新及维护状况正常否",IF(B31="在建","工程状态是否正常",IF(B31="土地","是否闲置","-")))</f>
        <v>成新及维护状况正常否</v>
      </c>
      <c r="D31" s="2123"/>
      <c r="E31" s="2124"/>
      <c r="F31" s="2038"/>
      <c r="G31" s="2038"/>
      <c r="H31" s="2038"/>
      <c r="I31" s="2038"/>
      <c r="J31" s="2038"/>
      <c r="K31" s="2046"/>
      <c r="L31" s="2024"/>
      <c r="M31" s="2024"/>
      <c r="N31" s="2025"/>
      <c r="O31" s="2026"/>
      <c r="P31" s="2025"/>
      <c r="Q31" s="2025"/>
      <c r="R31" s="2025"/>
      <c r="S31" s="2025"/>
      <c r="T31" s="2025"/>
      <c r="U31" s="2025"/>
      <c r="V31" s="2025"/>
    </row>
    <row r="32" spans="1:22" ht="18" customHeight="1">
      <c r="A32" s="3107"/>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107"/>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1830</v>
      </c>
      <c r="B34" s="2930" t="s">
        <v>3056</v>
      </c>
      <c r="C34" s="2930" t="s">
        <v>3057</v>
      </c>
      <c r="D34" s="2930" t="s">
        <v>3058</v>
      </c>
      <c r="E34" s="2930" t="s">
        <v>3059</v>
      </c>
      <c r="F34" s="2930" t="s">
        <v>3060</v>
      </c>
      <c r="G34" s="2128"/>
      <c r="H34" s="2128"/>
      <c r="I34" s="2038"/>
      <c r="J34" s="2038"/>
      <c r="K34" s="1791">
        <f>COUNTIF(B34:H34,"——")</f>
        <v>0</v>
      </c>
      <c r="L34" s="2069" t="s">
        <v>1831</v>
      </c>
      <c r="M34" s="2069" t="s">
        <v>1832</v>
      </c>
      <c r="N34" s="2069" t="s">
        <v>1833</v>
      </c>
      <c r="O34" s="2069" t="s">
        <v>1834</v>
      </c>
      <c r="P34" s="2069" t="s">
        <v>1835</v>
      </c>
      <c r="Q34" s="2069" t="s">
        <v>1836</v>
      </c>
      <c r="R34" s="2069" t="s">
        <v>1837</v>
      </c>
      <c r="S34" s="3101" t="s">
        <v>1838</v>
      </c>
      <c r="T34" s="2129" t="str">
        <f>NUMBERSTRING(7-K34,1)&amp;"通"</f>
        <v>七通</v>
      </c>
      <c r="U34" s="2025"/>
      <c r="V34" s="2025"/>
    </row>
    <row r="35" spans="1:22" ht="18" customHeight="1">
      <c r="A35" s="2130"/>
      <c r="B35" s="3108" t="s">
        <v>1839</v>
      </c>
      <c r="C35" s="3108"/>
      <c r="D35" s="3108"/>
      <c r="E35" s="3108"/>
      <c r="F35" s="2131">
        <f>C10</f>
        <v>0</v>
      </c>
      <c r="G35" s="2038"/>
      <c r="H35" s="2038"/>
      <c r="I35" s="2038"/>
      <c r="J35" s="2038"/>
      <c r="K35" s="2069"/>
      <c r="L35" s="2069"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v>
      </c>
      <c r="R35" s="48" t="str">
        <f>B34&amp;"、"&amp;C34&amp;"、"&amp;D34&amp;"、"&amp;E34&amp;"、"&amp;F34&amp;"、"&amp;G34&amp;"、"&amp;H34</f>
        <v>通路、通电、通上水、通下水、通讯、、</v>
      </c>
      <c r="S35" s="3101"/>
      <c r="T35" s="48" t="str">
        <f>IF(T34="一通",L35,IF(T34="二通",M35,IF(T34="三通",N35,IF(T34="四通",O35,IF(T34="五通",P35,IF(T34="六通",Q35,R35))))))</f>
        <v>通路、通电、通上水、通下水、通讯、、</v>
      </c>
      <c r="U35" s="2025"/>
      <c r="V35" s="2025"/>
    </row>
    <row r="36" spans="1:22" ht="18" customHeight="1">
      <c r="A36" s="2132"/>
      <c r="B36" s="2131" t="s">
        <v>1840</v>
      </c>
      <c r="C36" s="2131" t="s">
        <v>1841</v>
      </c>
      <c r="D36" s="2131" t="s">
        <v>1842</v>
      </c>
      <c r="E36" s="2131" t="s">
        <v>1843</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1844</v>
      </c>
      <c r="B37" s="2135"/>
      <c r="C37" s="2931" t="s">
        <v>269</v>
      </c>
      <c r="D37" s="2135"/>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1845</v>
      </c>
      <c r="B38" s="2137"/>
      <c r="C38" s="2932" t="s">
        <v>322</v>
      </c>
      <c r="D38" s="2137"/>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5"/>
      <c r="L40" s="2078"/>
      <c r="M40" s="2078"/>
      <c r="N40" s="2079"/>
      <c r="O40" s="2078"/>
      <c r="P40" s="2025"/>
      <c r="Q40" s="2025"/>
      <c r="R40" s="2025"/>
      <c r="S40" s="2025"/>
      <c r="T40" s="2025"/>
      <c r="U40" s="2025"/>
      <c r="V40" s="2025"/>
    </row>
    <row r="41" spans="1:22" ht="18" customHeight="1">
      <c r="A41" s="8" t="s">
        <v>1847</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1848</v>
      </c>
      <c r="B42" s="1791" t="s">
        <v>1849</v>
      </c>
      <c r="C42" s="1791" t="s">
        <v>1850</v>
      </c>
      <c r="D42" s="1791" t="s">
        <v>1851</v>
      </c>
      <c r="E42" s="1791" t="s">
        <v>1852</v>
      </c>
      <c r="F42" s="1791" t="s">
        <v>1853</v>
      </c>
      <c r="G42" s="1791" t="s">
        <v>1854</v>
      </c>
      <c r="H42" s="1791" t="s">
        <v>1855</v>
      </c>
      <c r="I42" s="1791" t="s">
        <v>1856</v>
      </c>
      <c r="J42" s="2147" t="s">
        <v>1857</v>
      </c>
      <c r="K42" s="2070" t="s">
        <v>1858</v>
      </c>
      <c r="L42" s="2070" t="s">
        <v>1859</v>
      </c>
      <c r="M42" s="2070" t="s">
        <v>1860</v>
      </c>
      <c r="N42" s="1791" t="s">
        <v>1861</v>
      </c>
      <c r="O42" s="1791" t="s">
        <v>1862</v>
      </c>
      <c r="P42" s="1791" t="s">
        <v>1863</v>
      </c>
      <c r="Q42" s="2069" t="s">
        <v>1864</v>
      </c>
      <c r="R42" s="2069" t="s">
        <v>1865</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4" activePane="bottomRight" state="frozen"/>
      <selection activeCell="C50" sqref="C50"/>
      <selection pane="topRight" activeCell="C50" sqref="C50"/>
      <selection pane="bottomLeft" activeCell="C50" sqref="C50"/>
      <selection pane="bottomRight" activeCell="A14" sqref="A14:XFD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6"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1871</v>
      </c>
      <c r="AZ2" s="1266"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8406.27</v>
      </c>
      <c r="B3" s="14">
        <f>IF(C3="否",G5-AT5,G5)</f>
        <v>52177.779999999992</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799"/>
      <c r="C5" s="1799"/>
      <c r="D5" s="1802"/>
      <c r="E5" s="16" t="s">
        <v>1</v>
      </c>
      <c r="F5" s="16">
        <f>SUM(F13:F587)</f>
        <v>0</v>
      </c>
      <c r="G5" s="16">
        <f>SUM(G13:G587)</f>
        <v>53153.189999999995</v>
      </c>
      <c r="H5" s="16">
        <f t="shared" ref="H5:AT5" si="0">SUM(H13:H656)</f>
        <v>48487.340000000004</v>
      </c>
      <c r="I5" s="16">
        <f t="shared" si="0"/>
        <v>40781.420000000006</v>
      </c>
      <c r="J5" s="16">
        <f t="shared" si="0"/>
        <v>0</v>
      </c>
      <c r="K5" s="16">
        <f t="shared" si="0"/>
        <v>7705.92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3690.4399999999996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3690.4399999999996</v>
      </c>
      <c r="AO5" s="16">
        <f t="shared" si="0"/>
        <v>0</v>
      </c>
      <c r="AP5" s="16">
        <f t="shared" si="0"/>
        <v>0</v>
      </c>
      <c r="AQ5" s="16">
        <f t="shared" si="0"/>
        <v>0</v>
      </c>
      <c r="AR5" s="16">
        <f t="shared" si="0"/>
        <v>0</v>
      </c>
      <c r="AS5" s="16">
        <f t="shared" si="0"/>
        <v>0</v>
      </c>
      <c r="AT5" s="16">
        <f t="shared" si="0"/>
        <v>975.41</v>
      </c>
      <c r="AU5" s="1798"/>
      <c r="AV5" s="15" t="s">
        <v>1875</v>
      </c>
      <c r="AW5" s="1799"/>
      <c r="AX5" s="1799"/>
      <c r="AY5" s="17" t="s">
        <v>3</v>
      </c>
      <c r="AZ5" s="18">
        <f t="shared" ref="AZ5:BT5" si="1">SUM(AZ13:AZ656)</f>
        <v>52177.779999999992</v>
      </c>
      <c r="BA5" s="18">
        <f t="shared" si="1"/>
        <v>48487.340000000004</v>
      </c>
      <c r="BB5" s="18">
        <f t="shared" si="1"/>
        <v>40781.420000000006</v>
      </c>
      <c r="BC5" s="18">
        <f t="shared" si="1"/>
        <v>7705.92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3690.4399999999996</v>
      </c>
      <c r="BM5" s="18">
        <f t="shared" si="1"/>
        <v>0</v>
      </c>
      <c r="BN5" s="18">
        <f t="shared" si="1"/>
        <v>0</v>
      </c>
      <c r="BO5" s="18">
        <f t="shared" si="1"/>
        <v>0</v>
      </c>
      <c r="BP5" s="18">
        <f t="shared" si="1"/>
        <v>0</v>
      </c>
      <c r="BQ5" s="18">
        <f t="shared" si="1"/>
        <v>0</v>
      </c>
      <c r="BR5" s="18">
        <f t="shared" si="1"/>
        <v>3690.4399999999996</v>
      </c>
      <c r="BS5" s="18">
        <f t="shared" si="1"/>
        <v>0</v>
      </c>
      <c r="BT5" s="19">
        <f t="shared" si="1"/>
        <v>0</v>
      </c>
    </row>
    <row r="6" spans="1:72" s="2172" customFormat="1" ht="12.75">
      <c r="A6" s="15" t="s">
        <v>1876</v>
      </c>
      <c r="B6" s="2169"/>
      <c r="C6" s="2169"/>
      <c r="D6" s="2170"/>
      <c r="E6" s="16">
        <f>H6+AC6+AT6</f>
        <v>8406.27</v>
      </c>
      <c r="F6" s="16" t="s">
        <v>1</v>
      </c>
      <c r="G6" s="16" t="s">
        <v>2</v>
      </c>
      <c r="H6" s="20">
        <f>SUMIF(I$12:AB$12,"总值",I6:AB6)</f>
        <v>7811.71</v>
      </c>
      <c r="I6" s="16">
        <f t="shared" ref="I6:AB6" si="2">ROUND($A$3*I5/$B$3,2)</f>
        <v>6570.22</v>
      </c>
      <c r="J6" s="16">
        <f t="shared" si="2"/>
        <v>0</v>
      </c>
      <c r="K6" s="16">
        <f t="shared" si="2"/>
        <v>1241.49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594.55999999999995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594.55999999999995</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8406.27</v>
      </c>
      <c r="AZ6" s="16" t="s">
        <v>3</v>
      </c>
      <c r="BA6" s="16">
        <f>ROUND($AY$6*BA5/$AZ$5,2)</f>
        <v>7811.71</v>
      </c>
      <c r="BB6" s="16">
        <f>ROUND($AY$6*BB5/$AZ$5,2)</f>
        <v>6570.22</v>
      </c>
      <c r="BC6" s="16">
        <f t="shared" ref="BC6:BH6" si="4">ROUND($AY$6*BC5/$AZ$5,2)</f>
        <v>1241.49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594.55999999999995</v>
      </c>
      <c r="BM6" s="16">
        <f t="shared" si="5"/>
        <v>0</v>
      </c>
      <c r="BN6" s="16">
        <f t="shared" si="5"/>
        <v>0</v>
      </c>
      <c r="BO6" s="16">
        <f t="shared" si="5"/>
        <v>0</v>
      </c>
      <c r="BP6" s="16">
        <f t="shared" si="5"/>
        <v>0</v>
      </c>
      <c r="BQ6" s="16">
        <f t="shared" si="5"/>
        <v>0</v>
      </c>
      <c r="BR6" s="16">
        <f t="shared" si="5"/>
        <v>594.55999999999995</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1884</v>
      </c>
      <c r="AV7" s="23" t="s">
        <v>1885</v>
      </c>
      <c r="AW7" s="2161" t="s">
        <v>1886</v>
      </c>
      <c r="AX7" s="23" t="s">
        <v>1879</v>
      </c>
      <c r="AY7" s="1799"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4"/>
      <c r="K8" s="1814"/>
      <c r="L8" s="1814"/>
      <c r="M8" s="1814"/>
      <c r="N8" s="1814"/>
      <c r="O8" s="1814"/>
      <c r="P8" s="1814"/>
      <c r="Q8" s="1814"/>
      <c r="R8" s="1814"/>
      <c r="S8" s="1814"/>
      <c r="T8" s="1814"/>
      <c r="U8" s="1814"/>
      <c r="V8" s="2181"/>
      <c r="W8" s="1814"/>
      <c r="X8" s="1814"/>
      <c r="Y8" s="1814"/>
      <c r="Z8" s="1814"/>
      <c r="AA8" s="2181"/>
      <c r="AB8" s="2182"/>
      <c r="AC8" s="977" t="s">
        <v>1890</v>
      </c>
      <c r="AD8" s="2183"/>
      <c r="AE8" s="2175"/>
      <c r="AF8" s="1814"/>
      <c r="AG8" s="1814"/>
      <c r="AH8" s="1814"/>
      <c r="AI8" s="1814"/>
      <c r="AJ8" s="1814"/>
      <c r="AK8" s="1814"/>
      <c r="AL8" s="1814"/>
      <c r="AM8" s="1814"/>
      <c r="AN8" s="1814"/>
      <c r="AO8" s="1814"/>
      <c r="AP8" s="1814"/>
      <c r="AQ8" s="1814"/>
      <c r="AR8" s="1814"/>
      <c r="AS8" s="1814"/>
      <c r="AT8" s="1288" t="s">
        <v>1891</v>
      </c>
      <c r="AU8" s="2177" t="s">
        <v>1892</v>
      </c>
      <c r="AV8" s="1288"/>
      <c r="AW8" s="2160"/>
      <c r="AX8" s="1288"/>
      <c r="AY8" s="2161"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1895</v>
      </c>
      <c r="I9" s="2935" t="s">
        <v>3066</v>
      </c>
      <c r="J9" s="977"/>
      <c r="K9" s="2935" t="s">
        <v>3067</v>
      </c>
      <c r="L9" s="977"/>
      <c r="M9" s="2186"/>
      <c r="N9" s="977"/>
      <c r="O9" s="2186"/>
      <c r="P9" s="977"/>
      <c r="Q9" s="2186"/>
      <c r="R9" s="977"/>
      <c r="S9" s="2186"/>
      <c r="T9" s="977"/>
      <c r="U9" s="2186"/>
      <c r="V9" s="977"/>
      <c r="W9" s="2186"/>
      <c r="X9" s="2187"/>
      <c r="Y9" s="2186"/>
      <c r="Z9" s="977"/>
      <c r="AA9" s="2186"/>
      <c r="AB9" s="977"/>
      <c r="AC9" s="2178"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8"/>
      <c r="AT9" s="2177"/>
      <c r="AU9" s="2177" t="s">
        <v>1898</v>
      </c>
      <c r="AV9" s="1288"/>
      <c r="AW9" s="2160"/>
      <c r="AX9" s="1288"/>
      <c r="AY9" s="28"/>
      <c r="AZ9" s="28" t="s">
        <v>1888</v>
      </c>
      <c r="BA9" s="2189" t="s">
        <v>1899</v>
      </c>
      <c r="BB9" s="2190"/>
      <c r="BC9" s="1334"/>
      <c r="BD9" s="1334"/>
      <c r="BE9" s="1334"/>
      <c r="BF9" s="1334"/>
      <c r="BG9" s="1334"/>
      <c r="BH9" s="1334"/>
      <c r="BI9" s="1334"/>
      <c r="BJ9" s="1334"/>
      <c r="BK9" s="2191"/>
      <c r="BL9" s="15" t="s">
        <v>1900</v>
      </c>
      <c r="BM9" s="1814"/>
      <c r="BN9" s="2180"/>
      <c r="BO9" s="1814"/>
      <c r="BP9" s="1814"/>
      <c r="BQ9" s="1814"/>
      <c r="BR9" s="1814"/>
      <c r="BS9" s="1814"/>
      <c r="BT9" s="26"/>
    </row>
    <row r="10" spans="1:72" s="2184" customFormat="1" ht="12.75">
      <c r="A10" s="2177"/>
      <c r="B10" s="2177"/>
      <c r="C10" s="2177"/>
      <c r="D10" s="2177"/>
      <c r="E10" s="2177"/>
      <c r="F10" s="2177"/>
      <c r="G10" s="1288"/>
      <c r="H10" s="28"/>
      <c r="I10" s="2935" t="s">
        <v>27</v>
      </c>
      <c r="J10" s="977"/>
      <c r="K10" s="2937" t="s">
        <v>3068</v>
      </c>
      <c r="L10" s="977"/>
      <c r="M10" s="2192"/>
      <c r="N10" s="977"/>
      <c r="O10" s="2192"/>
      <c r="P10" s="977"/>
      <c r="Q10" s="2192"/>
      <c r="R10" s="977"/>
      <c r="S10" s="2192"/>
      <c r="T10" s="977"/>
      <c r="U10" s="2192"/>
      <c r="V10" s="977"/>
      <c r="W10" s="2192"/>
      <c r="X10" s="977"/>
      <c r="Y10" s="2192"/>
      <c r="Z10" s="977"/>
      <c r="AA10" s="2192"/>
      <c r="AB10" s="977"/>
      <c r="AC10" s="1288"/>
      <c r="AD10" s="15" t="s">
        <v>1901</v>
      </c>
      <c r="AE10" s="2193"/>
      <c r="AF10" s="15" t="s">
        <v>1901</v>
      </c>
      <c r="AG10" s="2193"/>
      <c r="AH10" s="15" t="s">
        <v>1902</v>
      </c>
      <c r="AI10" s="2193"/>
      <c r="AJ10" s="15" t="s">
        <v>1902</v>
      </c>
      <c r="AK10" s="2193"/>
      <c r="AL10" s="15" t="s">
        <v>1903</v>
      </c>
      <c r="AM10" s="1294"/>
      <c r="AN10" s="15" t="s">
        <v>1903</v>
      </c>
      <c r="AO10" s="1294"/>
      <c r="AP10" s="15" t="s">
        <v>1904</v>
      </c>
      <c r="AQ10" s="1294"/>
      <c r="AR10" s="15" t="s">
        <v>1904</v>
      </c>
      <c r="AS10" s="1294"/>
      <c r="AT10" s="2177"/>
      <c r="AU10" s="2177"/>
      <c r="AV10" s="1288"/>
      <c r="AW10" s="2160"/>
      <c r="AX10" s="1288"/>
      <c r="AY10" s="28"/>
      <c r="AZ10" s="28"/>
      <c r="BA10" s="2194" t="s">
        <v>1895</v>
      </c>
      <c r="BB10" s="2195" t="str">
        <f>I9</f>
        <v>地上</v>
      </c>
      <c r="BC10" s="29" t="str">
        <f>K9</f>
        <v>地下</v>
      </c>
      <c r="BD10" s="29">
        <f>M9</f>
        <v>0</v>
      </c>
      <c r="BE10" s="29">
        <f>O9</f>
        <v>0</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936" t="s">
        <v>3065</v>
      </c>
      <c r="J11" s="2198"/>
      <c r="K11" s="2936" t="s">
        <v>3062</v>
      </c>
      <c r="L11" s="2198"/>
      <c r="M11" s="2197"/>
      <c r="N11" s="2198"/>
      <c r="O11" s="2197"/>
      <c r="P11" s="2198"/>
      <c r="Q11" s="2197"/>
      <c r="R11" s="2198"/>
      <c r="S11" s="2197"/>
      <c r="T11" s="2198"/>
      <c r="U11" s="2197"/>
      <c r="V11" s="2198"/>
      <c r="W11" s="2197"/>
      <c r="X11" s="2198"/>
      <c r="Y11" s="2197"/>
      <c r="Z11" s="2198"/>
      <c r="AA11" s="2197"/>
      <c r="AB11" s="2198"/>
      <c r="AC11" s="1288"/>
      <c r="AD11" s="2199" t="s">
        <v>1905</v>
      </c>
      <c r="AE11" s="1815"/>
      <c r="AF11" s="2199" t="s">
        <v>1905</v>
      </c>
      <c r="AG11" s="1815"/>
      <c r="AH11" s="2199" t="s">
        <v>1906</v>
      </c>
      <c r="AI11" s="2200"/>
      <c r="AJ11" s="2199" t="s">
        <v>1906</v>
      </c>
      <c r="AK11" s="1815"/>
      <c r="AL11" s="1813"/>
      <c r="AM11" s="1815"/>
      <c r="AN11" s="1813"/>
      <c r="AO11" s="1815"/>
      <c r="AP11" s="1813"/>
      <c r="AQ11" s="1815"/>
      <c r="AR11" s="1813"/>
      <c r="AS11" s="1815"/>
      <c r="AT11" s="2160"/>
      <c r="AU11" s="2177"/>
      <c r="AV11" s="1288"/>
      <c r="AW11" s="2160"/>
      <c r="AX11" s="1288"/>
      <c r="AY11" s="28"/>
      <c r="AZ11" s="28"/>
      <c r="BA11" s="28"/>
      <c r="BB11" s="2182" t="str">
        <f>I10</f>
        <v>办公</v>
      </c>
      <c r="BC11" s="2182" t="str">
        <f>K10</f>
        <v>车库—办公</v>
      </c>
      <c r="BD11" s="2182">
        <f>M10</f>
        <v>0</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4"/>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t="str">
        <f>I11</f>
        <v>办公楼</v>
      </c>
      <c r="BC12" s="2207" t="str">
        <f>K11</f>
        <v>车库</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2933" t="s">
        <v>3061</v>
      </c>
      <c r="C13" s="2933">
        <v>-301</v>
      </c>
      <c r="D13" s="2934" t="s">
        <v>3051</v>
      </c>
      <c r="E13" s="16">
        <f>IF($C$3="是",ROUND($A$3*G13/$B$3,2),ROUND($A$3*(G13-AT13)/$B$3,2))</f>
        <v>92.09</v>
      </c>
      <c r="F13" s="32"/>
      <c r="G13" s="33">
        <f>H13+AC13+AT13</f>
        <v>571.63</v>
      </c>
      <c r="H13" s="20">
        <f>SUMIF(I$12:AB$12,"总值",I13:AB13)</f>
        <v>0</v>
      </c>
      <c r="I13" s="2933"/>
      <c r="J13" s="2933"/>
      <c r="K13" s="2933"/>
      <c r="L13" s="2208"/>
      <c r="M13" s="2208"/>
      <c r="N13" s="2208"/>
      <c r="O13" s="2208"/>
      <c r="P13" s="2208"/>
      <c r="Q13" s="2208"/>
      <c r="R13" s="2208"/>
      <c r="S13" s="2208"/>
      <c r="T13" s="2208"/>
      <c r="U13" s="2208"/>
      <c r="V13" s="2208"/>
      <c r="W13" s="2208"/>
      <c r="X13" s="2208"/>
      <c r="Y13" s="2208"/>
      <c r="Z13" s="2208"/>
      <c r="AA13" s="2208"/>
      <c r="AB13" s="2208"/>
      <c r="AC13" s="16">
        <f>SUMIF(AD$12:AS$12,"总值",AD13:AS13)</f>
        <v>571.63</v>
      </c>
      <c r="AD13" s="2209"/>
      <c r="AE13" s="2209"/>
      <c r="AF13" s="2209"/>
      <c r="AG13" s="2209"/>
      <c r="AH13" s="2209"/>
      <c r="AI13" s="2209"/>
      <c r="AJ13" s="2209"/>
      <c r="AK13" s="2209"/>
      <c r="AL13" s="2209"/>
      <c r="AM13" s="2209"/>
      <c r="AN13" s="2938">
        <v>571.63</v>
      </c>
      <c r="AO13" s="2209"/>
      <c r="AP13" s="2209"/>
      <c r="AQ13" s="2209"/>
      <c r="AR13" s="2209"/>
      <c r="AS13" s="2209"/>
      <c r="AT13" s="2210"/>
      <c r="AU13" s="2211"/>
      <c r="AV13" s="11">
        <f t="shared" ref="AV13:AX17" si="6">A13</f>
        <v>0</v>
      </c>
      <c r="AW13" s="11" t="str">
        <f t="shared" si="6"/>
        <v>其他</v>
      </c>
      <c r="AX13" s="11">
        <f t="shared" si="6"/>
        <v>-301</v>
      </c>
      <c r="AY13" s="1802">
        <f>ROUND($AY$6*AZ13/$AZ$5,2)</f>
        <v>92.09</v>
      </c>
      <c r="AZ13" s="16">
        <f>BA13+BL13</f>
        <v>571.63</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571.63</v>
      </c>
      <c r="BM13" s="16">
        <f>IF($D13="是",AD13-AE13,0)</f>
        <v>0</v>
      </c>
      <c r="BN13" s="16">
        <f>IF($D13="是",AF13-AG13,0)</f>
        <v>0</v>
      </c>
      <c r="BO13" s="16">
        <f>IF($D13="是",AH13-AI13,0)</f>
        <v>0</v>
      </c>
      <c r="BP13" s="16">
        <f>IF($D13="是",AJ13-AK13,0)</f>
        <v>0</v>
      </c>
      <c r="BQ13" s="16">
        <f>IF($D13="是",AL13-AM13,0)</f>
        <v>0</v>
      </c>
      <c r="BR13" s="16">
        <f>IF($D13="是",AN13-AO13,0)</f>
        <v>571.63</v>
      </c>
      <c r="BS13" s="16">
        <f>IF($D13="是",AP13-AQ13,0)</f>
        <v>0</v>
      </c>
      <c r="BT13" s="22">
        <f>IF($D13="是",AR13-AS13,0)</f>
        <v>0</v>
      </c>
    </row>
    <row r="14" spans="1:72" s="2162" customFormat="1" ht="12.75">
      <c r="A14" s="1268"/>
      <c r="B14" s="2933" t="s">
        <v>3062</v>
      </c>
      <c r="C14" s="2933">
        <v>-201</v>
      </c>
      <c r="D14" s="2934" t="s">
        <v>3051</v>
      </c>
      <c r="E14" s="16">
        <f>IF($C$3="是",ROUND($A$3*G14/$B$3,2),ROUND($A$3*(G14-AT14)/$B$3,2))</f>
        <v>1055.4000000000001</v>
      </c>
      <c r="F14" s="32"/>
      <c r="G14" s="33">
        <f>H14+AC14+AT14</f>
        <v>6550.87</v>
      </c>
      <c r="H14" s="20">
        <f>SUMIF(I$12:AB$12,"总值",I14:AB14)</f>
        <v>6550.87</v>
      </c>
      <c r="I14" s="2933"/>
      <c r="J14" s="2933"/>
      <c r="K14" s="2933">
        <v>6550.87</v>
      </c>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938"/>
      <c r="AO14" s="2209"/>
      <c r="AP14" s="2209"/>
      <c r="AQ14" s="2209"/>
      <c r="AR14" s="2209"/>
      <c r="AS14" s="2209"/>
      <c r="AT14" s="2210"/>
      <c r="AU14" s="2211"/>
      <c r="AV14" s="11">
        <f t="shared" si="6"/>
        <v>0</v>
      </c>
      <c r="AW14" s="11" t="str">
        <f t="shared" si="6"/>
        <v>车库</v>
      </c>
      <c r="AX14" s="11">
        <f t="shared" si="6"/>
        <v>-201</v>
      </c>
      <c r="AY14" s="1802">
        <f>ROUND($AY$6*AZ14/$AZ$5,2)</f>
        <v>1055.4000000000001</v>
      </c>
      <c r="AZ14" s="16">
        <f>BA14+BL14</f>
        <v>6550.87</v>
      </c>
      <c r="BA14" s="16">
        <f>SUM(BB14:BK14)</f>
        <v>6550.87</v>
      </c>
      <c r="BB14" s="16">
        <f>IF($D14="是",I14-J14,0)</f>
        <v>0</v>
      </c>
      <c r="BC14" s="16">
        <f>IF($D14="是",K14-L14,0)</f>
        <v>6550.87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2933" t="s">
        <v>3061</v>
      </c>
      <c r="C15" s="2933">
        <v>-101</v>
      </c>
      <c r="D15" s="2934" t="s">
        <v>3051</v>
      </c>
      <c r="E15" s="16">
        <f>IF($C$3="是",ROUND($A$3*G15/$B$3,2),ROUND($A$3*(G15-AT15)/$B$3,2))</f>
        <v>6.3</v>
      </c>
      <c r="F15" s="32"/>
      <c r="G15" s="33">
        <f>H15+AC15+AT15</f>
        <v>39.1</v>
      </c>
      <c r="H15" s="20">
        <f>SUMIF(I$12:AB$12,"总值",I15:AB15)</f>
        <v>0</v>
      </c>
      <c r="I15" s="2933"/>
      <c r="J15" s="2933"/>
      <c r="K15" s="2933"/>
      <c r="L15" s="2208"/>
      <c r="M15" s="2208"/>
      <c r="N15" s="2208"/>
      <c r="O15" s="2208"/>
      <c r="P15" s="2208"/>
      <c r="Q15" s="2208"/>
      <c r="R15" s="2208"/>
      <c r="S15" s="2208"/>
      <c r="T15" s="2208"/>
      <c r="U15" s="2208"/>
      <c r="V15" s="2208"/>
      <c r="W15" s="2208"/>
      <c r="X15" s="2208"/>
      <c r="Y15" s="2208"/>
      <c r="Z15" s="2208"/>
      <c r="AA15" s="2208"/>
      <c r="AB15" s="2208"/>
      <c r="AC15" s="16">
        <f>SUMIF(AD$12:AS$12,"总值",AD15:AS15)</f>
        <v>39.1</v>
      </c>
      <c r="AD15" s="2209"/>
      <c r="AE15" s="2209"/>
      <c r="AF15" s="2209"/>
      <c r="AG15" s="2209"/>
      <c r="AH15" s="2209"/>
      <c r="AI15" s="2209"/>
      <c r="AJ15" s="2209"/>
      <c r="AK15" s="2209"/>
      <c r="AL15" s="2209"/>
      <c r="AM15" s="2209"/>
      <c r="AN15" s="2938">
        <v>39.1</v>
      </c>
      <c r="AO15" s="2209"/>
      <c r="AP15" s="2209"/>
      <c r="AQ15" s="2209"/>
      <c r="AR15" s="2209"/>
      <c r="AS15" s="2209"/>
      <c r="AT15" s="2210"/>
      <c r="AU15" s="2211"/>
      <c r="AV15" s="11">
        <f t="shared" si="6"/>
        <v>0</v>
      </c>
      <c r="AW15" s="11" t="str">
        <f t="shared" si="6"/>
        <v>其他</v>
      </c>
      <c r="AX15" s="11">
        <f t="shared" si="6"/>
        <v>-101</v>
      </c>
      <c r="AY15" s="1802">
        <f>ROUND($AY$6*AZ15/$AZ$5,2)</f>
        <v>6.3</v>
      </c>
      <c r="AZ15" s="16">
        <f>BA15+BL15</f>
        <v>39.1</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39.1</v>
      </c>
      <c r="BM15" s="16">
        <f>IF($D15="是",AD15-AE15,0)</f>
        <v>0</v>
      </c>
      <c r="BN15" s="16">
        <f>IF($D15="是",AF15-AG15,0)</f>
        <v>0</v>
      </c>
      <c r="BO15" s="16">
        <f>IF($D15="是",AH15-AI15,0)</f>
        <v>0</v>
      </c>
      <c r="BP15" s="16">
        <f>IF($D15="是",AJ15-AK15,0)</f>
        <v>0</v>
      </c>
      <c r="BQ15" s="16">
        <f>IF($D15="是",AL15-AM15,0)</f>
        <v>0</v>
      </c>
      <c r="BR15" s="16">
        <f>IF($D15="是",AN15-AO15,0)</f>
        <v>39.1</v>
      </c>
      <c r="BS15" s="16">
        <f>IF($D15="是",AP15-AQ15,0)</f>
        <v>0</v>
      </c>
      <c r="BT15" s="22">
        <f>IF($D15="是",AR15-AS15,0)</f>
        <v>0</v>
      </c>
    </row>
    <row r="16" spans="1:72" s="2162" customFormat="1" ht="12.75">
      <c r="A16" s="1268"/>
      <c r="B16" s="2933" t="s">
        <v>3063</v>
      </c>
      <c r="C16" s="2933">
        <v>-102</v>
      </c>
      <c r="D16" s="2934" t="s">
        <v>3054</v>
      </c>
      <c r="E16" s="16">
        <f>IF($C$3="是",ROUND($A$3*G16/$B$3,2),ROUND($A$3*(G16-AT16)/$B$3,2))</f>
        <v>0</v>
      </c>
      <c r="F16" s="32"/>
      <c r="G16" s="33">
        <f>H16+AC16+AT16</f>
        <v>975.41</v>
      </c>
      <c r="H16" s="20">
        <f>SUMIF(I$12:AB$12,"总值",I16:AB16)</f>
        <v>0</v>
      </c>
      <c r="I16" s="2933"/>
      <c r="J16" s="2933"/>
      <c r="K16" s="2933"/>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938"/>
      <c r="AO16" s="2209"/>
      <c r="AP16" s="2209"/>
      <c r="AQ16" s="2209"/>
      <c r="AR16" s="2209"/>
      <c r="AS16" s="2209"/>
      <c r="AT16" s="2938">
        <v>975.41</v>
      </c>
      <c r="AU16" s="2211"/>
      <c r="AV16" s="11">
        <f t="shared" si="6"/>
        <v>0</v>
      </c>
      <c r="AW16" s="11" t="str">
        <f t="shared" si="6"/>
        <v>自行车库</v>
      </c>
      <c r="AX16" s="11">
        <f t="shared" si="6"/>
        <v>-102</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2933" t="s">
        <v>3064</v>
      </c>
      <c r="C17" s="2933">
        <v>-103</v>
      </c>
      <c r="D17" s="2934" t="s">
        <v>3051</v>
      </c>
      <c r="E17" s="16">
        <f>IF($C$3="是",ROUND($A$3*G17/$B$3,2),ROUND($A$3*(G17-AT17)/$B$3,2))</f>
        <v>476.71</v>
      </c>
      <c r="F17" s="32"/>
      <c r="G17" s="33">
        <f>H17+AC17+AT17</f>
        <v>2958.97</v>
      </c>
      <c r="H17" s="20">
        <f>SUMIF(I$12:AB$12,"总值",I17:AB17)</f>
        <v>0</v>
      </c>
      <c r="I17" s="2933"/>
      <c r="J17" s="2933"/>
      <c r="K17" s="2933"/>
      <c r="L17" s="2208"/>
      <c r="M17" s="2208"/>
      <c r="N17" s="2208"/>
      <c r="O17" s="2208"/>
      <c r="P17" s="2208"/>
      <c r="Q17" s="2208"/>
      <c r="R17" s="2208"/>
      <c r="S17" s="2208"/>
      <c r="T17" s="2208"/>
      <c r="U17" s="2208"/>
      <c r="V17" s="2208"/>
      <c r="W17" s="2208"/>
      <c r="X17" s="2208"/>
      <c r="Y17" s="2208"/>
      <c r="Z17" s="2208"/>
      <c r="AA17" s="2208"/>
      <c r="AB17" s="2208"/>
      <c r="AC17" s="16">
        <f>SUMIF(AD$12:AS$12,"总值",AD17:AS17)</f>
        <v>2958.97</v>
      </c>
      <c r="AD17" s="2209"/>
      <c r="AE17" s="2209"/>
      <c r="AF17" s="2209"/>
      <c r="AG17" s="2209"/>
      <c r="AH17" s="2209"/>
      <c r="AI17" s="2209"/>
      <c r="AJ17" s="2209"/>
      <c r="AK17" s="2209"/>
      <c r="AL17" s="2209"/>
      <c r="AM17" s="2209"/>
      <c r="AN17" s="2938">
        <v>2958.97</v>
      </c>
      <c r="AO17" s="2209"/>
      <c r="AP17" s="2209"/>
      <c r="AQ17" s="2209"/>
      <c r="AR17" s="2209"/>
      <c r="AS17" s="2209"/>
      <c r="AT17" s="2210"/>
      <c r="AU17" s="2211"/>
      <c r="AV17" s="11">
        <f t="shared" si="6"/>
        <v>0</v>
      </c>
      <c r="AW17" s="11" t="str">
        <f t="shared" si="6"/>
        <v>商业服务</v>
      </c>
      <c r="AX17" s="11">
        <f t="shared" si="6"/>
        <v>-103</v>
      </c>
      <c r="AY17" s="1802">
        <f>ROUND($AY$6*AZ17/$AZ$5,2)</f>
        <v>476.71</v>
      </c>
      <c r="AZ17" s="16">
        <f>BA17+BL17</f>
        <v>2958.97</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2958.97</v>
      </c>
      <c r="BM17" s="16">
        <f>IF($D17="是",AD17-AE17,0)</f>
        <v>0</v>
      </c>
      <c r="BN17" s="16">
        <f>IF($D17="是",AF17-AG17,0)</f>
        <v>0</v>
      </c>
      <c r="BO17" s="16">
        <f>IF($D17="是",AH17-AI17,0)</f>
        <v>0</v>
      </c>
      <c r="BP17" s="16">
        <f>IF($D17="是",AJ17-AK17,0)</f>
        <v>0</v>
      </c>
      <c r="BQ17" s="16">
        <f>IF($D17="是",AL17-AM17,0)</f>
        <v>0</v>
      </c>
      <c r="BR17" s="16">
        <f>IF($D17="是",AN17-AO17,0)</f>
        <v>2958.97</v>
      </c>
      <c r="BS17" s="16">
        <f>IF($D17="是",AP17-AQ17,0)</f>
        <v>0</v>
      </c>
      <c r="BT17" s="22">
        <f>IF($D17="是",AR17-AS17,0)</f>
        <v>0</v>
      </c>
    </row>
    <row r="18" spans="1:72">
      <c r="A18" s="9"/>
      <c r="B18" s="2933" t="s">
        <v>3062</v>
      </c>
      <c r="C18" s="2933">
        <v>-104</v>
      </c>
      <c r="D18" s="2934" t="s">
        <v>3051</v>
      </c>
      <c r="E18" s="35">
        <f t="shared" ref="E18:E112" si="7">IF($C$3="是",ROUND($A$3*G18/$B$3,2),ROUND($A$3*(G18-AT18)/$B$3,2))</f>
        <v>186.09</v>
      </c>
      <c r="F18" s="36"/>
      <c r="G18" s="37">
        <f t="shared" ref="G18:G109" si="8">H18+AC18+AT18</f>
        <v>1155.05</v>
      </c>
      <c r="H18" s="38">
        <f t="shared" ref="H18:H109" si="9">SUMIF(I$12:AB$12,"总值",I18:AB18)</f>
        <v>1155.05</v>
      </c>
      <c r="I18" s="2933"/>
      <c r="J18" s="2933"/>
      <c r="K18" s="2933">
        <v>1155.05</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1">
        <f t="shared" ref="AV18:AV112" si="11">A18</f>
        <v>0</v>
      </c>
      <c r="AW18" s="1791" t="str">
        <f t="shared" ref="AW18:AW112" si="12">B18</f>
        <v>车库</v>
      </c>
      <c r="AX18" s="1791">
        <f t="shared" ref="AX18:AX112" si="13">C18</f>
        <v>-104</v>
      </c>
      <c r="AY18" s="42">
        <f t="shared" ref="AY18:AY109" si="14">ROUND($AY$6*AZ18/$AZ$5,2)</f>
        <v>186.09</v>
      </c>
      <c r="AZ18" s="35">
        <f t="shared" ref="AZ18:AZ109" si="15">BA18+BL18</f>
        <v>1155.05</v>
      </c>
      <c r="BA18" s="35">
        <f t="shared" ref="BA18:BA109" si="16">SUM(BB18:BK18)</f>
        <v>1155.05</v>
      </c>
      <c r="BB18" s="35">
        <f t="shared" ref="BB18:BB109" si="17">IF($D18="是",I18-J18,0)</f>
        <v>0</v>
      </c>
      <c r="BC18" s="35">
        <f t="shared" ref="BC18:BC109" si="18">IF($D18="是",K18-L18,0)</f>
        <v>1155.05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33" t="s">
        <v>3061</v>
      </c>
      <c r="C19" s="2933">
        <v>-105</v>
      </c>
      <c r="D19" s="2934" t="s">
        <v>3051</v>
      </c>
      <c r="E19" s="35">
        <f t="shared" si="7"/>
        <v>19.45</v>
      </c>
      <c r="F19" s="36"/>
      <c r="G19" s="37">
        <f t="shared" si="8"/>
        <v>120.74</v>
      </c>
      <c r="H19" s="38">
        <f t="shared" si="9"/>
        <v>0</v>
      </c>
      <c r="I19" s="2933"/>
      <c r="J19" s="2933"/>
      <c r="K19" s="2933"/>
      <c r="L19" s="39"/>
      <c r="M19" s="39"/>
      <c r="N19" s="39"/>
      <c r="O19" s="39"/>
      <c r="P19" s="39"/>
      <c r="Q19" s="39"/>
      <c r="R19" s="39"/>
      <c r="S19" s="39"/>
      <c r="T19" s="39"/>
      <c r="U19" s="39"/>
      <c r="V19" s="39"/>
      <c r="W19" s="39"/>
      <c r="X19" s="39"/>
      <c r="Y19" s="39"/>
      <c r="Z19" s="39"/>
      <c r="AA19" s="39"/>
      <c r="AB19" s="39"/>
      <c r="AC19" s="35">
        <f t="shared" si="10"/>
        <v>120.74</v>
      </c>
      <c r="AD19" s="40"/>
      <c r="AE19" s="40"/>
      <c r="AF19" s="40"/>
      <c r="AG19" s="40"/>
      <c r="AH19" s="40"/>
      <c r="AI19" s="40"/>
      <c r="AJ19" s="40"/>
      <c r="AK19" s="40"/>
      <c r="AL19" s="40"/>
      <c r="AM19" s="40"/>
      <c r="AN19" s="2938">
        <v>120.74</v>
      </c>
      <c r="AO19" s="40"/>
      <c r="AP19" s="40"/>
      <c r="AQ19" s="40"/>
      <c r="AR19" s="40"/>
      <c r="AS19" s="40"/>
      <c r="AT19" s="41"/>
      <c r="AU19" s="2213"/>
      <c r="AV19" s="1791">
        <f t="shared" si="11"/>
        <v>0</v>
      </c>
      <c r="AW19" s="1791" t="str">
        <f t="shared" si="12"/>
        <v>其他</v>
      </c>
      <c r="AX19" s="1791">
        <f t="shared" si="13"/>
        <v>-105</v>
      </c>
      <c r="AY19" s="42">
        <f t="shared" si="14"/>
        <v>19.45</v>
      </c>
      <c r="AZ19" s="35">
        <f t="shared" si="15"/>
        <v>120.74</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120.74</v>
      </c>
      <c r="BM19" s="35">
        <f t="shared" si="28"/>
        <v>0</v>
      </c>
      <c r="BN19" s="35">
        <f t="shared" si="29"/>
        <v>0</v>
      </c>
      <c r="BO19" s="35">
        <f t="shared" si="30"/>
        <v>0</v>
      </c>
      <c r="BP19" s="35">
        <f t="shared" si="31"/>
        <v>0</v>
      </c>
      <c r="BQ19" s="35">
        <f t="shared" si="32"/>
        <v>0</v>
      </c>
      <c r="BR19" s="35">
        <f t="shared" si="33"/>
        <v>120.74</v>
      </c>
      <c r="BS19" s="35">
        <f t="shared" si="34"/>
        <v>0</v>
      </c>
      <c r="BT19" s="43">
        <f t="shared" si="35"/>
        <v>0</v>
      </c>
    </row>
    <row r="20" spans="1:72">
      <c r="A20" s="9"/>
      <c r="B20" s="2933" t="s">
        <v>3064</v>
      </c>
      <c r="C20" s="2933">
        <v>101</v>
      </c>
      <c r="D20" s="2934" t="s">
        <v>3051</v>
      </c>
      <c r="E20" s="35">
        <f t="shared" si="7"/>
        <v>448.97</v>
      </c>
      <c r="F20" s="36"/>
      <c r="G20" s="37">
        <f t="shared" si="8"/>
        <v>2786.78</v>
      </c>
      <c r="H20" s="38">
        <f t="shared" si="9"/>
        <v>2786.78</v>
      </c>
      <c r="I20" s="2933">
        <v>2786.78</v>
      </c>
      <c r="J20" s="2933"/>
      <c r="K20" s="2933"/>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1">
        <f t="shared" si="11"/>
        <v>0</v>
      </c>
      <c r="AW20" s="1791" t="str">
        <f t="shared" si="12"/>
        <v>商业服务</v>
      </c>
      <c r="AX20" s="1791">
        <f t="shared" si="13"/>
        <v>101</v>
      </c>
      <c r="AY20" s="42">
        <f t="shared" si="14"/>
        <v>448.97</v>
      </c>
      <c r="AZ20" s="35">
        <f t="shared" si="15"/>
        <v>2786.78</v>
      </c>
      <c r="BA20" s="35">
        <f t="shared" si="16"/>
        <v>2786.78</v>
      </c>
      <c r="BB20" s="35">
        <f t="shared" si="17"/>
        <v>2786.78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33" t="s">
        <v>3064</v>
      </c>
      <c r="C21" s="2933">
        <v>201</v>
      </c>
      <c r="D21" s="2934" t="s">
        <v>3051</v>
      </c>
      <c r="E21" s="35">
        <f t="shared" si="7"/>
        <v>330.91</v>
      </c>
      <c r="F21" s="36"/>
      <c r="G21" s="37">
        <f t="shared" si="8"/>
        <v>2053.9299999999998</v>
      </c>
      <c r="H21" s="38">
        <f t="shared" si="9"/>
        <v>2053.9299999999998</v>
      </c>
      <c r="I21" s="2933">
        <v>2053.9299999999998</v>
      </c>
      <c r="J21" s="2933"/>
      <c r="K21" s="2933"/>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1">
        <f t="shared" si="11"/>
        <v>0</v>
      </c>
      <c r="AW21" s="1791" t="str">
        <f t="shared" si="12"/>
        <v>商业服务</v>
      </c>
      <c r="AX21" s="1791">
        <f t="shared" si="13"/>
        <v>201</v>
      </c>
      <c r="AY21" s="42">
        <f t="shared" si="14"/>
        <v>330.91</v>
      </c>
      <c r="AZ21" s="35">
        <f t="shared" si="15"/>
        <v>2053.9299999999998</v>
      </c>
      <c r="BA21" s="35">
        <f t="shared" si="16"/>
        <v>2053.9299999999998</v>
      </c>
      <c r="BB21" s="35">
        <f t="shared" si="17"/>
        <v>2053.9299999999998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33" t="s">
        <v>3065</v>
      </c>
      <c r="C22" s="2933">
        <v>301</v>
      </c>
      <c r="D22" s="2934" t="s">
        <v>3051</v>
      </c>
      <c r="E22" s="35">
        <f t="shared" si="7"/>
        <v>388.13</v>
      </c>
      <c r="F22" s="36"/>
      <c r="G22" s="37">
        <f t="shared" si="8"/>
        <v>2409.13</v>
      </c>
      <c r="H22" s="38">
        <f t="shared" si="9"/>
        <v>2409.13</v>
      </c>
      <c r="I22" s="2933">
        <v>2409.13</v>
      </c>
      <c r="J22" s="2933"/>
      <c r="K22" s="2933"/>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1">
        <f t="shared" si="11"/>
        <v>0</v>
      </c>
      <c r="AW22" s="1791" t="str">
        <f t="shared" si="12"/>
        <v>办公楼</v>
      </c>
      <c r="AX22" s="1791">
        <f t="shared" si="13"/>
        <v>301</v>
      </c>
      <c r="AY22" s="42">
        <f t="shared" si="14"/>
        <v>388.13</v>
      </c>
      <c r="AZ22" s="35">
        <f t="shared" si="15"/>
        <v>2409.13</v>
      </c>
      <c r="BA22" s="35">
        <f t="shared" si="16"/>
        <v>2409.13</v>
      </c>
      <c r="BB22" s="35">
        <f t="shared" si="17"/>
        <v>2409.13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33" t="s">
        <v>3065</v>
      </c>
      <c r="C23" s="2933">
        <v>401</v>
      </c>
      <c r="D23" s="2934" t="s">
        <v>3051</v>
      </c>
      <c r="E23" s="35">
        <f t="shared" si="7"/>
        <v>398.92</v>
      </c>
      <c r="F23" s="36"/>
      <c r="G23" s="37">
        <f t="shared" si="8"/>
        <v>2476.09</v>
      </c>
      <c r="H23" s="38">
        <f t="shared" si="9"/>
        <v>2476.09</v>
      </c>
      <c r="I23" s="2933">
        <v>2476.09</v>
      </c>
      <c r="J23" s="2933"/>
      <c r="K23" s="2933"/>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1">
        <f t="shared" si="11"/>
        <v>0</v>
      </c>
      <c r="AW23" s="1791" t="str">
        <f t="shared" si="12"/>
        <v>办公楼</v>
      </c>
      <c r="AX23" s="1791">
        <f t="shared" si="13"/>
        <v>401</v>
      </c>
      <c r="AY23" s="42">
        <f t="shared" si="14"/>
        <v>398.92</v>
      </c>
      <c r="AZ23" s="35">
        <f t="shared" si="15"/>
        <v>2476.09</v>
      </c>
      <c r="BA23" s="35">
        <f t="shared" si="16"/>
        <v>2476.09</v>
      </c>
      <c r="BB23" s="35">
        <f t="shared" si="17"/>
        <v>2476.09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33" t="s">
        <v>3065</v>
      </c>
      <c r="C24" s="2933">
        <v>501</v>
      </c>
      <c r="D24" s="2934" t="s">
        <v>3051</v>
      </c>
      <c r="E24" s="35">
        <f t="shared" si="7"/>
        <v>387.96</v>
      </c>
      <c r="F24" s="36"/>
      <c r="G24" s="37">
        <f t="shared" si="8"/>
        <v>2408.09</v>
      </c>
      <c r="H24" s="38">
        <f t="shared" si="9"/>
        <v>2408.09</v>
      </c>
      <c r="I24" s="2933">
        <v>2408.09</v>
      </c>
      <c r="J24" s="2933"/>
      <c r="K24" s="2933"/>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1">
        <f t="shared" si="11"/>
        <v>0</v>
      </c>
      <c r="AW24" s="1791" t="str">
        <f t="shared" si="12"/>
        <v>办公楼</v>
      </c>
      <c r="AX24" s="1791">
        <f t="shared" si="13"/>
        <v>501</v>
      </c>
      <c r="AY24" s="42">
        <f t="shared" si="14"/>
        <v>387.96</v>
      </c>
      <c r="AZ24" s="35">
        <f t="shared" si="15"/>
        <v>2408.09</v>
      </c>
      <c r="BA24" s="35">
        <f t="shared" si="16"/>
        <v>2408.09</v>
      </c>
      <c r="BB24" s="35">
        <f t="shared" si="17"/>
        <v>2408.09</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33" t="s">
        <v>3065</v>
      </c>
      <c r="C25" s="2933">
        <v>601</v>
      </c>
      <c r="D25" s="2934" t="s">
        <v>3051</v>
      </c>
      <c r="E25" s="35">
        <f t="shared" si="7"/>
        <v>379.24</v>
      </c>
      <c r="F25" s="36"/>
      <c r="G25" s="37">
        <f t="shared" si="8"/>
        <v>2353.9299999999998</v>
      </c>
      <c r="H25" s="38">
        <f t="shared" si="9"/>
        <v>2353.9299999999998</v>
      </c>
      <c r="I25" s="2933">
        <v>2353.9299999999998</v>
      </c>
      <c r="J25" s="2933"/>
      <c r="K25" s="2933"/>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1">
        <f t="shared" si="11"/>
        <v>0</v>
      </c>
      <c r="AW25" s="1791" t="str">
        <f t="shared" si="12"/>
        <v>办公楼</v>
      </c>
      <c r="AX25" s="1791">
        <f t="shared" si="13"/>
        <v>601</v>
      </c>
      <c r="AY25" s="42">
        <f t="shared" si="14"/>
        <v>379.24</v>
      </c>
      <c r="AZ25" s="35">
        <f t="shared" si="15"/>
        <v>2353.9299999999998</v>
      </c>
      <c r="BA25" s="35">
        <f t="shared" si="16"/>
        <v>2353.9299999999998</v>
      </c>
      <c r="BB25" s="35">
        <f t="shared" si="17"/>
        <v>2353.9299999999998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33" t="s">
        <v>3065</v>
      </c>
      <c r="C26" s="2933">
        <v>701</v>
      </c>
      <c r="D26" s="2934" t="s">
        <v>3051</v>
      </c>
      <c r="E26" s="35">
        <f t="shared" si="7"/>
        <v>370.76</v>
      </c>
      <c r="F26" s="36"/>
      <c r="G26" s="37">
        <f t="shared" si="8"/>
        <v>2301.2800000000002</v>
      </c>
      <c r="H26" s="38">
        <f t="shared" si="9"/>
        <v>2301.2800000000002</v>
      </c>
      <c r="I26" s="2933">
        <v>2301.2800000000002</v>
      </c>
      <c r="J26" s="2933"/>
      <c r="K26" s="2933"/>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1">
        <f t="shared" si="11"/>
        <v>0</v>
      </c>
      <c r="AW26" s="1791" t="str">
        <f t="shared" si="12"/>
        <v>办公楼</v>
      </c>
      <c r="AX26" s="1791">
        <f t="shared" si="13"/>
        <v>701</v>
      </c>
      <c r="AY26" s="42">
        <f t="shared" si="14"/>
        <v>370.76</v>
      </c>
      <c r="AZ26" s="35">
        <f t="shared" si="15"/>
        <v>2301.2800000000002</v>
      </c>
      <c r="BA26" s="35">
        <f t="shared" si="16"/>
        <v>2301.2800000000002</v>
      </c>
      <c r="BB26" s="35">
        <f t="shared" si="17"/>
        <v>2301.2800000000002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33" t="s">
        <v>3065</v>
      </c>
      <c r="C27" s="2933">
        <v>801</v>
      </c>
      <c r="D27" s="2934" t="s">
        <v>3051</v>
      </c>
      <c r="E27" s="35">
        <f t="shared" si="7"/>
        <v>366.5</v>
      </c>
      <c r="F27" s="36"/>
      <c r="G27" s="37">
        <f t="shared" si="8"/>
        <v>2274.88</v>
      </c>
      <c r="H27" s="38">
        <f t="shared" si="9"/>
        <v>2274.88</v>
      </c>
      <c r="I27" s="2933">
        <v>2274.88</v>
      </c>
      <c r="J27" s="2933"/>
      <c r="K27" s="2933"/>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1">
        <f t="shared" si="11"/>
        <v>0</v>
      </c>
      <c r="AW27" s="1791" t="str">
        <f t="shared" si="12"/>
        <v>办公楼</v>
      </c>
      <c r="AX27" s="1791">
        <f t="shared" si="13"/>
        <v>801</v>
      </c>
      <c r="AY27" s="42">
        <f t="shared" si="14"/>
        <v>366.5</v>
      </c>
      <c r="AZ27" s="35">
        <f t="shared" si="15"/>
        <v>2274.88</v>
      </c>
      <c r="BA27" s="35">
        <f t="shared" si="16"/>
        <v>2274.88</v>
      </c>
      <c r="BB27" s="35">
        <f t="shared" si="17"/>
        <v>2274.88</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33" t="s">
        <v>3065</v>
      </c>
      <c r="C28" s="2933">
        <v>901</v>
      </c>
      <c r="D28" s="2934" t="s">
        <v>3051</v>
      </c>
      <c r="E28" s="35">
        <f t="shared" si="7"/>
        <v>364.83</v>
      </c>
      <c r="F28" s="36"/>
      <c r="G28" s="37">
        <f t="shared" si="8"/>
        <v>2264.4899999999998</v>
      </c>
      <c r="H28" s="38">
        <f t="shared" si="9"/>
        <v>2264.4899999999998</v>
      </c>
      <c r="I28" s="2933">
        <v>2264.4899999999998</v>
      </c>
      <c r="J28" s="2933"/>
      <c r="K28" s="2933"/>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1">
        <f t="shared" si="11"/>
        <v>0</v>
      </c>
      <c r="AW28" s="1791" t="str">
        <f t="shared" si="12"/>
        <v>办公楼</v>
      </c>
      <c r="AX28" s="1791">
        <f t="shared" si="13"/>
        <v>901</v>
      </c>
      <c r="AY28" s="42">
        <f t="shared" si="14"/>
        <v>364.83</v>
      </c>
      <c r="AZ28" s="35">
        <f t="shared" si="15"/>
        <v>2264.4899999999998</v>
      </c>
      <c r="BA28" s="35">
        <f t="shared" si="16"/>
        <v>2264.4899999999998</v>
      </c>
      <c r="BB28" s="35">
        <f t="shared" si="17"/>
        <v>2264.4899999999998</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33" t="s">
        <v>3065</v>
      </c>
      <c r="C29" s="2933">
        <v>1001</v>
      </c>
      <c r="D29" s="2934" t="s">
        <v>3051</v>
      </c>
      <c r="E29" s="35">
        <f t="shared" si="7"/>
        <v>367.98</v>
      </c>
      <c r="F29" s="36"/>
      <c r="G29" s="37">
        <f t="shared" si="8"/>
        <v>2284.0700000000002</v>
      </c>
      <c r="H29" s="38">
        <f t="shared" si="9"/>
        <v>2284.0700000000002</v>
      </c>
      <c r="I29" s="2933">
        <v>2284.0700000000002</v>
      </c>
      <c r="J29" s="2933"/>
      <c r="K29" s="2933"/>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1">
        <f t="shared" si="11"/>
        <v>0</v>
      </c>
      <c r="AW29" s="1791" t="str">
        <f t="shared" si="12"/>
        <v>办公楼</v>
      </c>
      <c r="AX29" s="1791">
        <f t="shared" si="13"/>
        <v>1001</v>
      </c>
      <c r="AY29" s="42">
        <f t="shared" si="14"/>
        <v>367.98</v>
      </c>
      <c r="AZ29" s="35">
        <f t="shared" si="15"/>
        <v>2284.0700000000002</v>
      </c>
      <c r="BA29" s="35">
        <f t="shared" si="16"/>
        <v>2284.0700000000002</v>
      </c>
      <c r="BB29" s="35">
        <f t="shared" si="17"/>
        <v>2284.0700000000002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33" t="s">
        <v>3065</v>
      </c>
      <c r="C30" s="2933">
        <v>1101</v>
      </c>
      <c r="D30" s="2934" t="s">
        <v>3051</v>
      </c>
      <c r="E30" s="35">
        <f t="shared" si="7"/>
        <v>364.86</v>
      </c>
      <c r="F30" s="36"/>
      <c r="G30" s="37">
        <f t="shared" si="8"/>
        <v>2264.6999999999998</v>
      </c>
      <c r="H30" s="38">
        <f t="shared" si="9"/>
        <v>2264.6999999999998</v>
      </c>
      <c r="I30" s="2933">
        <v>2264.6999999999998</v>
      </c>
      <c r="J30" s="2933"/>
      <c r="K30" s="2933"/>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1">
        <f t="shared" si="11"/>
        <v>0</v>
      </c>
      <c r="AW30" s="1791" t="str">
        <f t="shared" si="12"/>
        <v>办公楼</v>
      </c>
      <c r="AX30" s="1791">
        <f t="shared" si="13"/>
        <v>1101</v>
      </c>
      <c r="AY30" s="42">
        <f t="shared" si="14"/>
        <v>364.86</v>
      </c>
      <c r="AZ30" s="35">
        <f t="shared" si="15"/>
        <v>2264.6999999999998</v>
      </c>
      <c r="BA30" s="35">
        <f t="shared" si="16"/>
        <v>2264.6999999999998</v>
      </c>
      <c r="BB30" s="35">
        <f t="shared" si="17"/>
        <v>2264.6999999999998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33" t="s">
        <v>3065</v>
      </c>
      <c r="C31" s="2933">
        <v>1201</v>
      </c>
      <c r="D31" s="2934" t="s">
        <v>3051</v>
      </c>
      <c r="E31" s="35">
        <f t="shared" si="7"/>
        <v>366.2</v>
      </c>
      <c r="F31" s="36"/>
      <c r="G31" s="37">
        <f t="shared" si="8"/>
        <v>2272.9899999999998</v>
      </c>
      <c r="H31" s="38">
        <f t="shared" si="9"/>
        <v>2272.9899999999998</v>
      </c>
      <c r="I31" s="2933">
        <v>2272.9899999999998</v>
      </c>
      <c r="J31" s="2933"/>
      <c r="K31" s="2933"/>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1">
        <f t="shared" si="11"/>
        <v>0</v>
      </c>
      <c r="AW31" s="1791" t="str">
        <f t="shared" si="12"/>
        <v>办公楼</v>
      </c>
      <c r="AX31" s="1791">
        <f t="shared" si="13"/>
        <v>1201</v>
      </c>
      <c r="AY31" s="42">
        <f t="shared" si="14"/>
        <v>366.2</v>
      </c>
      <c r="AZ31" s="35">
        <f t="shared" si="15"/>
        <v>2272.9899999999998</v>
      </c>
      <c r="BA31" s="35">
        <f t="shared" si="16"/>
        <v>2272.9899999999998</v>
      </c>
      <c r="BB31" s="35">
        <f t="shared" si="17"/>
        <v>2272.9899999999998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33" t="s">
        <v>3065</v>
      </c>
      <c r="C32" s="2933">
        <v>1301</v>
      </c>
      <c r="D32" s="2934" t="s">
        <v>3051</v>
      </c>
      <c r="E32" s="35">
        <f t="shared" si="7"/>
        <v>368.01</v>
      </c>
      <c r="F32" s="36"/>
      <c r="G32" s="37">
        <f t="shared" si="8"/>
        <v>2284.25</v>
      </c>
      <c r="H32" s="38">
        <f t="shared" si="9"/>
        <v>2284.25</v>
      </c>
      <c r="I32" s="2933">
        <v>2284.25</v>
      </c>
      <c r="J32" s="2933"/>
      <c r="K32" s="2933"/>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1">
        <f t="shared" si="11"/>
        <v>0</v>
      </c>
      <c r="AW32" s="1791" t="str">
        <f t="shared" si="12"/>
        <v>办公楼</v>
      </c>
      <c r="AX32" s="1791">
        <f t="shared" si="13"/>
        <v>1301</v>
      </c>
      <c r="AY32" s="42">
        <f t="shared" si="14"/>
        <v>368.01</v>
      </c>
      <c r="AZ32" s="35">
        <f t="shared" si="15"/>
        <v>2284.25</v>
      </c>
      <c r="BA32" s="35">
        <f t="shared" si="16"/>
        <v>2284.25</v>
      </c>
      <c r="BB32" s="35">
        <f t="shared" si="17"/>
        <v>2284.25</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33" t="s">
        <v>3065</v>
      </c>
      <c r="C33" s="2933">
        <v>1401</v>
      </c>
      <c r="D33" s="2934" t="s">
        <v>3051</v>
      </c>
      <c r="E33" s="35">
        <f t="shared" si="7"/>
        <v>379.01</v>
      </c>
      <c r="F33" s="36"/>
      <c r="G33" s="37">
        <f t="shared" si="8"/>
        <v>2352.4899999999998</v>
      </c>
      <c r="H33" s="38">
        <f t="shared" si="9"/>
        <v>2352.4899999999998</v>
      </c>
      <c r="I33" s="2933">
        <v>2352.4899999999998</v>
      </c>
      <c r="J33" s="2933"/>
      <c r="K33" s="2933"/>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1">
        <f t="shared" si="11"/>
        <v>0</v>
      </c>
      <c r="AW33" s="1791" t="str">
        <f t="shared" si="12"/>
        <v>办公楼</v>
      </c>
      <c r="AX33" s="1791">
        <f t="shared" si="13"/>
        <v>1401</v>
      </c>
      <c r="AY33" s="42">
        <f t="shared" si="14"/>
        <v>379.01</v>
      </c>
      <c r="AZ33" s="35">
        <f t="shared" si="15"/>
        <v>2352.4899999999998</v>
      </c>
      <c r="BA33" s="35">
        <f t="shared" si="16"/>
        <v>2352.4899999999998</v>
      </c>
      <c r="BB33" s="35">
        <f t="shared" si="17"/>
        <v>2352.4899999999998</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33" t="s">
        <v>3065</v>
      </c>
      <c r="C34" s="2933">
        <v>1501</v>
      </c>
      <c r="D34" s="2934" t="s">
        <v>3051</v>
      </c>
      <c r="E34" s="35">
        <f t="shared" si="7"/>
        <v>388.37</v>
      </c>
      <c r="F34" s="36"/>
      <c r="G34" s="37">
        <f t="shared" si="8"/>
        <v>2410.62</v>
      </c>
      <c r="H34" s="38">
        <f t="shared" si="9"/>
        <v>2410.62</v>
      </c>
      <c r="I34" s="2933">
        <v>2410.62</v>
      </c>
      <c r="J34" s="2933"/>
      <c r="K34" s="2933"/>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1">
        <f t="shared" si="11"/>
        <v>0</v>
      </c>
      <c r="AW34" s="1791" t="str">
        <f t="shared" si="12"/>
        <v>办公楼</v>
      </c>
      <c r="AX34" s="1791">
        <f t="shared" si="13"/>
        <v>1501</v>
      </c>
      <c r="AY34" s="42">
        <f t="shared" si="14"/>
        <v>388.37</v>
      </c>
      <c r="AZ34" s="35">
        <f t="shared" si="15"/>
        <v>2410.62</v>
      </c>
      <c r="BA34" s="35">
        <f t="shared" si="16"/>
        <v>2410.62</v>
      </c>
      <c r="BB34" s="35">
        <f t="shared" si="17"/>
        <v>2410.62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33" t="s">
        <v>3065</v>
      </c>
      <c r="C35" s="2933">
        <v>1601</v>
      </c>
      <c r="D35" s="2934" t="s">
        <v>3051</v>
      </c>
      <c r="E35" s="35">
        <f t="shared" si="7"/>
        <v>399.11</v>
      </c>
      <c r="F35" s="36"/>
      <c r="G35" s="37">
        <f t="shared" si="8"/>
        <v>2477.2600000000002</v>
      </c>
      <c r="H35" s="38">
        <f t="shared" si="9"/>
        <v>2477.2600000000002</v>
      </c>
      <c r="I35" s="2933">
        <v>2477.2600000000002</v>
      </c>
      <c r="J35" s="2933"/>
      <c r="K35" s="2933"/>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1">
        <f t="shared" si="11"/>
        <v>0</v>
      </c>
      <c r="AW35" s="1791" t="str">
        <f t="shared" si="12"/>
        <v>办公楼</v>
      </c>
      <c r="AX35" s="1791">
        <f t="shared" si="13"/>
        <v>1601</v>
      </c>
      <c r="AY35" s="42">
        <f t="shared" si="14"/>
        <v>399.11</v>
      </c>
      <c r="AZ35" s="35">
        <f t="shared" si="15"/>
        <v>2477.2600000000002</v>
      </c>
      <c r="BA35" s="35">
        <f t="shared" si="16"/>
        <v>2477.2600000000002</v>
      </c>
      <c r="BB35" s="35">
        <f t="shared" si="17"/>
        <v>2477.2600000000002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33" t="s">
        <v>3065</v>
      </c>
      <c r="C36" s="2933">
        <v>1701</v>
      </c>
      <c r="D36" s="2934" t="s">
        <v>3051</v>
      </c>
      <c r="E36" s="35">
        <f t="shared" si="7"/>
        <v>407.46</v>
      </c>
      <c r="F36" s="36"/>
      <c r="G36" s="37">
        <f t="shared" si="8"/>
        <v>2529.09</v>
      </c>
      <c r="H36" s="38">
        <f t="shared" si="9"/>
        <v>2529.09</v>
      </c>
      <c r="I36" s="2933">
        <v>2529.09</v>
      </c>
      <c r="J36" s="2933"/>
      <c r="K36" s="2933"/>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1">
        <f t="shared" si="11"/>
        <v>0</v>
      </c>
      <c r="AW36" s="1791" t="str">
        <f t="shared" si="12"/>
        <v>办公楼</v>
      </c>
      <c r="AX36" s="1791">
        <f t="shared" si="13"/>
        <v>1701</v>
      </c>
      <c r="AY36" s="42">
        <f t="shared" si="14"/>
        <v>407.46</v>
      </c>
      <c r="AZ36" s="35">
        <f t="shared" si="15"/>
        <v>2529.09</v>
      </c>
      <c r="BA36" s="35">
        <f t="shared" si="16"/>
        <v>2529.09</v>
      </c>
      <c r="BB36" s="35">
        <f t="shared" si="17"/>
        <v>2529.09</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33" t="s">
        <v>3065</v>
      </c>
      <c r="C37" s="2933">
        <v>1702</v>
      </c>
      <c r="D37" s="2934" t="s">
        <v>3051</v>
      </c>
      <c r="E37" s="35">
        <f t="shared" si="7"/>
        <v>84.91</v>
      </c>
      <c r="F37" s="36"/>
      <c r="G37" s="37">
        <f t="shared" si="8"/>
        <v>527.01</v>
      </c>
      <c r="H37" s="38">
        <f t="shared" si="9"/>
        <v>527.01</v>
      </c>
      <c r="I37" s="2933">
        <v>527.01</v>
      </c>
      <c r="J37" s="2933"/>
      <c r="K37" s="2933"/>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1">
        <f t="shared" si="11"/>
        <v>0</v>
      </c>
      <c r="AW37" s="1791" t="str">
        <f t="shared" si="12"/>
        <v>办公楼</v>
      </c>
      <c r="AX37" s="1791">
        <f t="shared" si="13"/>
        <v>1702</v>
      </c>
      <c r="AY37" s="42">
        <f t="shared" si="14"/>
        <v>84.91</v>
      </c>
      <c r="AZ37" s="35">
        <f t="shared" si="15"/>
        <v>527.01</v>
      </c>
      <c r="BA37" s="35">
        <f t="shared" si="16"/>
        <v>527.01</v>
      </c>
      <c r="BB37" s="35">
        <f t="shared" si="17"/>
        <v>527.01</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33" t="s">
        <v>3065</v>
      </c>
      <c r="C38" s="2933">
        <v>1703</v>
      </c>
      <c r="D38" s="2934" t="s">
        <v>3051</v>
      </c>
      <c r="E38" s="35">
        <f t="shared" si="7"/>
        <v>8.11</v>
      </c>
      <c r="F38" s="36"/>
      <c r="G38" s="37">
        <f t="shared" si="8"/>
        <v>50.34</v>
      </c>
      <c r="H38" s="38">
        <f t="shared" si="9"/>
        <v>50.34</v>
      </c>
      <c r="I38" s="2933">
        <v>50.34</v>
      </c>
      <c r="J38" s="2933"/>
      <c r="K38" s="2933"/>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1">
        <f t="shared" si="11"/>
        <v>0</v>
      </c>
      <c r="AW38" s="1791" t="str">
        <f t="shared" si="12"/>
        <v>办公楼</v>
      </c>
      <c r="AX38" s="1791">
        <f t="shared" si="13"/>
        <v>1703</v>
      </c>
      <c r="AY38" s="42">
        <f t="shared" si="14"/>
        <v>8.11</v>
      </c>
      <c r="AZ38" s="35">
        <f t="shared" si="15"/>
        <v>50.34</v>
      </c>
      <c r="BA38" s="35">
        <f t="shared" si="16"/>
        <v>50.34</v>
      </c>
      <c r="BB38" s="35">
        <f t="shared" si="17"/>
        <v>50.34</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9" t="s">
        <v>0</v>
      </c>
      <c r="B1" s="3109" t="s">
        <v>4</v>
      </c>
      <c r="C1" s="3109" t="s">
        <v>5</v>
      </c>
      <c r="D1" s="3110" t="s">
        <v>53</v>
      </c>
      <c r="E1" s="3110" t="s">
        <v>54</v>
      </c>
      <c r="F1" s="3110"/>
      <c r="G1" s="3110"/>
      <c r="H1" s="3110"/>
      <c r="I1" s="3110"/>
      <c r="J1" s="3110"/>
      <c r="K1" s="3110"/>
      <c r="L1" s="3110"/>
      <c r="M1" s="3110"/>
    </row>
    <row r="2" spans="1:13" ht="27" customHeight="1">
      <c r="A2" s="3109"/>
      <c r="B2" s="3109"/>
      <c r="C2" s="3109"/>
      <c r="D2" s="3110"/>
      <c r="E2" s="3110" t="s">
        <v>37</v>
      </c>
      <c r="F2" s="3110" t="s">
        <v>38</v>
      </c>
      <c r="G2" s="3110"/>
      <c r="H2" s="3110"/>
      <c r="I2" s="3110"/>
      <c r="J2" s="3110" t="s">
        <v>39</v>
      </c>
      <c r="K2" s="3110"/>
      <c r="L2" s="3110"/>
      <c r="M2" s="3110"/>
    </row>
    <row r="3" spans="1:13" ht="28.5">
      <c r="A3" s="3109"/>
      <c r="B3" s="3109"/>
      <c r="C3" s="3109"/>
      <c r="D3" s="3110"/>
      <c r="E3" s="31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0" t="s">
        <v>55</v>
      </c>
      <c r="B9" s="3110"/>
      <c r="C9" s="31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1934</v>
      </c>
      <c r="B1" s="1388"/>
      <c r="C1" s="1388"/>
      <c r="D1" s="1388"/>
      <c r="E1" s="1388"/>
      <c r="F1" s="1388"/>
      <c r="G1" s="1388"/>
      <c r="H1" s="1388"/>
      <c r="I1" s="1388"/>
      <c r="J1" s="1388"/>
      <c r="K1" s="1388"/>
      <c r="L1" s="1388"/>
      <c r="M1" s="1388"/>
      <c r="N1" s="1388"/>
      <c r="O1" s="1388"/>
      <c r="P1" s="1388"/>
    </row>
    <row r="2" spans="1:16" ht="15">
      <c r="A2" s="3120" t="s">
        <v>1935</v>
      </c>
      <c r="B2" s="3120"/>
      <c r="C2" s="3120"/>
      <c r="D2" s="963" t="s">
        <v>1911</v>
      </c>
      <c r="E2" s="2221" t="s">
        <v>1912</v>
      </c>
      <c r="F2" s="1388"/>
      <c r="G2" s="2222"/>
      <c r="H2" s="2223"/>
      <c r="I2" s="2224" t="s">
        <v>1936</v>
      </c>
      <c r="J2" s="1388"/>
      <c r="K2" s="1388"/>
      <c r="L2" s="1388"/>
      <c r="M2" s="1388"/>
      <c r="N2" s="1423"/>
      <c r="O2" s="1388"/>
      <c r="P2" s="1388"/>
    </row>
    <row r="3" spans="1:16" ht="15.75" thickBot="1">
      <c r="A3" s="3121" t="s">
        <v>1909</v>
      </c>
      <c r="B3" s="3121"/>
      <c r="C3" s="3121"/>
      <c r="D3" s="46">
        <f>'数据-基础表'!AY6</f>
        <v>8406.27</v>
      </c>
      <c r="E3" s="46">
        <f>'数据-基础表'!AZ5</f>
        <v>52177.779999999992</v>
      </c>
      <c r="F3" s="1388"/>
      <c r="G3" s="1395"/>
      <c r="H3" s="1243" t="s">
        <v>1910</v>
      </c>
      <c r="I3" s="55">
        <f>ROUND('数据-基础表'!B3/'数据-基础表'!A3,2)</f>
        <v>6.21</v>
      </c>
      <c r="J3" s="1388"/>
      <c r="K3" s="1388"/>
      <c r="L3" s="1388"/>
      <c r="M3" s="1388"/>
      <c r="N3" s="1423"/>
      <c r="O3" s="1388"/>
      <c r="P3" s="1388"/>
    </row>
    <row r="4" spans="1:16" ht="15">
      <c r="A4" s="3122"/>
      <c r="B4" s="3123"/>
      <c r="C4" s="3124"/>
      <c r="D4" s="2225" t="s">
        <v>1911</v>
      </c>
      <c r="E4" s="2226" t="s">
        <v>1912</v>
      </c>
      <c r="F4" s="1388"/>
      <c r="G4" s="2227" t="s">
        <v>1937</v>
      </c>
      <c r="H4" s="1243" t="s">
        <v>1917</v>
      </c>
      <c r="I4" s="55">
        <f>ROUND(SUMIF('数据-基础表'!I9:AS9,"地上",'数据-基础表'!I5:AS5)/'数据-基础表'!A3,2)</f>
        <v>4.8499999999999996</v>
      </c>
      <c r="J4" s="1388"/>
      <c r="K4" s="1388"/>
      <c r="L4" s="1388"/>
      <c r="M4" s="1388"/>
      <c r="N4" s="1423"/>
      <c r="O4" s="1388"/>
      <c r="P4" s="1388"/>
    </row>
    <row r="5" spans="1:16">
      <c r="A5" s="47" t="s">
        <v>1913</v>
      </c>
      <c r="B5" s="3125" t="s">
        <v>1914</v>
      </c>
      <c r="C5" s="3125"/>
      <c r="D5" s="48">
        <f>ROUND($D$3*E5/$E$3,2)</f>
        <v>0</v>
      </c>
      <c r="E5" s="49">
        <f>SUMIF('数据-基础表'!$11:$11,"住宅",'数据-基础表'!$5:$5)</f>
        <v>0</v>
      </c>
      <c r="F5" s="1388"/>
      <c r="G5" s="1395"/>
      <c r="H5" s="1243" t="s">
        <v>1910</v>
      </c>
      <c r="I5" s="55">
        <f>ROUND(E31/D31,2)</f>
        <v>6.21</v>
      </c>
      <c r="J5" s="1388"/>
      <c r="K5" s="1388"/>
      <c r="L5" s="1388"/>
      <c r="M5" s="1388"/>
      <c r="N5" s="1388"/>
      <c r="O5" s="1388"/>
      <c r="P5" s="1388"/>
    </row>
    <row r="6" spans="1:16" ht="15" thickBot="1">
      <c r="A6" s="2228"/>
      <c r="B6" s="3125" t="s">
        <v>1915</v>
      </c>
      <c r="C6" s="3125"/>
      <c r="D6" s="48">
        <f>ROUND($D$3*E6/$E$3,2)</f>
        <v>8406.27</v>
      </c>
      <c r="E6" s="49">
        <f>E3-E5</f>
        <v>52177.779999999992</v>
      </c>
      <c r="F6" s="1388"/>
      <c r="G6" s="2229" t="s">
        <v>1916</v>
      </c>
      <c r="H6" s="1395" t="s">
        <v>1917</v>
      </c>
      <c r="I6" s="935">
        <f>ROUND(F31/D31,2)</f>
        <v>4.8499999999999996</v>
      </c>
      <c r="J6" s="1388"/>
      <c r="K6" s="1388"/>
      <c r="L6" s="1388"/>
      <c r="M6" s="1388"/>
      <c r="N6" s="1388"/>
      <c r="O6" s="1388"/>
      <c r="P6" s="1388"/>
    </row>
    <row r="7" spans="1:16" ht="15">
      <c r="A7" s="3117"/>
      <c r="B7" s="3118"/>
      <c r="C7" s="3119"/>
      <c r="D7" s="2225" t="s">
        <v>1911</v>
      </c>
      <c r="E7" s="2230" t="s">
        <v>1918</v>
      </c>
      <c r="F7" s="1388"/>
      <c r="G7" s="2222" t="s">
        <v>1919</v>
      </c>
      <c r="H7" s="63"/>
      <c r="I7" s="419">
        <f>I6</f>
        <v>4.8499999999999996</v>
      </c>
      <c r="J7" s="1388"/>
      <c r="K7" s="1388"/>
      <c r="L7" s="1388"/>
      <c r="M7" s="1388"/>
      <c r="N7" s="1388"/>
      <c r="O7" s="1388"/>
      <c r="P7" s="1388"/>
    </row>
    <row r="8" spans="1:16">
      <c r="A8" s="47" t="s">
        <v>1920</v>
      </c>
      <c r="B8" s="50" t="s">
        <v>1921</v>
      </c>
      <c r="C8" s="48" t="s">
        <v>1922</v>
      </c>
      <c r="D8" s="48">
        <f t="shared" ref="D8:D15" si="0">ROUND($D$3*E8/$E$3,2)</f>
        <v>6570.22</v>
      </c>
      <c r="E8" s="51">
        <f>SUMIF('数据-基础表'!BB10:BK10,"地上",'数据-基础表'!BB5:BK5)</f>
        <v>40781.420000000006</v>
      </c>
      <c r="F8" s="1388"/>
      <c r="G8" s="2231"/>
      <c r="H8" s="2231"/>
      <c r="I8" s="1388"/>
      <c r="J8" s="1388"/>
      <c r="K8" s="1388"/>
      <c r="L8" s="1388"/>
      <c r="M8" s="1388"/>
      <c r="N8" s="1388"/>
      <c r="O8" s="1388"/>
      <c r="P8" s="1388"/>
    </row>
    <row r="9" spans="1:16">
      <c r="A9" s="2232"/>
      <c r="B9" s="2233"/>
      <c r="C9" s="48" t="s">
        <v>1923</v>
      </c>
      <c r="D9" s="48">
        <f t="shared" si="0"/>
        <v>0</v>
      </c>
      <c r="E9" s="52">
        <v>0</v>
      </c>
      <c r="F9" s="1388"/>
      <c r="G9" s="2231"/>
      <c r="H9" s="2231"/>
      <c r="I9" s="1388"/>
      <c r="J9" s="1388"/>
      <c r="K9" s="1388"/>
      <c r="L9" s="1388"/>
      <c r="M9" s="1388"/>
      <c r="N9" s="1388"/>
      <c r="O9" s="1388"/>
      <c r="P9" s="1388"/>
    </row>
    <row r="10" spans="1:16">
      <c r="A10" s="2232"/>
      <c r="B10" s="2233"/>
      <c r="C10" s="48" t="s">
        <v>1932</v>
      </c>
      <c r="D10" s="48">
        <f t="shared" si="0"/>
        <v>0</v>
      </c>
      <c r="E10" s="51">
        <f>SUMPRODUCT(('数据-基础表'!BB10:BK10="地下")*('数据-基础表'!BB11:BK11="商业")*('数据-基础表'!BB5:BK5))</f>
        <v>0</v>
      </c>
      <c r="F10" s="1388"/>
      <c r="G10" s="2231"/>
      <c r="H10" s="2231"/>
      <c r="I10" s="1388"/>
      <c r="J10" s="1388"/>
      <c r="K10" s="1388"/>
      <c r="L10" s="1388"/>
      <c r="M10" s="1388"/>
      <c r="N10" s="1388"/>
      <c r="O10" s="1388"/>
      <c r="P10" s="1388"/>
    </row>
    <row r="11" spans="1:16">
      <c r="A11" s="2232"/>
      <c r="B11" s="2233"/>
      <c r="C11" s="48" t="s">
        <v>1924</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c r="A12" s="2232"/>
      <c r="B12" s="2233"/>
      <c r="C12" s="48" t="s">
        <v>1925</v>
      </c>
      <c r="D12" s="48">
        <f t="shared" si="0"/>
        <v>0</v>
      </c>
      <c r="E12" s="51">
        <f>SUMPRODUCT(('数据-基础表'!BB10:BK10="地下")*('数据-基础表'!BB11:BK11="仓储")*('数据-基础表'!BB5:BK5))</f>
        <v>0</v>
      </c>
      <c r="F12" s="1388"/>
      <c r="G12" s="2231"/>
      <c r="H12" s="2231"/>
      <c r="I12" s="1388"/>
      <c r="J12" s="1388"/>
      <c r="K12" s="1388"/>
      <c r="L12" s="1388"/>
      <c r="M12" s="1388"/>
      <c r="N12" s="1388"/>
      <c r="O12" s="1388"/>
      <c r="P12" s="1388"/>
    </row>
    <row r="13" spans="1:16">
      <c r="A13" s="2232"/>
      <c r="B13" s="2233"/>
      <c r="C13" s="48" t="s">
        <v>1926</v>
      </c>
      <c r="D13" s="48">
        <f t="shared" si="0"/>
        <v>0</v>
      </c>
      <c r="E13" s="51">
        <f>SUMPRODUCT(('数据-基础表'!BB10:BK10="地下")*('数据-基础表'!BB11:BK11="车库")*('数据-基础表'!BB5:BK5))</f>
        <v>0</v>
      </c>
      <c r="F13" s="1388"/>
      <c r="G13" s="2231"/>
      <c r="H13" s="2231"/>
      <c r="I13" s="1388"/>
      <c r="J13" s="1388"/>
      <c r="K13" s="1388"/>
      <c r="L13" s="1388"/>
      <c r="M13" s="1388"/>
      <c r="N13" s="1388"/>
      <c r="O13" s="1388"/>
      <c r="P13" s="1388"/>
    </row>
    <row r="14" spans="1:16">
      <c r="A14" s="2232"/>
      <c r="B14" s="2233"/>
      <c r="C14" s="48" t="s">
        <v>1938</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1933</v>
      </c>
      <c r="D15" s="48">
        <f t="shared" si="0"/>
        <v>1241.49</v>
      </c>
      <c r="E15" s="51">
        <f>SUMPRODUCT(('数据-基础表'!BB10:BK10="地下")*('数据-基础表'!BB11:BK11="车库—办公")*('数据-基础表'!BB5:BK5))</f>
        <v>7705.92</v>
      </c>
      <c r="F15" s="1388"/>
      <c r="G15" s="2231"/>
      <c r="H15" s="2231"/>
      <c r="I15" s="1388"/>
      <c r="J15" s="1388"/>
      <c r="K15" s="1388"/>
      <c r="L15" s="1388"/>
      <c r="M15" s="1388"/>
      <c r="N15" s="1388"/>
      <c r="O15" s="1388"/>
      <c r="P15" s="1388"/>
    </row>
    <row r="16" spans="1:16" ht="15.75" thickBot="1">
      <c r="A16" s="2228"/>
      <c r="B16" s="2233"/>
      <c r="C16" s="50" t="s">
        <v>1927</v>
      </c>
      <c r="D16" s="50">
        <f>SUM(D8:D15)</f>
        <v>7811.71</v>
      </c>
      <c r="E16" s="53">
        <f>SUM(E8:E15)</f>
        <v>48487.340000000004</v>
      </c>
      <c r="F16" s="1388"/>
      <c r="G16" s="2231"/>
      <c r="H16" s="2234" t="s">
        <v>1939</v>
      </c>
      <c r="I16" s="2235"/>
      <c r="J16" s="1388"/>
      <c r="K16" s="3114" t="s">
        <v>1939</v>
      </c>
      <c r="L16" s="3115"/>
      <c r="M16" s="3115"/>
      <c r="N16" s="3115"/>
      <c r="O16" s="3115"/>
      <c r="P16" s="3116"/>
    </row>
    <row r="17" spans="1:19" ht="15">
      <c r="A17" s="2236" t="s">
        <v>1940</v>
      </c>
      <c r="B17" s="2237" t="s">
        <v>1941</v>
      </c>
      <c r="C17" s="2238" t="s">
        <v>1942</v>
      </c>
      <c r="D17" s="2239" t="s">
        <v>1930</v>
      </c>
      <c r="E17" s="2240" t="s">
        <v>1931</v>
      </c>
      <c r="F17" s="2241"/>
      <c r="G17" s="2242"/>
      <c r="H17" s="2243" t="s">
        <v>1943</v>
      </c>
      <c r="I17" s="2244" t="s">
        <v>1928</v>
      </c>
      <c r="J17" s="1388"/>
      <c r="K17" s="3111" t="s">
        <v>1944</v>
      </c>
      <c r="L17" s="3112"/>
      <c r="M17" s="3113"/>
      <c r="N17" s="3111" t="s">
        <v>1945</v>
      </c>
      <c r="O17" s="3112"/>
      <c r="P17" s="3113"/>
      <c r="R17" s="2222" t="s">
        <v>1946</v>
      </c>
      <c r="S17" s="63"/>
    </row>
    <row r="18" spans="1:19" ht="15">
      <c r="A18" s="2232"/>
      <c r="B18" s="2245"/>
      <c r="C18" s="2246"/>
      <c r="D18" s="2247"/>
      <c r="E18" s="2248" t="s">
        <v>1947</v>
      </c>
      <c r="F18" s="2249" t="s">
        <v>1948</v>
      </c>
      <c r="G18" s="2250" t="s">
        <v>1949</v>
      </c>
      <c r="H18" s="1258" t="s">
        <v>1950</v>
      </c>
      <c r="I18" s="2251" t="s">
        <v>1951</v>
      </c>
      <c r="J18" s="1388"/>
      <c r="K18" s="1258" t="s">
        <v>1952</v>
      </c>
      <c r="L18" s="2252" t="s">
        <v>1953</v>
      </c>
      <c r="M18" s="1042" t="s">
        <v>1954</v>
      </c>
      <c r="N18" s="1258" t="s">
        <v>1952</v>
      </c>
      <c r="O18" s="2252" t="s">
        <v>1953</v>
      </c>
      <c r="P18" s="1042" t="s">
        <v>1954</v>
      </c>
      <c r="R18" s="1243" t="s">
        <v>1955</v>
      </c>
      <c r="S18" s="1243" t="s">
        <v>1956</v>
      </c>
    </row>
    <row r="19" spans="1:19">
      <c r="A19" s="2253"/>
      <c r="B19" s="50" t="s">
        <v>1929</v>
      </c>
      <c r="C19" s="2939" t="s">
        <v>3069</v>
      </c>
      <c r="D19" s="48">
        <f>ROUND($D$3*E19/$E$3,2)</f>
        <v>2271.44</v>
      </c>
      <c r="E19" s="56">
        <f t="shared" ref="E19:E26" si="1">SUM(F19:G19)</f>
        <v>14098.83</v>
      </c>
      <c r="F19" s="57">
        <v>14098.83</v>
      </c>
      <c r="G19" s="57"/>
      <c r="H19" s="721">
        <f>ROUND($D$3*I19/$E$3,2)</f>
        <v>172.88</v>
      </c>
      <c r="I19" s="51">
        <f t="shared" ref="I19:I26" si="2">IF($I$17="自定义",P19,M19)</f>
        <v>1073.08</v>
      </c>
      <c r="J19" s="1388"/>
      <c r="K19" s="1387">
        <f t="shared" ref="K19:K26" si="3">ROUND(E$28*E19/E$27,2)</f>
        <v>1073.08</v>
      </c>
      <c r="L19" s="1243">
        <f t="shared" ref="L19:L26" si="4">ROUND(IF(COUNTIF(C19,"*住宅*")&gt;0,E$29*E19/E$32,0),2)</f>
        <v>0</v>
      </c>
      <c r="M19" s="1399">
        <f>K19+L19</f>
        <v>1073.08</v>
      </c>
      <c r="N19" s="2254"/>
      <c r="O19" s="2255"/>
      <c r="P19" s="1399">
        <f>N19+O19</f>
        <v>0</v>
      </c>
      <c r="R19" s="1243">
        <f t="shared" ref="R19:S26" si="5">D19+H19</f>
        <v>2444.3200000000002</v>
      </c>
      <c r="S19" s="1244">
        <f t="shared" si="5"/>
        <v>15171.91</v>
      </c>
    </row>
    <row r="20" spans="1:19">
      <c r="A20" s="2256"/>
      <c r="B20" s="50" t="s">
        <v>1957</v>
      </c>
      <c r="C20" s="2939" t="s">
        <v>3070</v>
      </c>
      <c r="D20" s="48">
        <f t="shared" ref="D20:D26" si="6">ROUND($D$3*E20/$E$3,2)</f>
        <v>1241.49</v>
      </c>
      <c r="E20" s="56">
        <f t="shared" si="1"/>
        <v>7705.92</v>
      </c>
      <c r="F20" s="57"/>
      <c r="G20" s="57">
        <v>7705.92</v>
      </c>
      <c r="H20" s="721">
        <f t="shared" ref="H20:H26" si="7">ROUND($D$3*I20/$E$3,2)</f>
        <v>94.49</v>
      </c>
      <c r="I20" s="51">
        <f t="shared" si="2"/>
        <v>586.51</v>
      </c>
      <c r="J20" s="1388"/>
      <c r="K20" s="1387">
        <f t="shared" si="3"/>
        <v>586.51</v>
      </c>
      <c r="L20" s="1243">
        <f t="shared" si="4"/>
        <v>0</v>
      </c>
      <c r="M20" s="1399">
        <f t="shared" ref="M20:M26" si="8">K20+L20</f>
        <v>586.51</v>
      </c>
      <c r="N20" s="2254"/>
      <c r="O20" s="2255"/>
      <c r="P20" s="1399">
        <f t="shared" ref="P20:P26" si="9">N20+O20</f>
        <v>0</v>
      </c>
      <c r="R20" s="1243">
        <f t="shared" si="5"/>
        <v>1335.98</v>
      </c>
      <c r="S20" s="1244">
        <f t="shared" si="5"/>
        <v>8292.43</v>
      </c>
    </row>
    <row r="21" spans="1:19">
      <c r="A21" s="2256"/>
      <c r="B21" s="50" t="s">
        <v>1957</v>
      </c>
      <c r="C21" s="2939" t="s">
        <v>3071</v>
      </c>
      <c r="D21" s="48">
        <f t="shared" si="6"/>
        <v>4298.78</v>
      </c>
      <c r="E21" s="56">
        <f t="shared" si="1"/>
        <v>26682.59</v>
      </c>
      <c r="F21" s="57">
        <v>26682.59</v>
      </c>
      <c r="G21" s="57"/>
      <c r="H21" s="721">
        <f t="shared" si="7"/>
        <v>327.19</v>
      </c>
      <c r="I21" s="51">
        <f t="shared" si="2"/>
        <v>2030.85</v>
      </c>
      <c r="J21" s="1388"/>
      <c r="K21" s="1387">
        <f t="shared" si="3"/>
        <v>2030.85</v>
      </c>
      <c r="L21" s="1243">
        <f t="shared" si="4"/>
        <v>0</v>
      </c>
      <c r="M21" s="1399">
        <f t="shared" si="8"/>
        <v>2030.85</v>
      </c>
      <c r="N21" s="2254"/>
      <c r="O21" s="2255"/>
      <c r="P21" s="1399">
        <f t="shared" si="9"/>
        <v>0</v>
      </c>
      <c r="R21" s="1243">
        <f t="shared" si="5"/>
        <v>4625.9699999999993</v>
      </c>
      <c r="S21" s="1244">
        <f t="shared" si="5"/>
        <v>28713.439999999999</v>
      </c>
    </row>
    <row r="22" spans="1:19">
      <c r="A22" s="2256"/>
      <c r="B22" s="50" t="s">
        <v>1957</v>
      </c>
      <c r="C22" s="59"/>
      <c r="D22" s="48">
        <f t="shared" si="6"/>
        <v>0</v>
      </c>
      <c r="E22" s="56">
        <f t="shared" si="1"/>
        <v>0</v>
      </c>
      <c r="F22" s="60"/>
      <c r="G22" s="61"/>
      <c r="H22" s="721">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1957</v>
      </c>
      <c r="C23" s="59"/>
      <c r="D23" s="48">
        <f>ROUND($D$3*E23/$E$3,2)</f>
        <v>0</v>
      </c>
      <c r="E23" s="56">
        <f>SUM(F23:G23)</f>
        <v>0</v>
      </c>
      <c r="F23" s="60"/>
      <c r="G23" s="61"/>
      <c r="H23" s="721">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1957</v>
      </c>
      <c r="C24" s="59"/>
      <c r="D24" s="48">
        <f>ROUND($D$3*E24/$E$3,2)</f>
        <v>0</v>
      </c>
      <c r="E24" s="56">
        <f>SUM(F24:G24)</f>
        <v>0</v>
      </c>
      <c r="F24" s="60"/>
      <c r="G24" s="61"/>
      <c r="H24" s="721">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1957</v>
      </c>
      <c r="C25" s="59"/>
      <c r="D25" s="48">
        <f t="shared" si="6"/>
        <v>0</v>
      </c>
      <c r="E25" s="56">
        <f t="shared" si="1"/>
        <v>0</v>
      </c>
      <c r="F25" s="60"/>
      <c r="G25" s="61"/>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1957</v>
      </c>
      <c r="C26" s="62"/>
      <c r="D26" s="48">
        <f t="shared" si="6"/>
        <v>0</v>
      </c>
      <c r="E26" s="56">
        <f t="shared" si="1"/>
        <v>0</v>
      </c>
      <c r="F26" s="60"/>
      <c r="G26" s="61"/>
      <c r="H26" s="47">
        <f t="shared" si="7"/>
        <v>0</v>
      </c>
      <c r="I26" s="51">
        <f t="shared" si="2"/>
        <v>0</v>
      </c>
      <c r="J26" s="1388"/>
      <c r="K26" s="1394">
        <f t="shared" si="3"/>
        <v>0</v>
      </c>
      <c r="L26" s="1395">
        <f t="shared" si="4"/>
        <v>0</v>
      </c>
      <c r="M26" s="66">
        <f t="shared" si="8"/>
        <v>0</v>
      </c>
      <c r="N26" s="2257"/>
      <c r="O26" s="2258"/>
      <c r="P26" s="66">
        <f t="shared" si="9"/>
        <v>0</v>
      </c>
      <c r="R26" s="1243">
        <f t="shared" si="5"/>
        <v>0</v>
      </c>
      <c r="S26" s="1244">
        <f t="shared" si="5"/>
        <v>0</v>
      </c>
    </row>
    <row r="27" spans="1:19" ht="15.75" thickBot="1">
      <c r="A27" s="2256"/>
      <c r="B27" s="48"/>
      <c r="C27" s="2259" t="s">
        <v>1958</v>
      </c>
      <c r="D27" s="1389">
        <f>SUM(D19:D26)</f>
        <v>7811.71</v>
      </c>
      <c r="E27" s="1390">
        <f>IF(SUM(E19:E26)='数据-基础表'!BA5,SUM(E19:E26),IF(F27="地上面积有误","面积有误","地下面积有误"))</f>
        <v>48487.34</v>
      </c>
      <c r="F27" s="1389">
        <f>IF(SUM(F19:F26)=E8,SUM(F19:F26),"地上面积有误")</f>
        <v>40781.42</v>
      </c>
      <c r="G27" s="1391">
        <f>SUM(G19:G26)</f>
        <v>7705.92</v>
      </c>
      <c r="H27" s="1392">
        <f>SUM(H19:H26)</f>
        <v>594.55999999999995</v>
      </c>
      <c r="I27" s="1393">
        <f>SUM(I19:I26)</f>
        <v>3690.4399999999996</v>
      </c>
      <c r="J27" s="1388"/>
      <c r="K27" s="1396">
        <f>SUM(K19:K26)</f>
        <v>3690.4399999999996</v>
      </c>
      <c r="L27" s="1397">
        <f>SUM(L19:L26)</f>
        <v>0</v>
      </c>
      <c r="M27" s="1400">
        <f>SUM(M19:M26)</f>
        <v>3690.4399999999996</v>
      </c>
      <c r="N27" s="1396">
        <f t="shared" ref="N27:O27" si="10">SUM(N19:N26)</f>
        <v>0</v>
      </c>
      <c r="O27" s="1397">
        <f t="shared" si="10"/>
        <v>0</v>
      </c>
      <c r="P27" s="1398">
        <f>SUM(P19:P26)</f>
        <v>0</v>
      </c>
      <c r="R27" s="1245">
        <f>IF(SUM(R19:R26)=$D$3,SUM(R19:R26),SUM(R19:R26)&amp;"误差"&amp;ROUND(SUM(R19:R26)-$D$3,2))</f>
        <v>8406.27</v>
      </c>
      <c r="S27" s="1243">
        <f>IF(SUM(S19:S26)=$E$3,SUM(S19:S26),SUM(S19:S26)&amp;"误差"&amp;ROUND(SUM(S19:S26)-E3,2))</f>
        <v>52177.78</v>
      </c>
    </row>
    <row r="28" spans="1:19">
      <c r="A28" s="2256"/>
      <c r="B28" s="50" t="s">
        <v>1959</v>
      </c>
      <c r="C28" s="1255" t="s">
        <v>1960</v>
      </c>
      <c r="D28" s="48">
        <f>ROUND($D$3*E28/$E$3,2)</f>
        <v>594.55999999999995</v>
      </c>
      <c r="E28" s="56">
        <f>SUM(F28:G28)</f>
        <v>3690.4399999999996</v>
      </c>
      <c r="F28" s="63">
        <f>'数据-基础表'!BQ5+'数据-基础表'!BS5</f>
        <v>0</v>
      </c>
      <c r="G28" s="64">
        <f>'数据-基础表'!BR5+'数据-基础表'!BT5</f>
        <v>3690.4399999999996</v>
      </c>
      <c r="H28" s="1388"/>
      <c r="I28" s="1388"/>
      <c r="J28" s="1388"/>
      <c r="K28" s="1388"/>
      <c r="L28" s="1388"/>
      <c r="M28" s="1388"/>
      <c r="N28" s="1388"/>
      <c r="O28" s="1388"/>
      <c r="P28" s="1388"/>
    </row>
    <row r="29" spans="1:19">
      <c r="A29" s="2256"/>
      <c r="B29" s="50" t="s">
        <v>1959</v>
      </c>
      <c r="C29" s="2260" t="s">
        <v>1961</v>
      </c>
      <c r="D29" s="48">
        <f>ROUND($D$3*E29/$E$3,2)</f>
        <v>0</v>
      </c>
      <c r="E29" s="56">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6"/>
      <c r="B30" s="50"/>
      <c r="C30" s="2261" t="s">
        <v>1958</v>
      </c>
      <c r="D30" s="1389">
        <f>SUM(D28:D29)</f>
        <v>594.55999999999995</v>
      </c>
      <c r="E30" s="1389">
        <f>SUM(E28:E29)</f>
        <v>3690.4399999999996</v>
      </c>
      <c r="F30" s="1389">
        <f>SUM(F28:F29)</f>
        <v>0</v>
      </c>
      <c r="G30" s="1391">
        <f>SUM(G28:G29)</f>
        <v>3690.4399999999996</v>
      </c>
      <c r="H30" s="1388"/>
      <c r="I30" s="1388"/>
      <c r="J30" s="1388"/>
      <c r="K30" s="1388"/>
      <c r="L30" s="1388"/>
      <c r="M30" s="1388"/>
      <c r="N30" s="1388"/>
      <c r="O30" s="1388"/>
      <c r="P30" s="1388"/>
    </row>
    <row r="31" spans="1:19" ht="15.75" thickBot="1">
      <c r="A31" s="2262"/>
      <c r="B31" s="2263"/>
      <c r="C31" s="1003" t="s">
        <v>1962</v>
      </c>
      <c r="D31" s="727">
        <f>D27+D30</f>
        <v>8406.27</v>
      </c>
      <c r="E31" s="727">
        <f>E27+E30</f>
        <v>52177.78</v>
      </c>
      <c r="F31" s="728">
        <f>F27+F30</f>
        <v>40781.42</v>
      </c>
      <c r="G31" s="729">
        <f>G27+G30</f>
        <v>11396.36</v>
      </c>
      <c r="H31" s="1388"/>
      <c r="I31" s="1388"/>
      <c r="J31" s="1388"/>
      <c r="K31" s="1388"/>
      <c r="L31" s="1388"/>
      <c r="M31" s="1388"/>
      <c r="N31" s="1388"/>
      <c r="O31" s="1388"/>
      <c r="P31" s="1388"/>
    </row>
    <row r="32" spans="1:19">
      <c r="A32" s="2227"/>
      <c r="B32" s="2227" t="s">
        <v>1963</v>
      </c>
      <c r="C32" s="2227"/>
      <c r="D32" s="2227"/>
      <c r="E32" s="1270">
        <f>SUMIF(C19:C26,"*住宅*",E19:E26)</f>
        <v>0</v>
      </c>
      <c r="F32" s="2227"/>
      <c r="G32" s="2227"/>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O17" sqref="AO17"/>
    </sheetView>
  </sheetViews>
  <sheetFormatPr defaultColWidth="13.75" defaultRowHeight="12.75"/>
  <cols>
    <col min="1" max="1" width="20.875" style="2337" customWidth="1"/>
    <col min="2" max="2" width="12" style="2268" customWidth="1"/>
    <col min="3" max="3" width="10.75" style="2268" customWidth="1"/>
    <col min="4" max="4" width="9.125" style="2338" customWidth="1"/>
    <col min="5" max="5" width="15" style="2268" bestFit="1" customWidth="1"/>
    <col min="6" max="10" width="8.875" style="2268" customWidth="1"/>
    <col min="11" max="12" width="12.375" style="2184"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29" width="6.75" style="2268" customWidth="1"/>
    <col min="30" max="30" width="9.375" style="2268" customWidth="1"/>
    <col min="31" max="31" width="8" style="2268" customWidth="1"/>
    <col min="32" max="33" width="7.25" style="2268" customWidth="1"/>
    <col min="34" max="34" width="10.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1964</v>
      </c>
      <c r="B1" s="730"/>
      <c r="C1" s="1577"/>
      <c r="D1" s="2266"/>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1965</v>
      </c>
      <c r="B2" s="1262">
        <f>项目基本情况!D3</f>
        <v>43165</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7" t="s">
        <v>1966</v>
      </c>
      <c r="B4" s="2274"/>
      <c r="C4" s="2275"/>
      <c r="D4" s="2276"/>
      <c r="E4" s="2275" t="s">
        <v>1967</v>
      </c>
      <c r="F4" s="2275"/>
      <c r="G4" s="2275"/>
      <c r="H4" s="2275"/>
      <c r="I4" s="2275"/>
      <c r="J4" s="2277"/>
      <c r="K4" s="2278"/>
      <c r="L4" s="2279"/>
      <c r="M4" s="2275"/>
      <c r="N4" s="2275" t="s">
        <v>1968</v>
      </c>
      <c r="O4" s="2275"/>
      <c r="P4" s="2275"/>
      <c r="Q4" s="2275"/>
      <c r="R4" s="2275"/>
      <c r="S4" s="2277"/>
      <c r="T4" s="2280" t="str">
        <f>'数据-汇总表'!I17</f>
        <v>按面积比例</v>
      </c>
      <c r="U4" s="2274" t="s">
        <v>1969</v>
      </c>
      <c r="V4" s="2275"/>
      <c r="W4" s="2275"/>
      <c r="X4" s="2275"/>
      <c r="Y4" s="2277"/>
      <c r="Z4" s="2238" t="s">
        <v>1970</v>
      </c>
      <c r="AA4" s="2238"/>
      <c r="AB4" s="2238"/>
      <c r="AC4" s="2238"/>
      <c r="AD4" s="2238"/>
      <c r="AE4" s="2236" t="s">
        <v>1971</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1972</v>
      </c>
      <c r="B5" s="2283" t="s">
        <v>1973</v>
      </c>
      <c r="C5" s="2284" t="s">
        <v>1974</v>
      </c>
      <c r="D5" s="2285" t="s">
        <v>1975</v>
      </c>
      <c r="E5" s="1264" t="s">
        <v>1976</v>
      </c>
      <c r="F5" s="2286" t="s">
        <v>1977</v>
      </c>
      <c r="G5" s="1264" t="s">
        <v>1978</v>
      </c>
      <c r="H5" s="1264" t="s">
        <v>1979</v>
      </c>
      <c r="I5" s="1264" t="s">
        <v>1980</v>
      </c>
      <c r="J5" s="2287" t="s">
        <v>1981</v>
      </c>
      <c r="K5" s="2288" t="s">
        <v>1982</v>
      </c>
      <c r="L5" s="2289" t="s">
        <v>1983</v>
      </c>
      <c r="M5" s="2290" t="s">
        <v>1984</v>
      </c>
      <c r="N5" s="2291" t="s">
        <v>1985</v>
      </c>
      <c r="O5" s="2289" t="s">
        <v>1986</v>
      </c>
      <c r="P5" s="2292" t="s">
        <v>1987</v>
      </c>
      <c r="Q5" s="68" t="s">
        <v>1988</v>
      </c>
      <c r="R5" s="2293" t="s">
        <v>1989</v>
      </c>
      <c r="S5" s="2294" t="s">
        <v>1990</v>
      </c>
      <c r="T5" s="2295" t="s">
        <v>1991</v>
      </c>
      <c r="U5" s="1263" t="s">
        <v>1992</v>
      </c>
      <c r="V5" s="1264" t="s">
        <v>1993</v>
      </c>
      <c r="W5" s="1264" t="s">
        <v>1994</v>
      </c>
      <c r="X5" s="70"/>
      <c r="Y5" s="69" t="s">
        <v>1995</v>
      </c>
      <c r="Z5" s="2296" t="s">
        <v>1992</v>
      </c>
      <c r="AA5" s="1264" t="s">
        <v>1993</v>
      </c>
      <c r="AB5" s="1264" t="s">
        <v>1994</v>
      </c>
      <c r="AC5" s="70"/>
      <c r="AD5" s="70" t="s">
        <v>1995</v>
      </c>
      <c r="AE5" s="1263" t="s">
        <v>1996</v>
      </c>
      <c r="AF5" s="1264" t="s">
        <v>1997</v>
      </c>
      <c r="AG5" s="69" t="s">
        <v>1998</v>
      </c>
      <c r="AH5" s="1263" t="s">
        <v>1999</v>
      </c>
      <c r="AI5" s="2296" t="s">
        <v>2000</v>
      </c>
      <c r="AJ5" s="2296" t="s">
        <v>2001</v>
      </c>
      <c r="AK5" s="1264" t="s">
        <v>2002</v>
      </c>
      <c r="AL5" s="1264" t="s">
        <v>2003</v>
      </c>
      <c r="AM5" s="69" t="s">
        <v>2004</v>
      </c>
      <c r="AN5" s="2297" t="s">
        <v>2005</v>
      </c>
      <c r="AO5" s="2069" t="s">
        <v>2006</v>
      </c>
      <c r="AP5" s="1245" t="s">
        <v>2007</v>
      </c>
      <c r="AQ5" s="2298" t="s">
        <v>2008</v>
      </c>
      <c r="AR5" s="2298"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299" t="str">
        <f>'数据-汇总表'!C19</f>
        <v>办公自用</v>
      </c>
      <c r="B6" s="2300" t="str">
        <f>IF(A6=0,"","经营性")</f>
        <v>经营性</v>
      </c>
      <c r="C6" s="2301" t="s">
        <v>27</v>
      </c>
      <c r="D6" s="1047">
        <f>SUMIF(项目基本情况!D$12:I$12,C6,项目基本情况!D$14:I$14)</f>
        <v>50</v>
      </c>
      <c r="E6" s="1044">
        <f>IF(B6="","",SUMIF(项目基本情况!D$12:I$12,C6,项目基本情况!D$13:I$13))</f>
        <v>56489</v>
      </c>
      <c r="F6" s="71">
        <f>SUMIF(项目基本情况!D$12:I$12,C6,项目基本情况!D$15:I$15)</f>
        <v>36.5</v>
      </c>
      <c r="G6" s="72">
        <f>IF(ISERROR(ROUND(POWER(1+H6,D6-F6)*(POWER(1+H6,F6)-1)/(POWER(1+H6,D6)-1),3)),0,ROUND(POWER(1+H6,D6-F6)*(POWER(1+H6,F6)-1)/(POWER(1+H6,D6)-1),3))</f>
        <v>0.89900000000000002</v>
      </c>
      <c r="H6" s="800">
        <v>4.4999999999999998E-2</v>
      </c>
      <c r="I6" s="800">
        <v>0.06</v>
      </c>
      <c r="J6" s="73">
        <v>8.5000000000000006E-2</v>
      </c>
      <c r="K6" s="1247">
        <f>SUMIF('数据-汇总表'!C$19:C$33,A6,'数据-汇总表'!E$19:E$33)</f>
        <v>14098.83</v>
      </c>
      <c r="L6" s="801">
        <v>4500</v>
      </c>
      <c r="M6" s="74">
        <f t="shared" ref="M6:M14" si="0">ROUND(K6*L6/10000,0)</f>
        <v>6344</v>
      </c>
      <c r="N6" s="799">
        <f>(N11+N12)/2</f>
        <v>0.86499999999999999</v>
      </c>
      <c r="O6" s="74">
        <f>IF($N$5="成新度","——",ROUND(M6*N6,0))</f>
        <v>5488</v>
      </c>
      <c r="P6" s="75">
        <f>IF($N$5="成新度","——",M6-O6)</f>
        <v>856</v>
      </c>
      <c r="Q6" s="802">
        <v>0.25</v>
      </c>
      <c r="R6" s="76">
        <f ca="1">SUMIF('数据-汇总表'!C$19:C$33,A6,'数据-汇总表'!R$19:R$27)</f>
        <v>2444.3200000000002</v>
      </c>
      <c r="S6" s="54">
        <f>IF('数据-汇总表'!$I$17="按面积比例",SUMIF('数据-汇总表'!C$19:C$33,A6,'数据-汇总表'!K$19:K$33),SUMIF('数据-汇总表'!C$19:C$33,A6,'数据-汇总表'!N$19:N$33))</f>
        <v>1073.08</v>
      </c>
      <c r="T6" s="1439">
        <f>ROUND($L$14*S6/10000,0)</f>
        <v>322</v>
      </c>
      <c r="U6" s="2962">
        <v>9.5</v>
      </c>
      <c r="V6" s="78">
        <v>3.5000000000000003E-2</v>
      </c>
      <c r="W6" s="78">
        <v>0.05</v>
      </c>
      <c r="X6" s="1257"/>
      <c r="Y6" s="79">
        <f>N6</f>
        <v>0.86499999999999999</v>
      </c>
      <c r="Z6" s="80"/>
      <c r="AA6" s="73"/>
      <c r="AB6" s="73"/>
      <c r="AC6" s="1257"/>
      <c r="AD6" s="81"/>
      <c r="AE6" s="1258">
        <f ca="1">IF(AN6="",0,SUMIF(INDIRECT("'"&amp;AN6&amp;"'"&amp;"!E:E"),$AE$5,INDIRECT("'"&amp;AN6&amp;"'"&amp;"!F:F")))</f>
        <v>36.5</v>
      </c>
      <c r="AF6" s="1800"/>
      <c r="AG6" s="146">
        <f>IF(AF6="",0,AE6-AF6)</f>
        <v>0</v>
      </c>
      <c r="AH6" s="2963">
        <f>K6</f>
        <v>14098.83</v>
      </c>
      <c r="AI6" s="84">
        <v>365</v>
      </c>
      <c r="AJ6" s="85"/>
      <c r="AK6" s="86">
        <v>1.4999999999999999E-2</v>
      </c>
      <c r="AL6" s="87">
        <v>1.5E-3</v>
      </c>
      <c r="AM6" s="88">
        <v>0.01</v>
      </c>
      <c r="AN6" s="2302" t="s">
        <v>3083</v>
      </c>
      <c r="AO6" s="55">
        <f ca="1">SUMIF(INDIRECT("'"&amp;AN6&amp;"'"&amp;"!A:A"),"总价",INDIRECT("'"&amp;AN6&amp;"'"&amp;"!B:B"))</f>
        <v>95186</v>
      </c>
      <c r="AP6" s="2303">
        <f>IF(C6="住宅",K6*L6,0)</f>
        <v>0</v>
      </c>
      <c r="AQ6" s="55">
        <f>ROUND($L$14*$N$14*S6/10000,0)</f>
        <v>278</v>
      </c>
      <c r="AR6" s="55">
        <f>ROUND($L$14*(1-$N$14)*S6/10000,0)</f>
        <v>43</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地下车库</v>
      </c>
      <c r="B7" s="2300" t="str">
        <f t="shared" ref="B7:B13" si="1">IF(A7=0,"","经营性")</f>
        <v>经营性</v>
      </c>
      <c r="C7" s="2301" t="s">
        <v>3062</v>
      </c>
      <c r="D7" s="1047">
        <f>SUMIF(项目基本情况!D$12:I$12,C7,项目基本情况!D$14:I$14)</f>
        <v>50</v>
      </c>
      <c r="E7" s="1044">
        <f>IF(B7="","",SUMIF(项目基本情况!D$12:I$12,C7,项目基本情况!D$13:I$13))</f>
        <v>56489</v>
      </c>
      <c r="F7" s="71">
        <f>SUMIF(项目基本情况!D$12:I$12,C7,项目基本情况!D$15:I$15)</f>
        <v>36.5</v>
      </c>
      <c r="G7" s="72">
        <f t="shared" ref="G7:G11" si="2">IF(ISERROR(ROUND(POWER(1+H7,D7-F7)*(POWER(1+H7,F7)-1)/(POWER(1+H7,D7)-1),3)),0,ROUND(POWER(1+H7,D7-F7)*(POWER(1+H7,F7)-1)/(POWER(1+H7,D7)-1),3))</f>
        <v>0.89900000000000002</v>
      </c>
      <c r="H7" s="800">
        <v>4.4999999999999998E-2</v>
      </c>
      <c r="I7" s="800">
        <v>0.05</v>
      </c>
      <c r="J7" s="73">
        <v>8.5000000000000006E-2</v>
      </c>
      <c r="K7" s="1247">
        <f>SUMIF('数据-汇总表'!C$19:C$33,A7,'数据-汇总表'!E$19:E$33)</f>
        <v>7705.92</v>
      </c>
      <c r="L7" s="801">
        <v>3000</v>
      </c>
      <c r="M7" s="74">
        <f t="shared" si="0"/>
        <v>2312</v>
      </c>
      <c r="N7" s="799">
        <f>N6</f>
        <v>0.86499999999999999</v>
      </c>
      <c r="O7" s="74">
        <f t="shared" ref="O7:O14" si="3">IF($N$5="成新度","——",ROUND(M7*N7,0))</f>
        <v>2000</v>
      </c>
      <c r="P7" s="75">
        <f t="shared" ref="P7:P14" si="4">IF($N$5="成新度","——",M7-O7)</f>
        <v>312</v>
      </c>
      <c r="Q7" s="802">
        <v>0.1</v>
      </c>
      <c r="R7" s="76">
        <f ca="1">SUMIF('数据-汇总表'!C$19:C$33,A7,'数据-汇总表'!R$19:R$27)</f>
        <v>1335.98</v>
      </c>
      <c r="S7" s="54">
        <f>IF('数据-汇总表'!$I$17="按面积比例",SUMIF('数据-汇总表'!C$19:C$33,A7,'数据-汇总表'!K$19:K$33),SUMIF('数据-汇总表'!C$19:C$33,A7,'数据-汇总表'!N$19:N$33))</f>
        <v>586.51</v>
      </c>
      <c r="T7" s="1439">
        <f t="shared" ref="T7:T13" si="5">ROUND($L$14*S7/10000,0)</f>
        <v>176</v>
      </c>
      <c r="U7" s="77">
        <v>2000</v>
      </c>
      <c r="V7" s="78">
        <v>3.5000000000000003E-2</v>
      </c>
      <c r="W7" s="78">
        <v>0.05</v>
      </c>
      <c r="X7" s="1257"/>
      <c r="Y7" s="79">
        <f>N7</f>
        <v>0.86499999999999999</v>
      </c>
      <c r="Z7" s="80"/>
      <c r="AA7" s="73"/>
      <c r="AB7" s="73"/>
      <c r="AC7" s="1257"/>
      <c r="AD7" s="81"/>
      <c r="AE7" s="1258">
        <f t="shared" ref="AE7:AE13" ca="1" si="6">IF(AN7="",0,SUMIF(INDIRECT("'"&amp;AN7&amp;"'"&amp;"!E:E"),$AE$5,INDIRECT("'"&amp;AN7&amp;"'"&amp;"!F:F")))</f>
        <v>36.5</v>
      </c>
      <c r="AF7" s="1800"/>
      <c r="AG7" s="146">
        <f t="shared" ref="AG7:AG13" si="7">IF(AF7="",0,AE7-AF7)</f>
        <v>0</v>
      </c>
      <c r="AH7" s="2963">
        <v>252</v>
      </c>
      <c r="AI7" s="84">
        <v>12</v>
      </c>
      <c r="AJ7" s="85"/>
      <c r="AK7" s="86">
        <v>1.4999999999999999E-2</v>
      </c>
      <c r="AL7" s="87">
        <v>1.5E-3</v>
      </c>
      <c r="AM7" s="88">
        <v>0.01</v>
      </c>
      <c r="AN7" s="2302" t="s">
        <v>3079</v>
      </c>
      <c r="AO7" s="55">
        <f t="shared" ref="AO7:AO13" ca="1" si="8">SUMIF(INDIRECT("'"&amp;AN7&amp;"'"&amp;"!A:A"),"总价",INDIRECT("'"&amp;AN7&amp;"'"&amp;"!B:B"))</f>
        <v>12229</v>
      </c>
      <c r="AP7" s="2303">
        <f t="shared" ref="AP7:AP13" si="9">IF(C7="住宅",K7*L7,0)</f>
        <v>0</v>
      </c>
      <c r="AQ7" s="55">
        <f t="shared" ref="AQ7:AQ13" si="10">ROUND($L$14*$N$14*S7/10000,0)</f>
        <v>152</v>
      </c>
      <c r="AR7" s="55">
        <f t="shared" ref="AR7:AR13" si="11">ROUND($L$14*(1-$N$14)*S7/10000,0)</f>
        <v>24</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办公出租</v>
      </c>
      <c r="B8" s="2300" t="str">
        <f t="shared" si="1"/>
        <v>经营性</v>
      </c>
      <c r="C8" s="2301" t="s">
        <v>27</v>
      </c>
      <c r="D8" s="1047">
        <f>SUMIF(项目基本情况!D$12:I$12,C8,项目基本情况!D$14:I$14)</f>
        <v>50</v>
      </c>
      <c r="E8" s="1044">
        <f>IF(B8="","",SUMIF(项目基本情况!D$12:I$12,C8,项目基本情况!D$13:I$13))</f>
        <v>56489</v>
      </c>
      <c r="F8" s="71">
        <f>SUMIF(项目基本情况!D$12:I$12,C8,项目基本情况!D$15:I$15)</f>
        <v>36.5</v>
      </c>
      <c r="G8" s="72">
        <f t="shared" si="2"/>
        <v>0.89900000000000002</v>
      </c>
      <c r="H8" s="800">
        <v>4.4999999999999998E-2</v>
      </c>
      <c r="I8" s="800">
        <v>0.06</v>
      </c>
      <c r="J8" s="73">
        <v>8.5000000000000006E-2</v>
      </c>
      <c r="K8" s="1247">
        <f>SUMIF('数据-汇总表'!C$19:C$33,A8,'数据-汇总表'!E$19:E$33)</f>
        <v>26682.59</v>
      </c>
      <c r="L8" s="801">
        <f>L6</f>
        <v>4500</v>
      </c>
      <c r="M8" s="74">
        <f>ROUND(K8*L8/10000,0)</f>
        <v>12007</v>
      </c>
      <c r="N8" s="799">
        <f>N6</f>
        <v>0.86499999999999999</v>
      </c>
      <c r="O8" s="74">
        <f t="shared" si="3"/>
        <v>10386</v>
      </c>
      <c r="P8" s="75">
        <f t="shared" si="4"/>
        <v>1621</v>
      </c>
      <c r="Q8" s="802">
        <f>Q6</f>
        <v>0.25</v>
      </c>
      <c r="R8" s="76">
        <f ca="1">SUMIF('数据-汇总表'!C$19:C$33,A8,'数据-汇总表'!R$19:R$27)</f>
        <v>4625.9699999999993</v>
      </c>
      <c r="S8" s="54">
        <f>IF('数据-汇总表'!$I$17="按面积比例",SUMIF('数据-汇总表'!C$19:C$33,A8,'数据-汇总表'!K$19:K$33),SUMIF('数据-汇总表'!C$19:C$33,A8,'数据-汇总表'!N$19:N$33))</f>
        <v>2030.85</v>
      </c>
      <c r="T8" s="1439">
        <f t="shared" si="5"/>
        <v>609</v>
      </c>
      <c r="U8" s="2961">
        <v>9.41</v>
      </c>
      <c r="V8" s="803">
        <v>3.5000000000000003E-2</v>
      </c>
      <c r="W8" s="803">
        <v>0</v>
      </c>
      <c r="X8" s="1257"/>
      <c r="Y8" s="804">
        <f>Y6</f>
        <v>0.86499999999999999</v>
      </c>
      <c r="Z8" s="80">
        <f>ROUND(U6*(1+V6)^AF8,2)</f>
        <v>10.61</v>
      </c>
      <c r="AA8" s="73">
        <f>V6</f>
        <v>3.5000000000000003E-2</v>
      </c>
      <c r="AB8" s="73">
        <f>W6</f>
        <v>0.05</v>
      </c>
      <c r="AC8" s="1257"/>
      <c r="AD8" s="2960">
        <f>ROUND(1-(1-0%)*(2021-2008)/60,2)</f>
        <v>0.78</v>
      </c>
      <c r="AE8" s="1258">
        <f t="shared" ca="1" si="6"/>
        <v>36.5</v>
      </c>
      <c r="AF8" s="2964">
        <f>项目基本情况!I15</f>
        <v>3.2</v>
      </c>
      <c r="AG8" s="146">
        <f t="shared" ca="1" si="7"/>
        <v>33.299999999999997</v>
      </c>
      <c r="AH8" s="2963">
        <f>K8</f>
        <v>26682.59</v>
      </c>
      <c r="AI8" s="84">
        <v>365</v>
      </c>
      <c r="AJ8" s="85"/>
      <c r="AK8" s="86">
        <v>1.4999999999999999E-2</v>
      </c>
      <c r="AL8" s="87">
        <f>AL6</f>
        <v>1.5E-3</v>
      </c>
      <c r="AM8" s="88">
        <f>AM6</f>
        <v>0.01</v>
      </c>
      <c r="AN8" s="2302" t="s">
        <v>3081</v>
      </c>
      <c r="AO8" s="55">
        <f t="shared" ca="1" si="8"/>
        <v>182349</v>
      </c>
      <c r="AP8" s="2303">
        <f t="shared" si="9"/>
        <v>0</v>
      </c>
      <c r="AQ8" s="55">
        <f t="shared" si="10"/>
        <v>527</v>
      </c>
      <c r="AR8" s="55">
        <f t="shared" si="11"/>
        <v>82</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f>'数据-汇总表'!C22</f>
        <v>0</v>
      </c>
      <c r="B9" s="2300" t="str">
        <f t="shared" si="1"/>
        <v/>
      </c>
      <c r="C9" s="2301"/>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7">
        <f>SUMIF('数据-汇总表'!C$19:C$33,A9,'数据-汇总表'!E$19:E$33)</f>
        <v>0</v>
      </c>
      <c r="L9" s="801"/>
      <c r="M9" s="74">
        <f t="shared" si="0"/>
        <v>0</v>
      </c>
      <c r="N9" s="799"/>
      <c r="O9" s="74">
        <f t="shared" si="3"/>
        <v>0</v>
      </c>
      <c r="P9" s="75">
        <f t="shared" si="4"/>
        <v>0</v>
      </c>
      <c r="Q9" s="89"/>
      <c r="R9" s="76">
        <f ca="1">SUMIF('数据-汇总表'!C$19:C$33,A9,'数据-汇总表'!R$19:R$27)</f>
        <v>0</v>
      </c>
      <c r="S9" s="54">
        <f>IF('数据-汇总表'!$I$17="按面积比例",SUMIF('数据-汇总表'!C$19:C$33,A9,'数据-汇总表'!K$19:K$33),SUMIF('数据-汇总表'!C$19:C$33,A9,'数据-汇总表'!N$19:N$33))</f>
        <v>0</v>
      </c>
      <c r="T9" s="1439">
        <f t="shared" si="5"/>
        <v>0</v>
      </c>
      <c r="U9" s="77"/>
      <c r="V9" s="78"/>
      <c r="W9" s="78"/>
      <c r="X9" s="1257"/>
      <c r="Y9" s="79"/>
      <c r="Z9" s="80"/>
      <c r="AA9" s="73"/>
      <c r="AB9" s="73"/>
      <c r="AC9" s="1257"/>
      <c r="AD9" s="81"/>
      <c r="AE9" s="1258">
        <f t="shared" ca="1" si="6"/>
        <v>0</v>
      </c>
      <c r="AF9" s="1800"/>
      <c r="AG9" s="146">
        <f t="shared" si="7"/>
        <v>0</v>
      </c>
      <c r="AH9" s="82"/>
      <c r="AI9" s="84"/>
      <c r="AJ9" s="85"/>
      <c r="AK9" s="86"/>
      <c r="AL9" s="87"/>
      <c r="AM9" s="88"/>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f>'数据-汇总表'!C23</f>
        <v>0</v>
      </c>
      <c r="B10" s="2300" t="str">
        <f t="shared" si="1"/>
        <v/>
      </c>
      <c r="C10" s="2301"/>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1"/>
      <c r="M10" s="74">
        <f t="shared" si="0"/>
        <v>0</v>
      </c>
      <c r="N10" s="799"/>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f>ROUND(1-(1-0%)*(2018-2008)/60,2)</f>
        <v>0.83</v>
      </c>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v>0.9</v>
      </c>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2010</v>
      </c>
      <c r="B14" s="2300" t="s">
        <v>2011</v>
      </c>
      <c r="C14" s="2305" t="s">
        <v>2010</v>
      </c>
      <c r="D14" s="1047"/>
      <c r="E14" s="1044"/>
      <c r="F14" s="71"/>
      <c r="G14" s="72"/>
      <c r="H14" s="1246"/>
      <c r="I14" s="1246"/>
      <c r="J14" s="1246"/>
      <c r="K14" s="1247">
        <f>SUMIF('数据-汇总表'!C$19:C$33,A14,'数据-汇总表'!E$19:E$33)</f>
        <v>3690.4399999999996</v>
      </c>
      <c r="L14" s="90">
        <v>3000</v>
      </c>
      <c r="M14" s="74">
        <f t="shared" si="0"/>
        <v>1107</v>
      </c>
      <c r="N14" s="91">
        <f>N6</f>
        <v>0.86499999999999999</v>
      </c>
      <c r="O14" s="74">
        <f t="shared" si="3"/>
        <v>958</v>
      </c>
      <c r="P14" s="75">
        <f t="shared" si="4"/>
        <v>149</v>
      </c>
      <c r="Q14" s="1250"/>
      <c r="R14" s="76"/>
      <c r="S14" s="54"/>
      <c r="T14" s="1439"/>
      <c r="U14" s="721"/>
      <c r="V14" s="1252"/>
      <c r="W14" s="1252"/>
      <c r="X14" s="1253"/>
      <c r="Y14" s="1254"/>
      <c r="Z14" s="1255"/>
      <c r="AA14" s="1256"/>
      <c r="AB14" s="1256"/>
      <c r="AC14" s="1257"/>
      <c r="AD14" s="1253"/>
      <c r="AE14" s="1258"/>
      <c r="AF14" s="55"/>
      <c r="AG14" s="146"/>
      <c r="AH14" s="1258"/>
      <c r="AI14" s="1811"/>
      <c r="AJ14" s="771"/>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2012</v>
      </c>
      <c r="B15" s="2300" t="s">
        <v>2011</v>
      </c>
      <c r="C15" s="2305" t="s">
        <v>2013</v>
      </c>
      <c r="D15" s="1047"/>
      <c r="E15" s="1044"/>
      <c r="F15" s="71"/>
      <c r="G15" s="72"/>
      <c r="H15" s="1246"/>
      <c r="I15" s="1246"/>
      <c r="J15" s="1246"/>
      <c r="K15" s="1247">
        <f>SUMIF('数据-汇总表'!C$19:C$33,A15,'数据-汇总表'!E$19:E$33)</f>
        <v>0</v>
      </c>
      <c r="L15" s="1248"/>
      <c r="M15" s="74"/>
      <c r="N15" s="1249"/>
      <c r="O15" s="74"/>
      <c r="P15" s="75"/>
      <c r="Q15" s="1250"/>
      <c r="R15" s="76"/>
      <c r="S15" s="54"/>
      <c r="T15" s="1439"/>
      <c r="U15" s="721"/>
      <c r="V15" s="1252"/>
      <c r="W15" s="1252"/>
      <c r="X15" s="1253"/>
      <c r="Y15" s="1254"/>
      <c r="Z15" s="1255"/>
      <c r="AA15" s="1256"/>
      <c r="AB15" s="1256"/>
      <c r="AC15" s="1257"/>
      <c r="AD15" s="1253"/>
      <c r="AE15" s="1258"/>
      <c r="AF15" s="55"/>
      <c r="AG15" s="146"/>
      <c r="AH15" s="1258"/>
      <c r="AI15" s="1811"/>
      <c r="AJ15" s="771"/>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2014</v>
      </c>
      <c r="B16" s="96"/>
      <c r="C16" s="1001"/>
      <c r="D16" s="2307"/>
      <c r="E16" s="96"/>
      <c r="F16" s="96"/>
      <c r="G16" s="97">
        <f>ROUND(SUMPRODUCT(G6:G13,K6:K13)/SUMPRODUCT((G6:G13&gt;0)*(K6:K13)),3)</f>
        <v>0.89900000000000002</v>
      </c>
      <c r="H16" s="98">
        <f>ROUND(SUMPRODUCT(H6:H13,K6:K13)/SUMPRODUCT((H6:H13&gt;0)*(K6:K13)),3)</f>
        <v>4.4999999999999998E-2</v>
      </c>
      <c r="I16" s="99"/>
      <c r="J16" s="99"/>
      <c r="K16" s="100">
        <f>SUM(K6:K15)</f>
        <v>52177.78</v>
      </c>
      <c r="L16" s="101">
        <f>ROUND(M16*10000/SUM(K6:K14),0)</f>
        <v>4172</v>
      </c>
      <c r="M16" s="101">
        <f>SUM(M6:M14)</f>
        <v>21770</v>
      </c>
      <c r="N16" s="102">
        <f>ROUND(SUMPRODUCT(M6:M14,N6:N14)/M16,3)</f>
        <v>0.86499999999999999</v>
      </c>
      <c r="O16" s="101">
        <f>SUM(O6:O14)</f>
        <v>18832</v>
      </c>
      <c r="P16" s="101">
        <f>SUM(P6:P14)</f>
        <v>2938</v>
      </c>
      <c r="Q16" s="103">
        <f>ROUND(SUMPRODUCT(Q6:Q13,K6:K13)/SUMPRODUCT((Q6:Q13&gt;0)*(K6:K13)),2)</f>
        <v>0.23</v>
      </c>
      <c r="R16" s="1251">
        <f ca="1">SUM(R6:R13)</f>
        <v>8406.27</v>
      </c>
      <c r="S16" s="104">
        <f>SUM(S6:S13)</f>
        <v>3690.4399999999996</v>
      </c>
      <c r="T16" s="105">
        <f>IF(SUMIF(T6:T13,"&lt;9E307")=M14,SUMIF(T6:T13,"&lt;9E307"),"有误，请检查")</f>
        <v>1107</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0"/>
      <c r="C17" s="1577"/>
      <c r="D17" s="2266"/>
      <c r="E17" s="2266"/>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2015</v>
      </c>
      <c r="B18" s="2273"/>
      <c r="C18" s="2270"/>
      <c r="D18" s="2271"/>
      <c r="E18" s="2270"/>
      <c r="F18" s="2270"/>
      <c r="G18" s="2270"/>
      <c r="H18" s="2270"/>
      <c r="I18" s="2270"/>
      <c r="J18" s="2270"/>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2016</v>
      </c>
      <c r="B19" s="111">
        <v>0</v>
      </c>
      <c r="C19" s="2270" t="s">
        <v>2017</v>
      </c>
      <c r="D19" s="2271"/>
      <c r="E19" s="2270"/>
      <c r="F19" s="2270"/>
      <c r="G19" s="2270"/>
      <c r="H19" s="2270"/>
      <c r="I19" s="2270"/>
      <c r="J19" s="2270"/>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2018</v>
      </c>
      <c r="B20" s="112">
        <v>2</v>
      </c>
      <c r="C20" s="2270" t="s">
        <v>2019</v>
      </c>
      <c r="D20" s="2271"/>
      <c r="E20" s="2270"/>
      <c r="F20" s="2270"/>
      <c r="G20" s="2270"/>
      <c r="H20" s="2270"/>
      <c r="I20" s="2270"/>
      <c r="J20" s="2270"/>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2020</v>
      </c>
      <c r="B21" s="112">
        <v>2</v>
      </c>
      <c r="C21" s="2270"/>
      <c r="D21" s="2271"/>
      <c r="E21" s="2270"/>
      <c r="F21" s="2270"/>
      <c r="G21" s="2270"/>
      <c r="H21" s="2270"/>
      <c r="I21" s="2270"/>
      <c r="J21" s="2270"/>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2021</v>
      </c>
      <c r="B22" s="113">
        <f>B19+B20</f>
        <v>2</v>
      </c>
      <c r="C22" s="2270"/>
      <c r="D22" s="2271"/>
      <c r="E22" s="2270"/>
      <c r="F22" s="2270"/>
      <c r="G22" s="2270"/>
      <c r="H22" s="2270"/>
      <c r="I22" s="2270"/>
      <c r="J22" s="2270"/>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2022</v>
      </c>
      <c r="B23" s="113">
        <f>B19+B21</f>
        <v>2</v>
      </c>
      <c r="C23" s="2270"/>
      <c r="D23" s="2271"/>
      <c r="E23" s="2270"/>
      <c r="F23" s="2270"/>
      <c r="G23" s="2270"/>
      <c r="H23" s="2270"/>
      <c r="I23" s="2270"/>
      <c r="J23" s="2270"/>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2023</v>
      </c>
      <c r="B24" s="114">
        <f>B20-B21</f>
        <v>0</v>
      </c>
      <c r="C24" s="2270"/>
      <c r="D24" s="2271"/>
      <c r="E24" s="2270"/>
      <c r="F24" s="2270"/>
      <c r="G24" s="2270"/>
      <c r="H24" s="2270"/>
      <c r="I24" s="2270"/>
      <c r="J24" s="2270"/>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2024</v>
      </c>
      <c r="B26" s="2313" t="s">
        <v>2025</v>
      </c>
      <c r="C26" s="2314" t="s">
        <v>2026</v>
      </c>
      <c r="D26" s="2271"/>
      <c r="E26" s="2270"/>
      <c r="F26" s="2270"/>
      <c r="G26" s="2270"/>
      <c r="H26" s="2270"/>
      <c r="I26" s="2270"/>
      <c r="J26" s="2270"/>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2027</v>
      </c>
      <c r="B27" s="115">
        <v>0</v>
      </c>
      <c r="C27" s="1760" t="s">
        <v>2028</v>
      </c>
      <c r="D27" s="2316"/>
      <c r="E27" s="1423"/>
      <c r="F27" s="1423"/>
      <c r="G27" s="2270"/>
      <c r="H27" s="2270"/>
      <c r="I27" s="2270"/>
      <c r="J27" s="2270"/>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2029</v>
      </c>
      <c r="B28" s="118">
        <v>200</v>
      </c>
      <c r="C28" s="2319"/>
      <c r="D28" s="2316"/>
      <c r="E28" s="1423"/>
      <c r="F28" s="1423"/>
      <c r="G28" s="2270"/>
      <c r="H28" s="2270"/>
      <c r="I28" s="2270"/>
      <c r="J28" s="2270"/>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2030</v>
      </c>
      <c r="B29" s="120">
        <f>ROUND(B28*K16/10000,0)</f>
        <v>1044</v>
      </c>
      <c r="C29" s="1760" t="s">
        <v>2031</v>
      </c>
      <c r="D29" s="2316"/>
      <c r="E29" s="1423"/>
      <c r="F29" s="1423"/>
      <c r="G29" s="2270"/>
      <c r="H29" s="2270"/>
      <c r="I29" s="2270"/>
      <c r="J29" s="2270"/>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2032</v>
      </c>
      <c r="B30" s="722">
        <v>200</v>
      </c>
      <c r="C30" s="2319"/>
      <c r="D30" s="2316"/>
      <c r="E30" s="1423"/>
      <c r="F30" s="1423"/>
      <c r="G30" s="2270"/>
      <c r="H30" s="2270"/>
      <c r="I30" s="2270"/>
      <c r="J30" s="2270"/>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2033</v>
      </c>
      <c r="B31" s="119">
        <f>B30-B32</f>
        <v>200</v>
      </c>
      <c r="C31" s="1760"/>
      <c r="D31" s="2316"/>
      <c r="E31" s="1423"/>
      <c r="F31" s="1423"/>
      <c r="G31" s="2270"/>
      <c r="H31" s="2270"/>
      <c r="I31" s="2270"/>
      <c r="J31" s="2270"/>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2034</v>
      </c>
      <c r="B32" s="723">
        <v>0</v>
      </c>
      <c r="C32" s="2319"/>
      <c r="D32" s="2271"/>
      <c r="E32" s="2270"/>
      <c r="F32" s="2270"/>
      <c r="G32" s="2270"/>
      <c r="H32" s="2270"/>
      <c r="I32" s="2270"/>
      <c r="J32" s="2270"/>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2035</v>
      </c>
      <c r="B33" s="724">
        <v>0.03</v>
      </c>
      <c r="C33" s="1759" t="s">
        <v>2036</v>
      </c>
      <c r="D33" s="2271"/>
      <c r="E33" s="2270"/>
      <c r="F33" s="2270"/>
      <c r="G33" s="2270"/>
      <c r="H33" s="2270"/>
      <c r="I33" s="2270"/>
      <c r="J33" s="2270"/>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2037</v>
      </c>
      <c r="B34" s="121">
        <v>0</v>
      </c>
      <c r="C34" s="1759" t="s">
        <v>2038</v>
      </c>
      <c r="D34" s="2271" t="s">
        <v>2039</v>
      </c>
      <c r="E34" s="730"/>
      <c r="F34" s="2270"/>
      <c r="G34" s="2270"/>
      <c r="H34" s="2270"/>
      <c r="I34" s="2270"/>
      <c r="J34" s="2270"/>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2040</v>
      </c>
      <c r="B35" s="118">
        <v>200</v>
      </c>
      <c r="C35" s="1759" t="s">
        <v>2041</v>
      </c>
      <c r="D35" s="2316"/>
      <c r="E35" s="1423"/>
      <c r="F35" s="1423"/>
      <c r="G35" s="2270"/>
      <c r="H35" s="2270"/>
      <c r="I35" s="2270"/>
      <c r="J35" s="2270"/>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2042</v>
      </c>
      <c r="B36" s="122">
        <v>1.4999999999999999E-2</v>
      </c>
      <c r="C36" s="1759" t="s">
        <v>2043</v>
      </c>
      <c r="D36" s="2271"/>
      <c r="E36" s="2270"/>
      <c r="F36" s="2270"/>
      <c r="G36" s="2270"/>
      <c r="H36" s="2270"/>
      <c r="I36" s="2270"/>
      <c r="J36" s="2270"/>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2044</v>
      </c>
      <c r="B37" s="123">
        <v>0.02</v>
      </c>
      <c r="C37" s="1759" t="s">
        <v>2045</v>
      </c>
      <c r="D37" s="2271"/>
      <c r="E37" s="2270"/>
      <c r="F37" s="2270"/>
      <c r="G37" s="2270"/>
      <c r="H37" s="2270"/>
      <c r="I37" s="2270"/>
      <c r="J37" s="2270"/>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2046</v>
      </c>
      <c r="B38" s="121">
        <v>0.02</v>
      </c>
      <c r="C38" s="1759" t="s">
        <v>2045</v>
      </c>
      <c r="D38" s="2271"/>
      <c r="E38" s="2270"/>
      <c r="F38" s="2270"/>
      <c r="G38" s="2270"/>
      <c r="H38" s="2270"/>
      <c r="I38" s="2270"/>
      <c r="J38" s="2270"/>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2047</v>
      </c>
      <c r="B39" s="361">
        <f ca="1">存贷款利率!I1</f>
        <v>1.4999999999999999E-2</v>
      </c>
      <c r="C39" s="1759"/>
      <c r="D39" s="2271"/>
      <c r="E39" s="2270"/>
      <c r="F39" s="2270"/>
      <c r="G39" s="2270"/>
      <c r="H39" s="2270"/>
      <c r="I39" s="2270"/>
      <c r="J39" s="2270"/>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2048</v>
      </c>
      <c r="B40" s="1296">
        <f ca="1">存贷款利率!G1</f>
        <v>4.7500000000000001E-2</v>
      </c>
      <c r="C40" s="1759" t="s">
        <v>2049</v>
      </c>
      <c r="D40" s="1577"/>
      <c r="E40" s="2271"/>
      <c r="F40" s="2270"/>
      <c r="G40" s="2270"/>
      <c r="H40" s="2270"/>
      <c r="I40" s="2270"/>
      <c r="J40" s="2270"/>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2050</v>
      </c>
      <c r="B41" s="124">
        <f>B42+B43</f>
        <v>5.6000000000000001E-2</v>
      </c>
      <c r="C41" s="1760"/>
      <c r="D41" s="1577"/>
      <c r="E41" s="2271"/>
      <c r="F41" s="2270"/>
      <c r="G41" s="2270"/>
      <c r="H41" s="2270"/>
      <c r="I41" s="2270"/>
      <c r="J41" s="2270"/>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2051</v>
      </c>
      <c r="B42" s="125">
        <v>0.05</v>
      </c>
      <c r="C42" s="2324">
        <f>IF(B2&lt;DATE(2016,5,1),0,B42)</f>
        <v>0.05</v>
      </c>
      <c r="D42" s="2271"/>
      <c r="E42" s="2270"/>
      <c r="F42" s="2270"/>
      <c r="G42" s="2270"/>
      <c r="H42" s="2270"/>
      <c r="I42" s="2270"/>
      <c r="J42" s="2270"/>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2052</v>
      </c>
      <c r="B43" s="126">
        <f>B42*(B44+B45+B46)+B47</f>
        <v>6.000000000000001E-3</v>
      </c>
      <c r="C43" s="1760"/>
      <c r="D43" s="2271"/>
      <c r="E43" s="2270"/>
      <c r="F43" s="2270"/>
      <c r="G43" s="2270"/>
      <c r="H43" s="2270"/>
      <c r="I43" s="2270"/>
      <c r="J43" s="2270"/>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2053</v>
      </c>
      <c r="B44" s="127">
        <v>7.0000000000000007E-2</v>
      </c>
      <c r="C44" s="1759" t="s">
        <v>2054</v>
      </c>
      <c r="D44" s="2271"/>
      <c r="E44" s="2270"/>
      <c r="F44" s="2270"/>
      <c r="G44" s="2270"/>
      <c r="H44" s="2270"/>
      <c r="I44" s="2270"/>
      <c r="J44" s="2270"/>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2055</v>
      </c>
      <c r="B45" s="125">
        <v>0.03</v>
      </c>
      <c r="C45" s="1760" t="s">
        <v>2056</v>
      </c>
      <c r="D45" s="2271"/>
      <c r="E45" s="2270"/>
      <c r="F45" s="2270"/>
      <c r="G45" s="2270"/>
      <c r="H45" s="2270"/>
      <c r="I45" s="2270"/>
      <c r="J45" s="2270"/>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2057</v>
      </c>
      <c r="B46" s="125">
        <v>0.02</v>
      </c>
      <c r="C46" s="1760" t="s">
        <v>2058</v>
      </c>
      <c r="D46" s="2271"/>
      <c r="E46" s="2270"/>
      <c r="F46" s="2270"/>
      <c r="G46" s="2270"/>
      <c r="H46" s="2270"/>
      <c r="I46" s="2270"/>
      <c r="J46" s="2270"/>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2059</v>
      </c>
      <c r="B47" s="128">
        <v>0</v>
      </c>
      <c r="C47" s="1760" t="s">
        <v>2060</v>
      </c>
      <c r="D47" s="2271"/>
      <c r="E47" s="2270"/>
      <c r="F47" s="2270"/>
      <c r="G47" s="2270"/>
      <c r="H47" s="2270"/>
      <c r="I47" s="2270"/>
      <c r="J47" s="2270"/>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2061</v>
      </c>
      <c r="B48" s="129">
        <v>0.03</v>
      </c>
      <c r="C48" s="1767" t="s">
        <v>2062</v>
      </c>
      <c r="D48" s="2271"/>
      <c r="E48" s="2270"/>
      <c r="F48" s="2270"/>
      <c r="G48" s="2270"/>
      <c r="H48" s="2270"/>
      <c r="I48" s="2270"/>
      <c r="J48" s="2270"/>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2063</v>
      </c>
      <c r="B49" s="125">
        <v>5.0000000000000001E-4</v>
      </c>
      <c r="C49" s="1767" t="s">
        <v>2064</v>
      </c>
      <c r="D49" s="2271"/>
      <c r="E49" s="2270"/>
      <c r="F49" s="2270"/>
      <c r="G49" s="2270"/>
      <c r="H49" s="2270"/>
      <c r="I49" s="2270"/>
      <c r="J49" s="2270"/>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2065</v>
      </c>
      <c r="B50" s="130">
        <v>1.2E-2</v>
      </c>
      <c r="C50" s="1423"/>
      <c r="D50" s="2271"/>
      <c r="E50" s="2270"/>
      <c r="F50" s="2270"/>
      <c r="G50" s="2270"/>
      <c r="H50" s="2270"/>
      <c r="I50" s="2270"/>
      <c r="J50" s="2270"/>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2066</v>
      </c>
      <c r="B51" s="131">
        <v>0.12</v>
      </c>
      <c r="C51" s="1423"/>
      <c r="D51" s="2271"/>
      <c r="E51" s="2270"/>
      <c r="F51" s="2270"/>
      <c r="G51" s="2270"/>
      <c r="H51" s="2270"/>
      <c r="I51" s="2270"/>
      <c r="J51" s="2270"/>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2067</v>
      </c>
      <c r="B52" s="132">
        <f>SUMIF(A54:A63,B53,B54:B63)</f>
        <v>24</v>
      </c>
      <c r="C52" s="1423"/>
      <c r="D52" s="2271"/>
      <c r="E52" s="2270"/>
      <c r="F52" s="2270"/>
      <c r="G52" s="2270"/>
      <c r="H52" s="2270"/>
      <c r="I52" s="2270"/>
      <c r="J52" s="2270"/>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2068</v>
      </c>
      <c r="B53" s="2965" t="s">
        <v>269</v>
      </c>
      <c r="C53" s="1423" t="s">
        <v>2069</v>
      </c>
      <c r="D53" s="2329" t="s">
        <v>2070</v>
      </c>
      <c r="E53" s="2270"/>
      <c r="F53" s="2270"/>
      <c r="G53" s="2270"/>
      <c r="H53" s="2270"/>
      <c r="I53" s="2270"/>
      <c r="J53" s="2270"/>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2071</v>
      </c>
      <c r="B54" s="83">
        <v>30</v>
      </c>
      <c r="C54" s="1423">
        <v>30</v>
      </c>
      <c r="D54" s="2271"/>
      <c r="E54" s="2270"/>
      <c r="F54" s="2270"/>
      <c r="G54" s="2270"/>
      <c r="H54" s="2270"/>
      <c r="I54" s="2270"/>
      <c r="J54" s="2270"/>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2072</v>
      </c>
      <c r="B55" s="83">
        <v>24</v>
      </c>
      <c r="C55" s="1423">
        <v>24</v>
      </c>
      <c r="D55" s="2271"/>
      <c r="E55" s="2270"/>
      <c r="F55" s="2270"/>
      <c r="G55" s="2270"/>
      <c r="H55" s="2270"/>
      <c r="I55" s="2331"/>
      <c r="J55" s="2270"/>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2073</v>
      </c>
      <c r="B56" s="83">
        <v>18</v>
      </c>
      <c r="C56" s="1423">
        <v>18</v>
      </c>
      <c r="D56" s="2271"/>
      <c r="E56" s="2270"/>
      <c r="F56" s="2270"/>
      <c r="G56" s="2270"/>
      <c r="H56" s="2270"/>
      <c r="I56" s="2270"/>
      <c r="J56" s="2270"/>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2074</v>
      </c>
      <c r="B57" s="83">
        <v>12</v>
      </c>
      <c r="C57" s="1423">
        <v>12</v>
      </c>
      <c r="D57" s="2271"/>
      <c r="E57" s="2270"/>
      <c r="F57" s="2270"/>
      <c r="G57" s="2270"/>
      <c r="H57" s="2270"/>
      <c r="I57" s="2270"/>
      <c r="J57" s="2270"/>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2075</v>
      </c>
      <c r="B58" s="83">
        <v>3</v>
      </c>
      <c r="C58" s="1423">
        <v>3</v>
      </c>
      <c r="D58" s="2271"/>
      <c r="E58" s="2270"/>
      <c r="F58" s="2270"/>
      <c r="G58" s="2270"/>
      <c r="H58" s="2270"/>
      <c r="I58" s="2270"/>
      <c r="J58" s="2270"/>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2076</v>
      </c>
      <c r="B59" s="83">
        <v>1.5</v>
      </c>
      <c r="C59" s="1423">
        <v>1.5</v>
      </c>
      <c r="D59" s="2271"/>
      <c r="E59" s="2270"/>
      <c r="F59" s="2270"/>
      <c r="G59" s="2270"/>
      <c r="H59" s="2270"/>
      <c r="I59" s="2270"/>
      <c r="J59" s="2270"/>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2077</v>
      </c>
      <c r="B60" s="83"/>
      <c r="C60" s="2270"/>
      <c r="D60" s="2271"/>
      <c r="E60" s="2270"/>
      <c r="F60" s="2270"/>
      <c r="G60" s="2270"/>
      <c r="H60" s="2270"/>
      <c r="I60" s="2270"/>
      <c r="J60" s="2270"/>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2078</v>
      </c>
      <c r="B61" s="83"/>
      <c r="C61" s="2270"/>
      <c r="D61" s="2271"/>
      <c r="E61" s="2270"/>
      <c r="F61" s="2270"/>
      <c r="G61" s="2270"/>
      <c r="H61" s="2270"/>
      <c r="I61" s="2270"/>
      <c r="J61" s="2270"/>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2079</v>
      </c>
      <c r="B62" s="83"/>
      <c r="C62" s="2270"/>
      <c r="D62" s="2271"/>
      <c r="E62" s="2270"/>
      <c r="F62" s="2270"/>
      <c r="G62" s="2270"/>
      <c r="H62" s="2270"/>
      <c r="I62" s="2270"/>
      <c r="J62" s="2270"/>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2080</v>
      </c>
      <c r="B63" s="133"/>
      <c r="C63" s="2270"/>
      <c r="D63" s="2271"/>
      <c r="E63" s="2270"/>
      <c r="F63" s="2270"/>
      <c r="G63" s="2270"/>
      <c r="H63" s="2270"/>
      <c r="I63" s="2270"/>
      <c r="J63" s="2270"/>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6"/>
      <c r="L64" s="796"/>
    </row>
    <row r="65" spans="1:12" s="960" customFormat="1">
      <c r="A65" s="2333"/>
      <c r="D65" s="2334"/>
      <c r="K65" s="796"/>
      <c r="L65" s="796"/>
    </row>
    <row r="66" spans="1:12" s="960" customFormat="1">
      <c r="A66" s="2333"/>
      <c r="D66" s="2334"/>
      <c r="K66" s="796"/>
      <c r="L66" s="796"/>
    </row>
    <row r="67" spans="1:12" s="960" customFormat="1">
      <c r="A67" s="2333"/>
      <c r="D67" s="2334"/>
      <c r="K67" s="796"/>
      <c r="L67" s="796"/>
    </row>
    <row r="68" spans="1:12" s="960" customFormat="1">
      <c r="A68" s="2333"/>
      <c r="D68" s="2334"/>
      <c r="K68" s="796"/>
      <c r="L68" s="796"/>
    </row>
    <row r="69" spans="1:12" s="960" customFormat="1">
      <c r="A69" s="2333"/>
      <c r="D69" s="2334"/>
      <c r="K69" s="796"/>
      <c r="L69" s="796"/>
    </row>
    <row r="70" spans="1:12" s="960" customFormat="1">
      <c r="A70" s="2333"/>
      <c r="D70" s="2334"/>
      <c r="K70" s="796"/>
      <c r="L70" s="796"/>
    </row>
    <row r="71" spans="1:12" s="960" customFormat="1">
      <c r="A71" s="2333"/>
      <c r="D71" s="2334"/>
      <c r="K71" s="796"/>
      <c r="L71" s="796"/>
    </row>
    <row r="72" spans="1:12" s="960" customFormat="1">
      <c r="A72" s="2333"/>
      <c r="D72" s="2334"/>
      <c r="K72" s="796"/>
      <c r="L72" s="796"/>
    </row>
    <row r="73" spans="1:12" s="960" customFormat="1">
      <c r="A73" s="2333"/>
      <c r="D73" s="2334"/>
      <c r="K73" s="796"/>
      <c r="L73" s="796"/>
    </row>
    <row r="74" spans="1:12" s="960" customFormat="1">
      <c r="A74" s="2333"/>
      <c r="D74" s="2334"/>
      <c r="K74" s="796"/>
      <c r="L74" s="796"/>
    </row>
    <row r="75" spans="1:12" s="960" customFormat="1">
      <c r="A75" s="2333"/>
      <c r="D75" s="2334"/>
      <c r="K75" s="796"/>
      <c r="L75" s="796"/>
    </row>
    <row r="76" spans="1:12" s="960" customFormat="1">
      <c r="A76" s="2333"/>
      <c r="D76" s="2334"/>
      <c r="K76" s="796"/>
      <c r="L76" s="796"/>
    </row>
    <row r="77" spans="1:12" s="960" customFormat="1">
      <c r="A77" s="2333"/>
      <c r="D77" s="2334"/>
      <c r="K77" s="796"/>
      <c r="L77" s="796"/>
    </row>
    <row r="78" spans="1:12" s="960" customFormat="1">
      <c r="A78" s="2333"/>
      <c r="D78" s="2334"/>
      <c r="K78" s="796"/>
      <c r="L78" s="796"/>
    </row>
    <row r="79" spans="1:12" s="960" customFormat="1">
      <c r="A79" s="2333"/>
      <c r="D79" s="2334"/>
      <c r="K79" s="796"/>
      <c r="L79" s="796"/>
    </row>
    <row r="80" spans="1:12" s="960" customFormat="1">
      <c r="A80" s="2333"/>
      <c r="D80" s="2334"/>
      <c r="K80" s="796"/>
      <c r="L80" s="796"/>
    </row>
    <row r="81" spans="1:12" s="960" customFormat="1">
      <c r="A81" s="2333"/>
      <c r="D81" s="2334"/>
      <c r="K81" s="796"/>
      <c r="L81" s="796"/>
    </row>
    <row r="82" spans="1:12" s="960" customFormat="1">
      <c r="A82" s="2333"/>
      <c r="D82" s="2334"/>
      <c r="K82" s="796"/>
      <c r="L82" s="796"/>
    </row>
    <row r="83" spans="1:12" s="960" customFormat="1">
      <c r="A83" s="2333"/>
      <c r="D83" s="2334"/>
      <c r="K83" s="796"/>
      <c r="L83" s="796"/>
    </row>
    <row r="84" spans="1:12" s="960" customFormat="1">
      <c r="A84" s="2333"/>
      <c r="D84" s="2334"/>
      <c r="K84" s="796"/>
      <c r="L84" s="796"/>
    </row>
    <row r="85" spans="1:12" s="960" customFormat="1">
      <c r="A85" s="2333"/>
      <c r="D85" s="2334"/>
      <c r="K85" s="796"/>
      <c r="L85" s="796"/>
    </row>
    <row r="86" spans="1:12" s="960" customFormat="1">
      <c r="A86" s="2333"/>
      <c r="D86" s="2334"/>
      <c r="K86" s="796"/>
      <c r="L86" s="796"/>
    </row>
    <row r="87" spans="1:12" s="960" customFormat="1">
      <c r="A87" s="2333"/>
      <c r="D87" s="2334"/>
      <c r="K87" s="796"/>
      <c r="L87" s="796"/>
    </row>
    <row r="88" spans="1:12" s="960" customFormat="1">
      <c r="A88" s="2333"/>
      <c r="D88" s="2334"/>
      <c r="K88" s="796"/>
      <c r="L88" s="796"/>
    </row>
    <row r="89" spans="1:12" s="960" customFormat="1">
      <c r="A89" s="2333"/>
      <c r="D89" s="2334"/>
      <c r="K89" s="796"/>
      <c r="L89" s="796"/>
    </row>
    <row r="90" spans="1:12" s="960" customFormat="1">
      <c r="A90" s="2333"/>
      <c r="D90" s="2334"/>
      <c r="K90" s="796"/>
      <c r="L90" s="796"/>
    </row>
    <row r="91" spans="1:12" s="960" customFormat="1">
      <c r="A91" s="2333"/>
      <c r="D91" s="2334"/>
      <c r="K91" s="796"/>
      <c r="L91" s="796"/>
    </row>
    <row r="92" spans="1:12" s="960" customFormat="1">
      <c r="A92" s="2333"/>
      <c r="D92" s="2334"/>
      <c r="K92" s="796"/>
      <c r="L92" s="796"/>
    </row>
    <row r="93" spans="1:12" s="960" customFormat="1">
      <c r="A93" s="2333"/>
      <c r="D93" s="2334"/>
      <c r="K93" s="796"/>
      <c r="L93" s="796"/>
    </row>
    <row r="94" spans="1:12" s="960" customFormat="1">
      <c r="A94" s="2333"/>
      <c r="D94" s="2334"/>
      <c r="K94" s="796"/>
      <c r="L94" s="796"/>
    </row>
    <row r="95" spans="1:12" s="960" customFormat="1">
      <c r="A95" s="2333"/>
      <c r="D95" s="2334"/>
      <c r="K95" s="796"/>
      <c r="L95" s="796"/>
    </row>
    <row r="96" spans="1:12" s="960" customFormat="1">
      <c r="A96" s="2333"/>
      <c r="D96" s="2334"/>
      <c r="K96" s="796"/>
      <c r="L96" s="796"/>
    </row>
    <row r="97" spans="1:12" s="960" customFormat="1">
      <c r="A97" s="2333"/>
      <c r="D97" s="2334"/>
      <c r="K97" s="796"/>
      <c r="L97" s="796"/>
    </row>
    <row r="98" spans="1:12" s="960" customFormat="1">
      <c r="A98" s="2333"/>
      <c r="D98" s="2334"/>
      <c r="K98" s="796"/>
      <c r="L98" s="796"/>
    </row>
    <row r="99" spans="1:12" s="960" customFormat="1">
      <c r="A99" s="2333"/>
      <c r="D99" s="2334"/>
      <c r="K99" s="796"/>
      <c r="L99" s="796"/>
    </row>
    <row r="100" spans="1:12" s="960" customFormat="1">
      <c r="A100" s="2333"/>
      <c r="D100" s="2334"/>
      <c r="K100" s="796"/>
      <c r="L100" s="796"/>
    </row>
    <row r="101" spans="1:12" s="960" customFormat="1">
      <c r="A101" s="2333"/>
      <c r="D101" s="2334"/>
      <c r="K101" s="796"/>
      <c r="L101" s="796"/>
    </row>
    <row r="102" spans="1:12" s="960" customFormat="1">
      <c r="A102" s="2333"/>
      <c r="D102" s="2334"/>
      <c r="K102" s="796"/>
      <c r="L102" s="796"/>
    </row>
    <row r="103" spans="1:12" s="960" customFormat="1">
      <c r="A103" s="2333"/>
      <c r="D103" s="2334"/>
      <c r="K103" s="796"/>
      <c r="L103" s="796"/>
    </row>
    <row r="104" spans="1:12" s="960" customFormat="1">
      <c r="A104" s="2333"/>
      <c r="D104" s="2334"/>
      <c r="K104" s="796"/>
      <c r="L104" s="796"/>
    </row>
    <row r="105" spans="1:12" s="960" customFormat="1">
      <c r="A105" s="2333"/>
      <c r="D105" s="2334"/>
      <c r="K105" s="796"/>
      <c r="L105" s="796"/>
    </row>
    <row r="106" spans="1:12" s="960" customFormat="1">
      <c r="A106" s="2333"/>
      <c r="D106" s="2334"/>
      <c r="K106" s="796"/>
      <c r="L106" s="796"/>
    </row>
    <row r="107" spans="1:12" s="960" customFormat="1">
      <c r="A107" s="2333"/>
      <c r="D107" s="2334"/>
      <c r="K107" s="796"/>
      <c r="L107" s="796"/>
    </row>
    <row r="108" spans="1:12" s="960" customFormat="1">
      <c r="A108" s="2333"/>
      <c r="D108" s="2334"/>
      <c r="K108" s="796"/>
      <c r="L108" s="796"/>
    </row>
    <row r="109" spans="1:12" s="960" customFormat="1">
      <c r="A109" s="2333"/>
      <c r="D109" s="2334"/>
      <c r="K109" s="796"/>
      <c r="L109" s="796"/>
    </row>
    <row r="110" spans="1:12" s="960" customFormat="1">
      <c r="A110" s="2333"/>
      <c r="D110" s="2334"/>
      <c r="K110" s="796"/>
      <c r="L110" s="796"/>
    </row>
    <row r="111" spans="1:12" s="960" customFormat="1">
      <c r="A111" s="2333"/>
      <c r="D111" s="2334"/>
      <c r="K111" s="796"/>
      <c r="L111" s="796"/>
    </row>
    <row r="112" spans="1:12" s="960" customFormat="1">
      <c r="A112" s="2333"/>
      <c r="D112" s="2334"/>
      <c r="K112" s="796"/>
      <c r="L112" s="796"/>
    </row>
    <row r="113" spans="1:12" s="960" customFormat="1">
      <c r="A113" s="2333"/>
      <c r="D113" s="2334"/>
      <c r="K113" s="796"/>
      <c r="L113" s="796"/>
    </row>
    <row r="114" spans="1:12" s="960" customFormat="1">
      <c r="A114" s="2333"/>
      <c r="D114" s="2334"/>
      <c r="K114" s="796"/>
      <c r="L114" s="796"/>
    </row>
    <row r="115" spans="1:12" s="960" customFormat="1">
      <c r="A115" s="2333"/>
      <c r="D115" s="2334"/>
      <c r="K115" s="796"/>
      <c r="L115" s="796"/>
    </row>
    <row r="116" spans="1:12" s="960" customFormat="1">
      <c r="A116" s="2333"/>
      <c r="D116" s="2334"/>
      <c r="K116" s="796"/>
      <c r="L116" s="796"/>
    </row>
    <row r="117" spans="1:12" s="960" customFormat="1">
      <c r="A117" s="2333"/>
      <c r="D117" s="2334"/>
      <c r="K117" s="796"/>
      <c r="L117" s="796"/>
    </row>
    <row r="118" spans="1:12" s="960" customFormat="1">
      <c r="A118" s="2333"/>
      <c r="D118" s="2334"/>
      <c r="K118" s="796"/>
      <c r="L118" s="796"/>
    </row>
    <row r="119" spans="1:12" s="960" customFormat="1">
      <c r="A119" s="2333"/>
      <c r="D119" s="2334"/>
      <c r="K119" s="796"/>
      <c r="L119" s="796"/>
    </row>
    <row r="120" spans="1:12" s="960" customFormat="1">
      <c r="A120" s="2333"/>
      <c r="D120" s="2334"/>
      <c r="K120" s="796"/>
      <c r="L120" s="796"/>
    </row>
    <row r="121" spans="1:12" s="960" customFormat="1">
      <c r="A121" s="2333"/>
      <c r="D121" s="2334"/>
      <c r="K121" s="796"/>
      <c r="L121" s="796"/>
    </row>
    <row r="122" spans="1:12" s="960" customFormat="1">
      <c r="A122" s="2333"/>
      <c r="D122" s="2334"/>
      <c r="K122" s="796"/>
      <c r="L122" s="796"/>
    </row>
    <row r="123" spans="1:12" s="960" customFormat="1">
      <c r="A123" s="2333"/>
      <c r="D123" s="2334"/>
      <c r="K123" s="796"/>
      <c r="L123" s="796"/>
    </row>
    <row r="124" spans="1:12" s="960" customFormat="1">
      <c r="A124" s="2333"/>
      <c r="D124" s="2334"/>
      <c r="K124" s="796"/>
      <c r="L124" s="796"/>
    </row>
    <row r="125" spans="1:12" s="960" customFormat="1">
      <c r="A125" s="2333"/>
      <c r="D125" s="2334"/>
      <c r="K125" s="796"/>
      <c r="L125" s="796"/>
    </row>
    <row r="126" spans="1:12" s="960" customFormat="1">
      <c r="A126" s="2333"/>
      <c r="D126" s="2334"/>
      <c r="K126" s="796"/>
      <c r="L126" s="796"/>
    </row>
    <row r="127" spans="1:12" s="960" customFormat="1">
      <c r="A127" s="2333"/>
      <c r="D127" s="2334"/>
      <c r="K127" s="796"/>
      <c r="L127" s="796"/>
    </row>
    <row r="128" spans="1:12" s="960" customFormat="1">
      <c r="A128" s="2333"/>
      <c r="D128" s="2334"/>
      <c r="K128" s="796"/>
      <c r="L128" s="796"/>
    </row>
    <row r="129" spans="1:12" s="960" customFormat="1">
      <c r="A129" s="2333"/>
      <c r="D129" s="2334"/>
      <c r="K129" s="796"/>
      <c r="L129" s="796"/>
    </row>
    <row r="130" spans="1:12" s="960" customFormat="1">
      <c r="A130" s="2333"/>
      <c r="D130" s="2334"/>
      <c r="K130" s="796"/>
      <c r="L130" s="796"/>
    </row>
    <row r="131" spans="1:12" s="960" customFormat="1">
      <c r="A131" s="2333"/>
      <c r="D131" s="2334"/>
      <c r="K131" s="796"/>
      <c r="L131" s="796"/>
    </row>
    <row r="132" spans="1:12" s="960" customFormat="1">
      <c r="A132" s="2333"/>
      <c r="D132" s="2334"/>
      <c r="K132" s="796"/>
      <c r="L132" s="796"/>
    </row>
    <row r="133" spans="1:12" s="960" customFormat="1">
      <c r="A133" s="2333"/>
      <c r="D133" s="2334"/>
      <c r="K133" s="796"/>
      <c r="L133" s="796"/>
    </row>
    <row r="134" spans="1:12" s="2267" customFormat="1">
      <c r="A134" s="2335"/>
      <c r="D134" s="2336"/>
      <c r="K134" s="27"/>
      <c r="L134" s="27"/>
    </row>
    <row r="135" spans="1:12" s="2267" customFormat="1">
      <c r="A135" s="2335"/>
      <c r="D135" s="2336"/>
      <c r="K135" s="27"/>
      <c r="L135" s="27"/>
    </row>
    <row r="136" spans="1:12" s="2267" customFormat="1">
      <c r="A136" s="2335"/>
      <c r="D136" s="2336"/>
      <c r="K136" s="27"/>
      <c r="L136" s="27"/>
    </row>
    <row r="137" spans="1:12" s="2267" customFormat="1">
      <c r="A137" s="2335"/>
      <c r="D137" s="2336"/>
      <c r="K137" s="27"/>
      <c r="L137" s="27"/>
    </row>
    <row r="138" spans="1:12" s="2267" customFormat="1">
      <c r="A138" s="2335"/>
      <c r="D138" s="2336"/>
      <c r="K138" s="27"/>
      <c r="L138" s="27"/>
    </row>
    <row r="139" spans="1:12" s="2267" customFormat="1">
      <c r="A139" s="2335"/>
      <c r="D139" s="2336"/>
      <c r="K139" s="27"/>
      <c r="L139" s="27"/>
    </row>
    <row r="140" spans="1:12" s="2267" customFormat="1">
      <c r="A140" s="2335"/>
      <c r="D140" s="2336"/>
      <c r="K140" s="27"/>
      <c r="L140" s="27"/>
    </row>
    <row r="141" spans="1:12" s="2267" customFormat="1">
      <c r="A141" s="2335"/>
      <c r="D141" s="2336"/>
      <c r="K141" s="27"/>
      <c r="L141" s="27"/>
    </row>
    <row r="142" spans="1:12" s="2267" customFormat="1">
      <c r="A142" s="2335"/>
      <c r="D142" s="2336"/>
      <c r="K142" s="27"/>
      <c r="L142" s="27"/>
    </row>
    <row r="143" spans="1:12" s="2267" customFormat="1">
      <c r="A143" s="2335"/>
      <c r="D143" s="2336"/>
      <c r="K143" s="27"/>
      <c r="L143" s="27"/>
    </row>
    <row r="144" spans="1:12" s="2267" customFormat="1">
      <c r="A144" s="2335"/>
      <c r="D144" s="2336"/>
      <c r="K144" s="27"/>
      <c r="L144" s="27"/>
    </row>
    <row r="145" spans="1:12" s="2267" customFormat="1">
      <c r="A145" s="2335"/>
      <c r="D145" s="2336"/>
      <c r="K145" s="27"/>
      <c r="L145" s="27"/>
    </row>
    <row r="146" spans="1:12" s="2267" customFormat="1">
      <c r="A146" s="2335"/>
      <c r="D146" s="2336"/>
      <c r="K146" s="27"/>
      <c r="L146" s="27"/>
    </row>
    <row r="147" spans="1:12" s="2267" customFormat="1">
      <c r="A147" s="2335"/>
      <c r="D147" s="2336"/>
      <c r="K147" s="27"/>
      <c r="L147" s="27"/>
    </row>
    <row r="148" spans="1:12" s="2267" customFormat="1">
      <c r="A148" s="2335"/>
      <c r="D148" s="2336"/>
      <c r="K148" s="27"/>
      <c r="L148" s="27"/>
    </row>
    <row r="149" spans="1:12" s="2267" customFormat="1">
      <c r="A149" s="2335"/>
      <c r="D149" s="2336"/>
      <c r="K149" s="27"/>
      <c r="L149" s="27"/>
    </row>
    <row r="150" spans="1:12" s="2267" customFormat="1">
      <c r="A150" s="2335"/>
      <c r="D150" s="2336"/>
      <c r="K150" s="27"/>
      <c r="L150" s="27"/>
    </row>
    <row r="151" spans="1:12" s="2267" customFormat="1">
      <c r="A151" s="2335"/>
      <c r="D151" s="2336"/>
      <c r="K151" s="27"/>
      <c r="L151" s="27"/>
    </row>
    <row r="152" spans="1:12" s="2267" customFormat="1">
      <c r="A152" s="2335"/>
      <c r="D152" s="2336"/>
      <c r="K152" s="27"/>
      <c r="L152" s="27"/>
    </row>
    <row r="153" spans="1:12" s="2267" customFormat="1">
      <c r="A153" s="2335"/>
      <c r="D153" s="2336"/>
      <c r="K153" s="27"/>
      <c r="L153" s="27"/>
    </row>
    <row r="154" spans="1:12" s="2267" customFormat="1">
      <c r="A154" s="2335"/>
      <c r="D154" s="2336"/>
      <c r="K154" s="27"/>
      <c r="L154" s="27"/>
    </row>
    <row r="155" spans="1:12" s="2267" customFormat="1">
      <c r="A155" s="2335"/>
      <c r="D155" s="2336"/>
      <c r="K155" s="27"/>
      <c r="L155" s="27"/>
    </row>
    <row r="156" spans="1:12" s="2267" customFormat="1">
      <c r="A156" s="2335"/>
      <c r="D156" s="2336"/>
      <c r="K156" s="27"/>
      <c r="L156" s="27"/>
    </row>
    <row r="157" spans="1:12" s="2267" customFormat="1">
      <c r="A157" s="2335"/>
      <c r="D157" s="2336"/>
      <c r="K157" s="27"/>
      <c r="L157" s="27"/>
    </row>
    <row r="158" spans="1:12" s="2267" customFormat="1">
      <c r="A158" s="2335"/>
      <c r="D158" s="2336"/>
      <c r="K158" s="27"/>
      <c r="L158" s="27"/>
    </row>
    <row r="159" spans="1:12" s="2267" customFormat="1">
      <c r="A159" s="2335"/>
      <c r="D159" s="2336"/>
      <c r="K159" s="27"/>
      <c r="L159" s="27"/>
    </row>
    <row r="160" spans="1:12" s="2267" customFormat="1">
      <c r="A160" s="2335"/>
      <c r="D160" s="2336"/>
      <c r="K160" s="27"/>
      <c r="L160" s="27"/>
    </row>
    <row r="161" spans="1:12" s="2267" customFormat="1">
      <c r="A161" s="2335"/>
      <c r="D161" s="2336"/>
      <c r="K161" s="27"/>
      <c r="L161" s="27"/>
    </row>
    <row r="162" spans="1:12" s="2267" customFormat="1">
      <c r="A162" s="2335"/>
      <c r="D162" s="2336"/>
      <c r="K162" s="27"/>
      <c r="L162" s="27"/>
    </row>
    <row r="163" spans="1:12" s="2267" customFormat="1">
      <c r="A163" s="2335"/>
      <c r="D163" s="2336"/>
      <c r="K163" s="27"/>
      <c r="L163" s="27"/>
    </row>
    <row r="164" spans="1:12" s="2267" customFormat="1">
      <c r="A164" s="2335"/>
      <c r="D164" s="2336"/>
      <c r="K164" s="27"/>
      <c r="L164" s="27"/>
    </row>
    <row r="165" spans="1:12" s="2267" customFormat="1">
      <c r="A165" s="2335"/>
      <c r="D165" s="2336"/>
      <c r="K165" s="27"/>
      <c r="L165" s="27"/>
    </row>
    <row r="166" spans="1:12" s="2267" customFormat="1">
      <c r="A166" s="2335"/>
      <c r="D166" s="2336"/>
      <c r="K166" s="27"/>
      <c r="L166" s="27"/>
    </row>
    <row r="167" spans="1:12" s="2267" customFormat="1">
      <c r="A167" s="2335"/>
      <c r="D167" s="2336"/>
      <c r="K167" s="27"/>
      <c r="L167" s="27"/>
    </row>
    <row r="168" spans="1:12" s="2267" customFormat="1">
      <c r="A168" s="2335"/>
      <c r="D168" s="2336"/>
      <c r="K168" s="27"/>
      <c r="L168" s="27"/>
    </row>
    <row r="169" spans="1:12" s="2267" customFormat="1">
      <c r="A169" s="2335"/>
      <c r="D169" s="2336"/>
      <c r="K169" s="27"/>
      <c r="L169" s="27"/>
    </row>
    <row r="170" spans="1:12" s="2267" customFormat="1">
      <c r="A170" s="2335"/>
      <c r="D170" s="2336"/>
      <c r="K170" s="27"/>
      <c r="L170" s="27"/>
    </row>
    <row r="171" spans="1:12" s="2267" customFormat="1">
      <c r="A171" s="2335"/>
      <c r="D171" s="2336"/>
      <c r="K171" s="27"/>
      <c r="L171" s="27"/>
    </row>
    <row r="172" spans="1:12" s="2267" customFormat="1">
      <c r="A172" s="2335"/>
      <c r="D172" s="2336"/>
      <c r="K172" s="27"/>
      <c r="L172" s="27"/>
    </row>
    <row r="173" spans="1:12" s="2267" customFormat="1">
      <c r="A173" s="2335"/>
      <c r="D173" s="2336"/>
      <c r="K173" s="27"/>
      <c r="L173" s="27"/>
    </row>
    <row r="174" spans="1:12" s="2267"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6" sqref="F16"/>
    </sheetView>
  </sheetViews>
  <sheetFormatPr defaultRowHeight="14.25"/>
  <cols>
    <col min="1" max="1" width="9.5" style="2361"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60"/>
    <col min="30" max="16384" width="9" style="2361"/>
  </cols>
  <sheetData>
    <row r="1" spans="1:29" s="2354" customFormat="1" ht="19.5" thickBot="1">
      <c r="A1" s="3126" t="s">
        <v>2081</v>
      </c>
      <c r="B1" s="3127"/>
      <c r="C1" s="3127"/>
      <c r="D1" s="3127"/>
      <c r="E1" s="3127"/>
      <c r="F1" s="3127"/>
      <c r="G1" s="3127"/>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2082</v>
      </c>
      <c r="D2" s="2358"/>
      <c r="E2" s="2359"/>
      <c r="F2" s="2279"/>
      <c r="G2" s="2357" t="s">
        <v>2083</v>
      </c>
      <c r="H2" s="2360"/>
      <c r="I2" s="2360"/>
      <c r="J2" s="2360"/>
      <c r="K2" s="2360"/>
      <c r="L2" s="2360"/>
      <c r="M2" s="2360"/>
      <c r="N2" s="2360"/>
      <c r="O2" s="2360"/>
      <c r="P2" s="2360"/>
      <c r="Q2" s="2360"/>
      <c r="R2" s="2360"/>
    </row>
    <row r="3" spans="1:29" ht="27">
      <c r="A3" s="414" t="s">
        <v>2084</v>
      </c>
      <c r="B3" s="1264" t="s">
        <v>2085</v>
      </c>
      <c r="C3" s="2966"/>
      <c r="D3" s="2362"/>
      <c r="E3" s="430" t="s">
        <v>2084</v>
      </c>
      <c r="F3" s="2363" t="s">
        <v>2086</v>
      </c>
      <c r="G3" s="2364"/>
      <c r="H3" s="2360"/>
      <c r="I3" s="2360"/>
      <c r="J3" s="2360"/>
      <c r="K3" s="2360"/>
      <c r="L3" s="2360"/>
      <c r="M3" s="2360"/>
      <c r="N3" s="2360"/>
      <c r="O3" s="2360"/>
      <c r="P3" s="2360"/>
      <c r="Q3" s="2360"/>
      <c r="R3" s="2360"/>
    </row>
    <row r="4" spans="1:29" ht="15">
      <c r="A4" s="430"/>
      <c r="B4" s="1791" t="s">
        <v>2087</v>
      </c>
      <c r="C4" s="2967"/>
      <c r="D4" s="2362"/>
      <c r="E4" s="2365"/>
      <c r="F4" s="42" t="s">
        <v>2088</v>
      </c>
      <c r="G4" s="2366"/>
      <c r="H4" s="2360"/>
      <c r="I4" s="2360"/>
      <c r="J4" s="2360"/>
      <c r="K4" s="2360"/>
      <c r="L4" s="2360"/>
      <c r="M4" s="2360"/>
      <c r="N4" s="2360"/>
      <c r="O4" s="2360"/>
      <c r="P4" s="2360"/>
      <c r="Q4" s="2360"/>
      <c r="R4" s="2360"/>
    </row>
    <row r="5" spans="1:29" ht="42.75">
      <c r="A5" s="430"/>
      <c r="B5" s="1791" t="s">
        <v>2089</v>
      </c>
      <c r="C5" s="2967" t="s">
        <v>3072</v>
      </c>
      <c r="D5" s="2362"/>
      <c r="E5" s="2365"/>
      <c r="F5" s="1791" t="s">
        <v>2090</v>
      </c>
      <c r="G5" s="2366"/>
      <c r="H5" s="2360"/>
      <c r="I5" s="2360"/>
      <c r="J5" s="2360"/>
      <c r="K5" s="2360"/>
      <c r="L5" s="2360"/>
      <c r="M5" s="2360"/>
      <c r="N5" s="2360"/>
      <c r="O5" s="2360"/>
      <c r="P5" s="2360"/>
      <c r="Q5" s="2360"/>
      <c r="R5" s="2360"/>
    </row>
    <row r="6" spans="1:29" ht="57">
      <c r="A6" s="430"/>
      <c r="B6" s="1791" t="s">
        <v>2091</v>
      </c>
      <c r="C6" s="2968" t="s">
        <v>3073</v>
      </c>
      <c r="D6" s="2362"/>
      <c r="E6" s="2365"/>
      <c r="F6" s="1791" t="s">
        <v>2092</v>
      </c>
      <c r="G6" s="2366"/>
      <c r="H6" s="2360"/>
      <c r="I6" s="2360"/>
      <c r="J6" s="2360"/>
      <c r="K6" s="2360"/>
      <c r="L6" s="2360"/>
      <c r="M6" s="2360"/>
      <c r="N6" s="2360"/>
      <c r="O6" s="2360"/>
      <c r="P6" s="2360"/>
      <c r="Q6" s="2360"/>
      <c r="R6" s="2360"/>
    </row>
    <row r="7" spans="1:29" ht="43.5" thickBot="1">
      <c r="A7" s="430"/>
      <c r="B7" s="1791" t="s">
        <v>2090</v>
      </c>
      <c r="C7" s="2968" t="s">
        <v>3074</v>
      </c>
      <c r="D7" s="2367"/>
      <c r="E7" s="2368"/>
      <c r="F7" s="2369" t="s">
        <v>2093</v>
      </c>
      <c r="G7" s="2370"/>
      <c r="H7" s="2360"/>
      <c r="I7" s="2360"/>
      <c r="J7" s="2360"/>
      <c r="K7" s="2360"/>
      <c r="L7" s="2360"/>
      <c r="M7" s="2360"/>
      <c r="N7" s="2360"/>
      <c r="O7" s="2360"/>
      <c r="P7" s="2360"/>
      <c r="Q7" s="2360"/>
      <c r="R7" s="2360"/>
    </row>
    <row r="8" spans="1:29" ht="15">
      <c r="A8" s="430"/>
      <c r="B8" s="1791" t="s">
        <v>2092</v>
      </c>
      <c r="C8" s="2968" t="s">
        <v>3075</v>
      </c>
      <c r="D8" s="2367"/>
      <c r="E8" s="2367"/>
      <c r="F8" s="1129"/>
      <c r="G8" s="1129"/>
      <c r="H8" s="2360"/>
      <c r="I8" s="2360"/>
      <c r="J8" s="2360"/>
      <c r="K8" s="2360"/>
      <c r="L8" s="2360"/>
      <c r="M8" s="2360"/>
      <c r="N8" s="2360"/>
      <c r="O8" s="2360"/>
      <c r="P8" s="2360"/>
      <c r="Q8" s="2360"/>
      <c r="R8" s="2360"/>
    </row>
    <row r="9" spans="1:29" ht="57">
      <c r="A9" s="430"/>
      <c r="B9" s="1791" t="s">
        <v>2094</v>
      </c>
      <c r="C9" s="2967" t="s">
        <v>3076</v>
      </c>
      <c r="D9" s="2362"/>
      <c r="E9" s="2367"/>
      <c r="F9" s="1129"/>
      <c r="G9" s="1129"/>
      <c r="H9" s="2360"/>
      <c r="I9" s="2360"/>
      <c r="J9" s="2360"/>
      <c r="K9" s="2360"/>
      <c r="L9" s="2360"/>
      <c r="M9" s="2360"/>
      <c r="N9" s="2360"/>
      <c r="O9" s="2360"/>
      <c r="P9" s="2360"/>
      <c r="Q9" s="2360"/>
      <c r="R9" s="2360"/>
    </row>
    <row r="10" spans="1:29" s="116" customFormat="1" ht="15.75" thickBot="1">
      <c r="A10" s="2371"/>
      <c r="B10" s="2372" t="s">
        <v>2095</v>
      </c>
      <c r="C10" s="2969" t="s">
        <v>3077</v>
      </c>
      <c r="D10" s="2362"/>
      <c r="E10" s="2362"/>
      <c r="F10" s="1129"/>
      <c r="G10" s="1129"/>
      <c r="H10" s="2373"/>
      <c r="I10" s="2374"/>
      <c r="J10" s="2375"/>
      <c r="K10" s="2373"/>
      <c r="L10" s="2374"/>
      <c r="M10" s="2375"/>
      <c r="N10" s="2373"/>
      <c r="O10" s="2374"/>
      <c r="P10" s="2375"/>
      <c r="Q10" s="2373"/>
      <c r="R10" s="2374"/>
      <c r="S10" s="2360"/>
      <c r="T10" s="2360"/>
      <c r="U10" s="2360"/>
      <c r="V10" s="2360"/>
      <c r="W10" s="2360"/>
      <c r="X10" s="2360"/>
      <c r="Y10" s="2360"/>
      <c r="Z10" s="2360"/>
      <c r="AA10" s="2360"/>
      <c r="AB10" s="2360"/>
      <c r="AC10" s="2360"/>
    </row>
    <row r="11" spans="1:29" s="116" customFormat="1" ht="15">
      <c r="A11" s="2376"/>
      <c r="B11" s="2367"/>
      <c r="C11" s="2362"/>
      <c r="D11" s="2362"/>
      <c r="E11" s="2362"/>
      <c r="F11" s="2367"/>
      <c r="G11" s="1147"/>
      <c r="H11" s="2373"/>
      <c r="I11" s="2374"/>
      <c r="J11" s="2375"/>
      <c r="K11" s="2373"/>
      <c r="L11" s="2374"/>
      <c r="M11" s="2375"/>
      <c r="N11" s="2373"/>
      <c r="O11" s="2374"/>
      <c r="P11" s="2375"/>
      <c r="Q11" s="2373"/>
      <c r="R11" s="2374"/>
      <c r="S11" s="2360"/>
      <c r="T11" s="2360"/>
      <c r="U11" s="2360"/>
      <c r="V11" s="2360"/>
      <c r="W11" s="2360"/>
      <c r="X11" s="2360"/>
      <c r="Y11" s="2360"/>
      <c r="Z11" s="2360"/>
      <c r="AA11" s="2360"/>
      <c r="AB11" s="2360"/>
      <c r="AC11" s="2360"/>
    </row>
    <row r="12" spans="1:29" s="2354" customFormat="1" ht="18">
      <c r="A12" s="2376"/>
      <c r="B12" s="2367"/>
      <c r="C12" s="2362"/>
      <c r="D12" s="2377"/>
      <c r="E12" s="2362"/>
      <c r="F12" s="2367"/>
      <c r="G12" s="1147"/>
      <c r="H12" s="2378"/>
      <c r="I12" s="2379"/>
      <c r="J12" s="2378"/>
      <c r="K12" s="2378"/>
      <c r="L12" s="2380"/>
      <c r="M12" s="2378"/>
      <c r="N12" s="2381"/>
      <c r="O12" s="2382"/>
      <c r="P12" s="2381"/>
      <c r="Q12" s="2381"/>
      <c r="R12" s="2352"/>
      <c r="S12" s="2353"/>
      <c r="T12" s="2353"/>
      <c r="U12" s="2353"/>
      <c r="V12" s="2353"/>
      <c r="W12" s="2353"/>
      <c r="X12" s="2353"/>
      <c r="Y12" s="2353"/>
      <c r="Z12" s="2353"/>
      <c r="AA12" s="2353"/>
      <c r="AB12" s="2353"/>
      <c r="AC12" s="2353"/>
    </row>
    <row r="13" spans="1:29" ht="19.5" thickBot="1">
      <c r="A13" s="2383" t="s">
        <v>2096</v>
      </c>
      <c r="B13" s="2377"/>
      <c r="C13" s="2377"/>
      <c r="D13" s="2384"/>
      <c r="E13" s="2377"/>
      <c r="F13" s="2377"/>
      <c r="G13" s="2377"/>
    </row>
    <row r="14" spans="1:29" ht="15.75" thickBot="1">
      <c r="A14" s="2388"/>
      <c r="B14" s="2389"/>
      <c r="C14" s="2390" t="s">
        <v>2097</v>
      </c>
      <c r="D14" s="2362"/>
      <c r="E14" s="2391"/>
      <c r="F14" s="2391"/>
      <c r="G14" s="2357" t="s">
        <v>2098</v>
      </c>
    </row>
    <row r="15" spans="1:29" ht="27">
      <c r="A15" s="67" t="s">
        <v>2099</v>
      </c>
      <c r="B15" s="1263" t="s">
        <v>2085</v>
      </c>
      <c r="C15" s="2392">
        <f>C3</f>
        <v>0</v>
      </c>
      <c r="D15" s="2362"/>
      <c r="E15" s="2393" t="s">
        <v>2100</v>
      </c>
      <c r="F15" s="1263" t="s">
        <v>2101</v>
      </c>
      <c r="G15" s="134">
        <f>G3</f>
        <v>0</v>
      </c>
    </row>
    <row r="16" spans="1:29" ht="15">
      <c r="A16" s="644"/>
      <c r="B16" s="2394" t="s">
        <v>2087</v>
      </c>
      <c r="C16" s="2395">
        <f>C4</f>
        <v>0</v>
      </c>
      <c r="D16" s="2362"/>
      <c r="E16" s="2396"/>
      <c r="F16" s="2397" t="s">
        <v>2088</v>
      </c>
      <c r="G16" s="135">
        <f>G4</f>
        <v>0</v>
      </c>
    </row>
    <row r="17" spans="1:18" ht="42.75">
      <c r="A17" s="644"/>
      <c r="B17" s="2394" t="s">
        <v>2089</v>
      </c>
      <c r="C17" s="2395" t="str">
        <f>C5</f>
        <v>周边有东环广场、东方银座等写字楼，办公聚集度较好。</v>
      </c>
      <c r="D17" s="2367"/>
      <c r="E17" s="2396"/>
      <c r="F17" s="2397" t="s">
        <v>2102</v>
      </c>
      <c r="G17" s="1565"/>
    </row>
    <row r="18" spans="1:18" ht="57">
      <c r="A18" s="644"/>
      <c r="B18" s="2397" t="s">
        <v>2091</v>
      </c>
      <c r="C18" s="135" t="str">
        <f>C6</f>
        <v>估价对象周边道路状况、周边有24、106、117路及地铁2号、13号、机场线，综合评价交通便捷度好</v>
      </c>
      <c r="D18" s="2367"/>
      <c r="E18" s="2396"/>
      <c r="F18" s="2397" t="s">
        <v>2093</v>
      </c>
      <c r="G18" s="135">
        <f>G7</f>
        <v>0</v>
      </c>
    </row>
    <row r="19" spans="1:18" ht="15">
      <c r="A19" s="644"/>
      <c r="B19" s="2397" t="s">
        <v>2103</v>
      </c>
      <c r="C19" s="1565"/>
      <c r="D19" s="2362"/>
      <c r="E19" s="2396"/>
      <c r="F19" s="1791" t="s">
        <v>2090</v>
      </c>
      <c r="G19" s="135">
        <f>G5</f>
        <v>0</v>
      </c>
    </row>
    <row r="20" spans="1:18" ht="57">
      <c r="A20" s="644"/>
      <c r="B20" s="2397" t="s">
        <v>2104</v>
      </c>
      <c r="C20" s="2395" t="str">
        <f>C9</f>
        <v>区域自然环境：南馆公园、工人体育馆；人文环境：保利艺术博物馆、自来水博物馆；综合评价环境状况较好</v>
      </c>
      <c r="D20" s="2367"/>
      <c r="E20" s="2396"/>
      <c r="F20" s="1791" t="s">
        <v>2105</v>
      </c>
      <c r="G20" s="135">
        <f>G6</f>
        <v>0</v>
      </c>
    </row>
    <row r="21" spans="1:18" ht="42.75">
      <c r="A21" s="644"/>
      <c r="B21" s="1791" t="s">
        <v>2090</v>
      </c>
      <c r="C21" s="135" t="str">
        <f>C7</f>
        <v>周边有银行、购物场所、餐饮等配套设施，公共服务设施状况较好。</v>
      </c>
      <c r="D21" s="2362"/>
      <c r="E21" s="2396"/>
      <c r="F21" s="2397" t="s">
        <v>2106</v>
      </c>
      <c r="G21" s="2398"/>
    </row>
    <row r="22" spans="1:18" ht="13.5" customHeight="1">
      <c r="A22" s="644"/>
      <c r="B22" s="1791" t="s">
        <v>2092</v>
      </c>
      <c r="C22" s="135" t="str">
        <f>C8</f>
        <v>七通</v>
      </c>
      <c r="D22" s="2362"/>
      <c r="E22" s="2396"/>
      <c r="F22" s="2397" t="s">
        <v>2095</v>
      </c>
      <c r="G22" s="1565"/>
    </row>
    <row r="23" spans="1:18" s="2360" customFormat="1" ht="15.75" thickBot="1">
      <c r="A23" s="644"/>
      <c r="B23" s="2397" t="s">
        <v>2106</v>
      </c>
      <c r="C23" s="2398"/>
      <c r="D23" s="2385"/>
      <c r="E23" s="2399"/>
      <c r="F23" s="2400" t="s">
        <v>2107</v>
      </c>
      <c r="G23" s="2401"/>
      <c r="H23" s="2385"/>
      <c r="I23" s="2386"/>
      <c r="J23" s="2385"/>
      <c r="K23" s="2385"/>
      <c r="L23" s="2386"/>
      <c r="M23" s="2385"/>
      <c r="N23" s="2385"/>
      <c r="O23" s="2386"/>
      <c r="P23" s="2385"/>
      <c r="Q23" s="2385"/>
      <c r="R23" s="2387"/>
    </row>
    <row r="24" spans="1:18" s="2360" customFormat="1" ht="15.75" thickBot="1">
      <c r="A24" s="2402"/>
      <c r="B24" s="2400" t="s">
        <v>2108</v>
      </c>
      <c r="C24" s="136" t="str">
        <f>C10</f>
        <v>快速路——东二环</v>
      </c>
      <c r="D24" s="2385"/>
      <c r="E24" s="2403"/>
      <c r="F24" s="2403"/>
      <c r="G24" s="2404"/>
      <c r="H24" s="2385"/>
      <c r="I24" s="2386"/>
      <c r="J24" s="2385"/>
      <c r="K24" s="2385"/>
      <c r="L24" s="2386"/>
      <c r="M24" s="2385"/>
      <c r="N24" s="2385"/>
      <c r="O24" s="2386"/>
      <c r="P24" s="2385"/>
      <c r="Q24" s="2385"/>
      <c r="R24" s="2387"/>
    </row>
    <row r="25" spans="1:18" s="2360" customFormat="1">
      <c r="B25" s="2385"/>
      <c r="C25" s="2385"/>
      <c r="D25" s="2385"/>
      <c r="H25" s="2385"/>
      <c r="I25" s="2386"/>
      <c r="J25" s="2385"/>
      <c r="K25" s="2385"/>
      <c r="L25" s="2386"/>
      <c r="M25" s="2385"/>
      <c r="N25" s="2385"/>
      <c r="O25" s="2386"/>
      <c r="P25" s="2385"/>
      <c r="Q25" s="2385"/>
      <c r="R25" s="2387"/>
    </row>
    <row r="26" spans="1:18" s="2360" customFormat="1">
      <c r="B26" s="2385"/>
      <c r="C26" s="2385"/>
      <c r="D26" s="2385"/>
      <c r="H26" s="2385"/>
      <c r="I26" s="2386"/>
      <c r="J26" s="2385"/>
      <c r="K26" s="2385"/>
      <c r="L26" s="2386"/>
      <c r="M26" s="2385"/>
      <c r="N26" s="2385"/>
      <c r="O26" s="2386"/>
      <c r="P26" s="2385"/>
      <c r="Q26" s="2385"/>
      <c r="R26" s="2387"/>
    </row>
    <row r="27" spans="1:18" s="2360" customFormat="1">
      <c r="B27" s="2385"/>
      <c r="C27" s="2385"/>
      <c r="D27" s="2385"/>
      <c r="H27" s="2385"/>
      <c r="I27" s="2386"/>
      <c r="J27" s="2385"/>
      <c r="K27" s="2385"/>
      <c r="L27" s="2386"/>
      <c r="M27" s="2385"/>
      <c r="N27" s="2385"/>
      <c r="O27" s="2386"/>
      <c r="P27" s="2385"/>
      <c r="Q27" s="2385"/>
      <c r="R27" s="2387"/>
    </row>
    <row r="28" spans="1:18" s="2360" customFormat="1">
      <c r="B28" s="2385"/>
      <c r="C28" s="2385"/>
      <c r="D28" s="2385"/>
      <c r="H28" s="2385"/>
      <c r="I28" s="2386"/>
      <c r="J28" s="2385"/>
      <c r="K28" s="2385"/>
      <c r="L28" s="2386"/>
      <c r="M28" s="2385"/>
      <c r="N28" s="2385"/>
      <c r="O28" s="2386"/>
      <c r="P28" s="2385"/>
      <c r="Q28" s="2385"/>
      <c r="R28" s="2387"/>
    </row>
    <row r="29" spans="1:18" s="2360" customFormat="1">
      <c r="B29" s="2385"/>
      <c r="C29" s="2385"/>
      <c r="D29" s="2385"/>
      <c r="H29" s="2385"/>
      <c r="I29" s="2386"/>
      <c r="J29" s="2385"/>
      <c r="K29" s="2385"/>
      <c r="L29" s="2386"/>
      <c r="M29" s="2385"/>
      <c r="N29" s="2385"/>
      <c r="O29" s="2386"/>
      <c r="P29" s="2385"/>
      <c r="Q29" s="2385"/>
      <c r="R29" s="2387"/>
    </row>
    <row r="30" spans="1:18" s="2360" customFormat="1">
      <c r="B30" s="2385"/>
      <c r="C30" s="2385"/>
      <c r="D30" s="2385"/>
      <c r="H30" s="2385"/>
      <c r="I30" s="2386"/>
      <c r="J30" s="2385"/>
      <c r="K30" s="2385"/>
      <c r="L30" s="2386"/>
      <c r="M30" s="2385"/>
      <c r="N30" s="2385"/>
      <c r="O30" s="2386"/>
      <c r="P30" s="2385"/>
      <c r="Q30" s="2385"/>
      <c r="R30" s="2387"/>
    </row>
    <row r="31" spans="1:18" s="2360" customFormat="1">
      <c r="B31" s="2385"/>
      <c r="C31" s="2385"/>
      <c r="D31" s="2385"/>
      <c r="H31" s="2385"/>
      <c r="I31" s="2386"/>
      <c r="J31" s="2385"/>
      <c r="K31" s="2385"/>
      <c r="L31" s="2386"/>
      <c r="M31" s="2385"/>
      <c r="N31" s="2385"/>
      <c r="O31" s="2386"/>
      <c r="P31" s="2385"/>
      <c r="Q31" s="2385"/>
      <c r="R31" s="2387"/>
    </row>
    <row r="32" spans="1:18" s="2360" customFormat="1">
      <c r="B32" s="2385"/>
      <c r="C32" s="2385"/>
      <c r="D32" s="2385"/>
      <c r="H32" s="2385"/>
      <c r="I32" s="2386"/>
      <c r="J32" s="2385"/>
      <c r="K32" s="2385"/>
      <c r="L32" s="2386"/>
      <c r="M32" s="2385"/>
      <c r="N32" s="2385"/>
      <c r="O32" s="2386"/>
      <c r="P32" s="2385"/>
      <c r="Q32" s="2385"/>
      <c r="R32" s="2387"/>
    </row>
    <row r="33" spans="2:18" s="2360" customFormat="1">
      <c r="B33" s="2385"/>
      <c r="C33" s="2385"/>
      <c r="D33" s="2385"/>
      <c r="H33" s="2385"/>
      <c r="I33" s="2386"/>
      <c r="J33" s="2385"/>
      <c r="K33" s="2385"/>
      <c r="L33" s="2386"/>
      <c r="M33" s="2385"/>
      <c r="N33" s="2385"/>
      <c r="O33" s="2386"/>
      <c r="P33" s="2385"/>
      <c r="Q33" s="2385"/>
      <c r="R33" s="2387"/>
    </row>
    <row r="34" spans="2:18" s="2360" customFormat="1">
      <c r="B34" s="2385"/>
      <c r="C34" s="2385"/>
      <c r="D34" s="2385"/>
      <c r="H34" s="2385"/>
      <c r="I34" s="2386"/>
      <c r="J34" s="2385"/>
      <c r="K34" s="2385"/>
      <c r="L34" s="2386"/>
      <c r="M34" s="2385"/>
      <c r="N34" s="2385"/>
      <c r="O34" s="2386"/>
      <c r="P34" s="2385"/>
      <c r="Q34" s="2385"/>
      <c r="R34" s="2387"/>
    </row>
    <row r="35" spans="2:18" s="2360" customFormat="1">
      <c r="B35" s="2385"/>
      <c r="C35" s="2385"/>
      <c r="D35" s="2385"/>
      <c r="H35" s="2385"/>
      <c r="I35" s="2386"/>
      <c r="J35" s="2385"/>
      <c r="K35" s="2385"/>
      <c r="L35" s="2386"/>
      <c r="M35" s="2385"/>
      <c r="N35" s="2385"/>
      <c r="O35" s="2386"/>
      <c r="P35" s="2385"/>
      <c r="Q35" s="2385"/>
      <c r="R35" s="2387"/>
    </row>
    <row r="36" spans="2:18" s="2360" customFormat="1">
      <c r="B36" s="2385"/>
      <c r="C36" s="2385"/>
      <c r="D36" s="2385"/>
      <c r="H36" s="2385"/>
      <c r="I36" s="2386"/>
      <c r="J36" s="2385"/>
      <c r="K36" s="2385"/>
      <c r="L36" s="2386"/>
      <c r="M36" s="2385"/>
      <c r="N36" s="2385"/>
      <c r="O36" s="2386"/>
      <c r="P36" s="2385"/>
      <c r="Q36" s="2385"/>
      <c r="R36" s="2387"/>
    </row>
    <row r="37" spans="2:18" s="2360" customFormat="1">
      <c r="B37" s="2385"/>
      <c r="C37" s="2385"/>
      <c r="D37" s="2385"/>
      <c r="H37" s="2385"/>
      <c r="I37" s="2386"/>
      <c r="J37" s="2385"/>
      <c r="K37" s="2385"/>
      <c r="L37" s="2386"/>
      <c r="M37" s="2385"/>
      <c r="N37" s="2385"/>
      <c r="O37" s="2386"/>
      <c r="P37" s="2385"/>
      <c r="Q37" s="2385"/>
      <c r="R37" s="2387"/>
    </row>
    <row r="38" spans="2:18" s="2360" customFormat="1">
      <c r="B38" s="2385"/>
      <c r="C38" s="2385"/>
      <c r="D38" s="2385"/>
      <c r="E38" s="2385"/>
      <c r="F38" s="2385"/>
      <c r="G38" s="2386"/>
      <c r="H38" s="2385"/>
      <c r="I38" s="2386"/>
      <c r="J38" s="2385"/>
      <c r="K38" s="2385"/>
      <c r="L38" s="2386"/>
      <c r="M38" s="2385"/>
      <c r="N38" s="2385"/>
      <c r="O38" s="2386"/>
      <c r="P38" s="2385"/>
      <c r="Q38" s="2385"/>
      <c r="R38" s="2387"/>
    </row>
    <row r="39" spans="2:18" s="2360" customFormat="1">
      <c r="B39" s="2385"/>
      <c r="C39" s="2385"/>
      <c r="D39" s="2385"/>
      <c r="E39" s="2385"/>
      <c r="F39" s="2385"/>
      <c r="G39" s="2386"/>
      <c r="H39" s="2385"/>
      <c r="I39" s="2386"/>
      <c r="J39" s="2385"/>
      <c r="K39" s="2385"/>
      <c r="L39" s="2386"/>
      <c r="M39" s="2385"/>
      <c r="N39" s="2385"/>
      <c r="O39" s="2386"/>
      <c r="P39" s="2385"/>
      <c r="Q39" s="2385"/>
      <c r="R39" s="2387"/>
    </row>
    <row r="40" spans="2:18" s="2360" customFormat="1">
      <c r="B40" s="2385"/>
      <c r="C40" s="2385"/>
      <c r="D40" s="2385"/>
      <c r="E40" s="2385"/>
      <c r="F40" s="2385"/>
      <c r="G40" s="2386"/>
      <c r="H40" s="2385"/>
      <c r="I40" s="2386"/>
      <c r="J40" s="2385"/>
      <c r="K40" s="2385"/>
      <c r="L40" s="2386"/>
      <c r="M40" s="2385"/>
      <c r="N40" s="2385"/>
      <c r="O40" s="2386"/>
      <c r="P40" s="2385"/>
      <c r="Q40" s="2385"/>
      <c r="R40" s="2387"/>
    </row>
    <row r="41" spans="2:18" s="2360" customFormat="1">
      <c r="B41" s="2385"/>
      <c r="C41" s="2385"/>
      <c r="D41" s="2385"/>
      <c r="E41" s="2385"/>
      <c r="F41" s="2385"/>
      <c r="G41" s="2386"/>
      <c r="H41" s="2385"/>
      <c r="I41" s="2386"/>
      <c r="J41" s="2385"/>
      <c r="K41" s="2385"/>
      <c r="L41" s="2386"/>
      <c r="M41" s="2385"/>
      <c r="N41" s="2385"/>
      <c r="O41" s="2386"/>
      <c r="P41" s="2385"/>
      <c r="Q41" s="2385"/>
      <c r="R41" s="2387"/>
    </row>
    <row r="42" spans="2:18" s="2360" customFormat="1">
      <c r="B42" s="2385"/>
      <c r="C42" s="2385"/>
      <c r="D42" s="2385"/>
      <c r="E42" s="2385"/>
      <c r="F42" s="2385"/>
      <c r="G42" s="2386"/>
      <c r="H42" s="2385"/>
      <c r="I42" s="2386"/>
      <c r="J42" s="2385"/>
      <c r="K42" s="2385"/>
      <c r="L42" s="2386"/>
      <c r="M42" s="2385"/>
      <c r="N42" s="2385"/>
      <c r="O42" s="2386"/>
      <c r="P42" s="2385"/>
      <c r="Q42" s="2385"/>
      <c r="R42" s="2387"/>
    </row>
    <row r="43" spans="2:18" s="2360" customFormat="1">
      <c r="B43" s="2385"/>
      <c r="C43" s="2385"/>
      <c r="D43" s="2385"/>
      <c r="E43" s="2385"/>
      <c r="F43" s="2385"/>
      <c r="G43" s="2386"/>
      <c r="H43" s="2385"/>
      <c r="I43" s="2386"/>
      <c r="J43" s="2385"/>
      <c r="K43" s="2385"/>
      <c r="L43" s="2386"/>
      <c r="M43" s="2385"/>
      <c r="N43" s="2385"/>
      <c r="O43" s="2386"/>
      <c r="P43" s="2385"/>
      <c r="Q43" s="2385"/>
      <c r="R43" s="2387"/>
    </row>
    <row r="44" spans="2:18" s="2360" customFormat="1">
      <c r="B44" s="2385"/>
      <c r="C44" s="2385"/>
      <c r="D44" s="2385"/>
      <c r="E44" s="2385"/>
      <c r="F44" s="2385"/>
      <c r="G44" s="2386"/>
      <c r="H44" s="2385"/>
      <c r="I44" s="2386"/>
      <c r="J44" s="2385"/>
      <c r="K44" s="2385"/>
      <c r="L44" s="2386"/>
      <c r="M44" s="2385"/>
      <c r="N44" s="2385"/>
      <c r="O44" s="2386"/>
      <c r="P44" s="2385"/>
      <c r="Q44" s="2385"/>
      <c r="R44" s="2387"/>
    </row>
    <row r="45" spans="2:18" s="2360" customFormat="1">
      <c r="B45" s="2385"/>
      <c r="C45" s="2385"/>
      <c r="D45" s="2385"/>
      <c r="E45" s="2385"/>
      <c r="F45" s="2385"/>
      <c r="G45" s="2386"/>
      <c r="H45" s="2385"/>
      <c r="I45" s="2386"/>
      <c r="J45" s="2385"/>
      <c r="K45" s="2385"/>
      <c r="L45" s="2386"/>
      <c r="M45" s="2385"/>
      <c r="N45" s="2385"/>
      <c r="O45" s="2386"/>
      <c r="P45" s="2385"/>
      <c r="Q45" s="2385"/>
      <c r="R45" s="2387"/>
    </row>
    <row r="46" spans="2:18" s="2360" customFormat="1">
      <c r="B46" s="2385"/>
      <c r="C46" s="2385"/>
      <c r="D46" s="2385"/>
      <c r="E46" s="2385"/>
      <c r="F46" s="2385"/>
      <c r="G46" s="2386"/>
      <c r="H46" s="2385"/>
      <c r="I46" s="2386"/>
      <c r="J46" s="2385"/>
      <c r="K46" s="2385"/>
      <c r="L46" s="2386"/>
      <c r="M46" s="2385"/>
      <c r="N46" s="2385"/>
      <c r="O46" s="2386"/>
      <c r="P46" s="2385"/>
      <c r="Q46" s="2385"/>
      <c r="R46" s="2387"/>
    </row>
    <row r="47" spans="2:18" s="2360" customFormat="1">
      <c r="B47" s="2385"/>
      <c r="C47" s="2385"/>
      <c r="D47" s="2385"/>
      <c r="E47" s="2385"/>
      <c r="F47" s="2385"/>
      <c r="G47" s="2386"/>
      <c r="H47" s="2385"/>
      <c r="I47" s="2386"/>
      <c r="J47" s="2385"/>
      <c r="K47" s="2385"/>
      <c r="L47" s="2386"/>
      <c r="M47" s="2385"/>
      <c r="N47" s="2385"/>
      <c r="O47" s="2386"/>
      <c r="P47" s="2385"/>
      <c r="Q47" s="2385"/>
      <c r="R47" s="2387"/>
    </row>
    <row r="48" spans="2:18" s="2360" customFormat="1">
      <c r="B48" s="2385"/>
      <c r="C48" s="2385"/>
      <c r="D48" s="2385"/>
      <c r="E48" s="2385"/>
      <c r="F48" s="2385"/>
      <c r="G48" s="2386"/>
      <c r="H48" s="2385"/>
      <c r="I48" s="2386"/>
      <c r="J48" s="2385"/>
      <c r="K48" s="2385"/>
      <c r="L48" s="2386"/>
      <c r="M48" s="2385"/>
      <c r="N48" s="2385"/>
      <c r="O48" s="2386"/>
      <c r="P48" s="2385"/>
      <c r="Q48" s="2385"/>
      <c r="R48" s="2387"/>
    </row>
    <row r="49" spans="2:18" s="2360" customFormat="1">
      <c r="B49" s="2385"/>
      <c r="C49" s="2385"/>
      <c r="D49" s="2385"/>
      <c r="E49" s="2385"/>
      <c r="F49" s="2385"/>
      <c r="G49" s="2386"/>
      <c r="H49" s="2385"/>
      <c r="I49" s="2386"/>
      <c r="J49" s="2385"/>
      <c r="K49" s="2385"/>
      <c r="L49" s="2386"/>
      <c r="M49" s="2385"/>
      <c r="N49" s="2385"/>
      <c r="O49" s="2386"/>
      <c r="P49" s="2385"/>
      <c r="Q49" s="2385"/>
      <c r="R49" s="2387"/>
    </row>
    <row r="50" spans="2:18" s="2360" customFormat="1">
      <c r="B50" s="2385"/>
      <c r="C50" s="2385"/>
      <c r="D50" s="2385"/>
      <c r="E50" s="2385"/>
      <c r="F50" s="2385"/>
      <c r="G50" s="2386"/>
      <c r="H50" s="2385"/>
      <c r="I50" s="2386"/>
      <c r="J50" s="2385"/>
      <c r="K50" s="2385"/>
      <c r="L50" s="2386"/>
      <c r="M50" s="2385"/>
      <c r="N50" s="2385"/>
      <c r="O50" s="2386"/>
      <c r="P50" s="2385"/>
      <c r="Q50" s="2385"/>
      <c r="R50" s="2387"/>
    </row>
    <row r="51" spans="2:18" s="2360" customFormat="1">
      <c r="B51" s="2385"/>
      <c r="C51" s="2385"/>
      <c r="D51" s="2385"/>
      <c r="E51" s="2385"/>
      <c r="F51" s="2385"/>
      <c r="G51" s="2386"/>
      <c r="H51" s="2385"/>
      <c r="I51" s="2386"/>
      <c r="J51" s="2385"/>
      <c r="K51" s="2385"/>
      <c r="L51" s="2386"/>
      <c r="M51" s="2385"/>
      <c r="N51" s="2385"/>
      <c r="O51" s="2386"/>
      <c r="P51" s="2385"/>
      <c r="Q51" s="2385"/>
      <c r="R51" s="2387"/>
    </row>
    <row r="52" spans="2:18" s="2360" customFormat="1">
      <c r="B52" s="2385"/>
      <c r="C52" s="2385"/>
      <c r="D52" s="2385"/>
      <c r="E52" s="2385"/>
      <c r="F52" s="2385"/>
      <c r="G52" s="2386"/>
      <c r="H52" s="2385"/>
      <c r="I52" s="2386"/>
      <c r="J52" s="2385"/>
      <c r="K52" s="2385"/>
      <c r="L52" s="2386"/>
      <c r="M52" s="2385"/>
      <c r="N52" s="2385"/>
      <c r="O52" s="2386"/>
      <c r="P52" s="2385"/>
      <c r="Q52" s="2385"/>
      <c r="R52" s="2387"/>
    </row>
    <row r="53" spans="2:18" s="2360" customFormat="1">
      <c r="B53" s="2385"/>
      <c r="C53" s="2385"/>
      <c r="D53" s="2385"/>
      <c r="E53" s="2385"/>
      <c r="F53" s="2385"/>
      <c r="G53" s="2386"/>
      <c r="H53" s="2385"/>
      <c r="I53" s="2386"/>
      <c r="J53" s="2385"/>
      <c r="K53" s="2385"/>
      <c r="L53" s="2386"/>
      <c r="M53" s="2385"/>
      <c r="N53" s="2385"/>
      <c r="O53" s="2386"/>
      <c r="P53" s="2385"/>
      <c r="Q53" s="2385"/>
      <c r="R53" s="2387"/>
    </row>
    <row r="54" spans="2:18" s="2360" customFormat="1">
      <c r="B54" s="2385"/>
      <c r="C54" s="2385"/>
      <c r="D54" s="2385"/>
      <c r="E54" s="2385"/>
      <c r="F54" s="2385"/>
      <c r="G54" s="2386"/>
      <c r="H54" s="2385"/>
      <c r="I54" s="2386"/>
      <c r="J54" s="2385"/>
      <c r="K54" s="2385"/>
      <c r="L54" s="2386"/>
      <c r="M54" s="2385"/>
      <c r="N54" s="2385"/>
      <c r="O54" s="2386"/>
      <c r="P54" s="2385"/>
      <c r="Q54" s="2385"/>
      <c r="R54" s="2387"/>
    </row>
    <row r="55" spans="2:18" s="2360" customFormat="1">
      <c r="B55" s="2385"/>
      <c r="C55" s="2385"/>
      <c r="D55" s="2385"/>
      <c r="E55" s="2385"/>
      <c r="F55" s="2385"/>
      <c r="G55" s="2386"/>
      <c r="H55" s="2385"/>
      <c r="I55" s="2386"/>
      <c r="J55" s="2385"/>
      <c r="K55" s="2385"/>
      <c r="L55" s="2386"/>
      <c r="M55" s="2385"/>
      <c r="N55" s="2385"/>
      <c r="O55" s="2386"/>
      <c r="P55" s="2385"/>
      <c r="Q55" s="2385"/>
      <c r="R55" s="2387"/>
    </row>
    <row r="56" spans="2:18" s="2360" customFormat="1">
      <c r="B56" s="2385"/>
      <c r="C56" s="2385"/>
      <c r="D56" s="2385"/>
      <c r="E56" s="2385"/>
      <c r="F56" s="2385"/>
      <c r="G56" s="2386"/>
      <c r="H56" s="2385"/>
      <c r="I56" s="2386"/>
      <c r="J56" s="2385"/>
      <c r="K56" s="2385"/>
      <c r="L56" s="2386"/>
      <c r="M56" s="2385"/>
      <c r="N56" s="2385"/>
      <c r="O56" s="2386"/>
      <c r="P56" s="2385"/>
      <c r="Q56" s="2385"/>
      <c r="R56" s="2387"/>
    </row>
    <row r="57" spans="2:18" s="2360" customFormat="1">
      <c r="B57" s="2385"/>
      <c r="C57" s="2385"/>
      <c r="D57" s="2385"/>
      <c r="E57" s="2385"/>
      <c r="F57" s="2385"/>
      <c r="G57" s="2386"/>
      <c r="H57" s="2385"/>
      <c r="I57" s="2386"/>
      <c r="J57" s="2385"/>
      <c r="K57" s="2385"/>
      <c r="L57" s="2386"/>
      <c r="M57" s="2385"/>
      <c r="N57" s="2385"/>
      <c r="O57" s="2386"/>
      <c r="P57" s="2385"/>
      <c r="Q57" s="2385"/>
      <c r="R57" s="2387"/>
    </row>
    <row r="58" spans="2:18" s="2360" customFormat="1">
      <c r="B58" s="2385"/>
      <c r="C58" s="2385"/>
      <c r="D58" s="2385"/>
      <c r="E58" s="2385"/>
      <c r="F58" s="2385"/>
      <c r="G58" s="2386"/>
      <c r="H58" s="2385"/>
      <c r="I58" s="2386"/>
      <c r="J58" s="2385"/>
      <c r="K58" s="2385"/>
      <c r="L58" s="2386"/>
      <c r="M58" s="2385"/>
      <c r="N58" s="2385"/>
      <c r="O58" s="2386"/>
      <c r="P58" s="2385"/>
      <c r="Q58" s="2385"/>
      <c r="R58" s="2387"/>
    </row>
    <row r="59" spans="2:18" s="2360" customFormat="1">
      <c r="B59" s="2385"/>
      <c r="C59" s="2385"/>
      <c r="D59" s="2385"/>
      <c r="E59" s="2385"/>
      <c r="F59" s="2385"/>
      <c r="G59" s="2386"/>
      <c r="H59" s="2385"/>
      <c r="I59" s="2386"/>
      <c r="J59" s="2385"/>
      <c r="K59" s="2385"/>
      <c r="L59" s="2386"/>
      <c r="M59" s="2385"/>
      <c r="N59" s="2385"/>
      <c r="O59" s="2386"/>
      <c r="P59" s="2385"/>
      <c r="Q59" s="2385"/>
      <c r="R59" s="2387"/>
    </row>
    <row r="60" spans="2:18" s="2360" customFormat="1">
      <c r="B60" s="2385"/>
      <c r="C60" s="2385"/>
      <c r="D60" s="2385"/>
      <c r="E60" s="2385"/>
      <c r="F60" s="2385"/>
      <c r="G60" s="2386"/>
      <c r="H60" s="2385"/>
      <c r="I60" s="2386"/>
      <c r="J60" s="2385"/>
      <c r="K60" s="2385"/>
      <c r="L60" s="2386"/>
      <c r="M60" s="2385"/>
      <c r="N60" s="2385"/>
      <c r="O60" s="2386"/>
      <c r="P60" s="2385"/>
      <c r="Q60" s="2385"/>
      <c r="R60" s="2387"/>
    </row>
    <row r="61" spans="2:18" s="2360" customFormat="1">
      <c r="B61" s="2385"/>
      <c r="C61" s="2385"/>
      <c r="D61" s="2385"/>
      <c r="E61" s="2385"/>
      <c r="F61" s="2385"/>
      <c r="G61" s="2386"/>
      <c r="H61" s="2385"/>
      <c r="I61" s="2386"/>
      <c r="J61" s="2385"/>
      <c r="K61" s="2385"/>
      <c r="L61" s="2386"/>
      <c r="M61" s="2385"/>
      <c r="N61" s="2385"/>
      <c r="O61" s="2386"/>
      <c r="P61" s="2385"/>
      <c r="Q61" s="2385"/>
      <c r="R61" s="2387"/>
    </row>
    <row r="62" spans="2:18" s="2360" customFormat="1">
      <c r="B62" s="2385"/>
      <c r="C62" s="2385"/>
      <c r="D62" s="2385"/>
      <c r="E62" s="2385"/>
      <c r="F62" s="2385"/>
      <c r="G62" s="2386"/>
      <c r="H62" s="2385"/>
      <c r="I62" s="2386"/>
      <c r="J62" s="2385"/>
      <c r="K62" s="2385"/>
      <c r="L62" s="2386"/>
      <c r="M62" s="2385"/>
      <c r="N62" s="2385"/>
      <c r="O62" s="2386"/>
      <c r="P62" s="2385"/>
      <c r="Q62" s="2385"/>
      <c r="R62" s="2387"/>
    </row>
    <row r="63" spans="2:18" s="2360" customFormat="1">
      <c r="B63" s="2385"/>
      <c r="C63" s="2385"/>
      <c r="D63" s="2385"/>
      <c r="E63" s="2385"/>
      <c r="F63" s="2385"/>
      <c r="G63" s="2386"/>
      <c r="H63" s="2385"/>
      <c r="I63" s="2386"/>
      <c r="J63" s="2385"/>
      <c r="K63" s="2385"/>
      <c r="L63" s="2386"/>
      <c r="M63" s="2385"/>
      <c r="N63" s="2385"/>
      <c r="O63" s="2386"/>
      <c r="P63" s="2385"/>
      <c r="Q63" s="2385"/>
      <c r="R63" s="2387"/>
    </row>
    <row r="64" spans="2:18" s="2360" customFormat="1">
      <c r="B64" s="2385"/>
      <c r="C64" s="2385"/>
      <c r="D64" s="2385"/>
      <c r="E64" s="2385"/>
      <c r="F64" s="2385"/>
      <c r="G64" s="2386"/>
      <c r="H64" s="2385"/>
      <c r="I64" s="2386"/>
      <c r="J64" s="2385"/>
      <c r="K64" s="2385"/>
      <c r="L64" s="2386"/>
      <c r="M64" s="2385"/>
      <c r="N64" s="2385"/>
      <c r="O64" s="2386"/>
      <c r="P64" s="2385"/>
      <c r="Q64" s="2385"/>
      <c r="R64" s="2387"/>
    </row>
    <row r="65" spans="2:18" s="2360" customFormat="1">
      <c r="B65" s="2385"/>
      <c r="C65" s="2385"/>
      <c r="D65" s="2385"/>
      <c r="E65" s="2385"/>
      <c r="F65" s="2385"/>
      <c r="G65" s="2386"/>
      <c r="H65" s="2385"/>
      <c r="I65" s="2386"/>
      <c r="J65" s="2385"/>
      <c r="K65" s="2385"/>
      <c r="L65" s="2386"/>
      <c r="M65" s="2385"/>
      <c r="N65" s="2385"/>
      <c r="O65" s="2386"/>
      <c r="P65" s="2385"/>
      <c r="Q65" s="2385"/>
      <c r="R65" s="2387"/>
    </row>
    <row r="66" spans="2:18" s="2360" customFormat="1">
      <c r="B66" s="2385"/>
      <c r="C66" s="2385"/>
      <c r="D66" s="2385"/>
      <c r="E66" s="2385"/>
      <c r="F66" s="2385"/>
      <c r="G66" s="2386"/>
      <c r="H66" s="2385"/>
      <c r="I66" s="2386"/>
      <c r="J66" s="2385"/>
      <c r="K66" s="2385"/>
      <c r="L66" s="2386"/>
      <c r="M66" s="2385"/>
      <c r="N66" s="2385"/>
      <c r="O66" s="2386"/>
      <c r="P66" s="2385"/>
      <c r="Q66" s="2385"/>
      <c r="R66" s="2387"/>
    </row>
    <row r="67" spans="2:18" s="2360" customFormat="1">
      <c r="B67" s="2385"/>
      <c r="C67" s="2385"/>
      <c r="D67" s="2385"/>
      <c r="E67" s="2385"/>
      <c r="F67" s="2385"/>
      <c r="G67" s="2386"/>
      <c r="H67" s="2385"/>
      <c r="I67" s="2386"/>
      <c r="J67" s="2385"/>
      <c r="K67" s="2385"/>
      <c r="L67" s="2386"/>
      <c r="M67" s="2385"/>
      <c r="N67" s="2385"/>
      <c r="O67" s="2386"/>
      <c r="P67" s="2385"/>
      <c r="Q67" s="2385"/>
      <c r="R67" s="2387"/>
    </row>
    <row r="68" spans="2:18" s="2360" customFormat="1">
      <c r="B68" s="2385"/>
      <c r="C68" s="2385"/>
      <c r="D68" s="2385"/>
      <c r="E68" s="2385"/>
      <c r="F68" s="2385"/>
      <c r="G68" s="2386"/>
      <c r="H68" s="2385"/>
      <c r="I68" s="2386"/>
      <c r="J68" s="2385"/>
      <c r="K68" s="2385"/>
      <c r="L68" s="2386"/>
      <c r="M68" s="2385"/>
      <c r="N68" s="2385"/>
      <c r="O68" s="2386"/>
      <c r="P68" s="2385"/>
      <c r="Q68" s="2385"/>
      <c r="R68" s="2387"/>
    </row>
    <row r="69" spans="2:18" s="2360" customFormat="1">
      <c r="B69" s="2385"/>
      <c r="C69" s="2385"/>
      <c r="D69" s="2385"/>
      <c r="E69" s="2385"/>
      <c r="F69" s="2385"/>
      <c r="G69" s="2386"/>
      <c r="H69" s="2385"/>
      <c r="I69" s="2386"/>
      <c r="J69" s="2385"/>
      <c r="K69" s="2385"/>
      <c r="L69" s="2386"/>
      <c r="M69" s="2385"/>
      <c r="N69" s="2385"/>
      <c r="O69" s="2386"/>
      <c r="P69" s="2385"/>
      <c r="Q69" s="2385"/>
      <c r="R69" s="2387"/>
    </row>
    <row r="70" spans="2:18" s="2360" customFormat="1">
      <c r="B70" s="2385"/>
      <c r="C70" s="2385"/>
      <c r="D70" s="2385"/>
      <c r="E70" s="2385"/>
      <c r="F70" s="2385"/>
      <c r="G70" s="2386"/>
      <c r="H70" s="2385"/>
      <c r="I70" s="2386"/>
      <c r="J70" s="2385"/>
      <c r="K70" s="2385"/>
      <c r="L70" s="2386"/>
      <c r="M70" s="2385"/>
      <c r="N70" s="2385"/>
      <c r="O70" s="2386"/>
      <c r="P70" s="2385"/>
      <c r="Q70" s="2385"/>
      <c r="R70" s="2387"/>
    </row>
    <row r="71" spans="2:18" s="2360" customFormat="1">
      <c r="B71" s="2385"/>
      <c r="C71" s="2385"/>
      <c r="D71" s="2385"/>
      <c r="E71" s="2385"/>
      <c r="F71" s="2385"/>
      <c r="G71" s="2386"/>
      <c r="H71" s="2385"/>
      <c r="I71" s="2386"/>
      <c r="J71" s="2385"/>
      <c r="K71" s="2385"/>
      <c r="L71" s="2386"/>
      <c r="M71" s="2385"/>
      <c r="N71" s="2385"/>
      <c r="O71" s="2386"/>
      <c r="P71" s="2385"/>
      <c r="Q71" s="2385"/>
      <c r="R71" s="2387"/>
    </row>
    <row r="72" spans="2:18" s="2360" customFormat="1">
      <c r="B72" s="2385"/>
      <c r="C72" s="2385"/>
      <c r="D72" s="2385"/>
      <c r="E72" s="2385"/>
      <c r="F72" s="2385"/>
      <c r="G72" s="2386"/>
      <c r="H72" s="2385"/>
      <c r="I72" s="2386"/>
      <c r="J72" s="2385"/>
      <c r="K72" s="2385"/>
      <c r="L72" s="2386"/>
      <c r="M72" s="2385"/>
      <c r="N72" s="2385"/>
      <c r="O72" s="2386"/>
      <c r="P72" s="2385"/>
      <c r="Q72" s="2385"/>
      <c r="R72" s="2387"/>
    </row>
    <row r="73" spans="2:18" s="2360" customFormat="1">
      <c r="B73" s="2385"/>
      <c r="C73" s="2385"/>
      <c r="D73" s="2385"/>
      <c r="E73" s="2385"/>
      <c r="F73" s="2385"/>
      <c r="G73" s="2386"/>
      <c r="H73" s="2385"/>
      <c r="I73" s="2386"/>
      <c r="J73" s="2385"/>
      <c r="K73" s="2385"/>
      <c r="L73" s="2386"/>
      <c r="M73" s="2385"/>
      <c r="N73" s="2385"/>
      <c r="O73" s="2386"/>
      <c r="P73" s="2385"/>
      <c r="Q73" s="2385"/>
      <c r="R73" s="2387"/>
    </row>
    <row r="74" spans="2:18" s="2360" customFormat="1">
      <c r="B74" s="2385"/>
      <c r="C74" s="2385"/>
      <c r="D74" s="2385"/>
      <c r="E74" s="2385"/>
      <c r="F74" s="2385"/>
      <c r="G74" s="2386"/>
      <c r="H74" s="2385"/>
      <c r="I74" s="2386"/>
      <c r="J74" s="2385"/>
      <c r="K74" s="2385"/>
      <c r="L74" s="2386"/>
      <c r="M74" s="2385"/>
      <c r="N74" s="2385"/>
      <c r="O74" s="2386"/>
      <c r="P74" s="2385"/>
      <c r="Q74" s="2385"/>
      <c r="R74" s="2387"/>
    </row>
    <row r="75" spans="2:18" s="2360" customFormat="1">
      <c r="B75" s="2385"/>
      <c r="C75" s="2385"/>
      <c r="D75" s="2385"/>
      <c r="E75" s="2385"/>
      <c r="F75" s="2385"/>
      <c r="G75" s="2386"/>
      <c r="H75" s="2385"/>
      <c r="I75" s="2386"/>
      <c r="J75" s="2385"/>
      <c r="K75" s="2385"/>
      <c r="L75" s="2386"/>
      <c r="M75" s="2385"/>
      <c r="N75" s="2385"/>
      <c r="O75" s="2386"/>
      <c r="P75" s="2385"/>
      <c r="Q75" s="2385"/>
      <c r="R75" s="2387"/>
    </row>
    <row r="76" spans="2:18" s="2360" customFormat="1">
      <c r="B76" s="2385"/>
      <c r="C76" s="2385"/>
      <c r="D76" s="2385"/>
      <c r="E76" s="2385"/>
      <c r="F76" s="2385"/>
      <c r="G76" s="2386"/>
      <c r="H76" s="2385"/>
      <c r="I76" s="2386"/>
      <c r="J76" s="2385"/>
      <c r="K76" s="2385"/>
      <c r="L76" s="2386"/>
      <c r="M76" s="2385"/>
      <c r="N76" s="2385"/>
      <c r="O76" s="2386"/>
      <c r="P76" s="2385"/>
      <c r="Q76" s="2385"/>
      <c r="R76" s="2387"/>
    </row>
    <row r="77" spans="2:18" s="2360" customFormat="1">
      <c r="B77" s="2385"/>
      <c r="C77" s="2385"/>
      <c r="D77" s="2385"/>
      <c r="E77" s="2385"/>
      <c r="F77" s="2385"/>
      <c r="G77" s="2386"/>
      <c r="H77" s="2385"/>
      <c r="I77" s="2386"/>
      <c r="J77" s="2385"/>
      <c r="K77" s="2385"/>
      <c r="L77" s="2386"/>
      <c r="M77" s="2385"/>
      <c r="N77" s="2385"/>
      <c r="O77" s="2386"/>
      <c r="P77" s="2385"/>
      <c r="Q77" s="2385"/>
      <c r="R77" s="2387"/>
    </row>
    <row r="78" spans="2:18" s="2360" customFormat="1">
      <c r="B78" s="2385"/>
      <c r="C78" s="2385"/>
      <c r="D78" s="2385"/>
      <c r="E78" s="2385"/>
      <c r="F78" s="2385"/>
      <c r="G78" s="2386"/>
      <c r="H78" s="2385"/>
      <c r="I78" s="2386"/>
      <c r="J78" s="2385"/>
      <c r="K78" s="2385"/>
      <c r="L78" s="2386"/>
      <c r="M78" s="2385"/>
      <c r="N78" s="2385"/>
      <c r="O78" s="2386"/>
      <c r="P78" s="2385"/>
      <c r="Q78" s="2385"/>
      <c r="R78" s="2387"/>
    </row>
    <row r="79" spans="2:18" s="2360" customFormat="1">
      <c r="B79" s="2385"/>
      <c r="C79" s="2385"/>
      <c r="D79" s="2385"/>
      <c r="E79" s="2385"/>
      <c r="F79" s="2385"/>
      <c r="G79" s="2386"/>
      <c r="H79" s="2385"/>
      <c r="I79" s="2386"/>
      <c r="J79" s="2385"/>
      <c r="K79" s="2385"/>
      <c r="L79" s="2386"/>
      <c r="M79" s="2385"/>
      <c r="N79" s="2385"/>
      <c r="O79" s="2386"/>
      <c r="P79" s="2385"/>
      <c r="Q79" s="2385"/>
      <c r="R79" s="2387"/>
    </row>
    <row r="80" spans="2:18" s="2360" customFormat="1">
      <c r="B80" s="2385"/>
      <c r="C80" s="2385"/>
      <c r="D80" s="2385"/>
      <c r="E80" s="2385"/>
      <c r="F80" s="2385"/>
      <c r="G80" s="2386"/>
      <c r="H80" s="2385"/>
      <c r="I80" s="2386"/>
      <c r="J80" s="2385"/>
      <c r="K80" s="2385"/>
      <c r="L80" s="2386"/>
      <c r="M80" s="2385"/>
      <c r="N80" s="2385"/>
      <c r="O80" s="2386"/>
      <c r="P80" s="2385"/>
      <c r="Q80" s="2385"/>
      <c r="R80" s="2387"/>
    </row>
    <row r="81" spans="2:18" s="2360" customFormat="1">
      <c r="B81" s="2385"/>
      <c r="C81" s="2385"/>
      <c r="D81" s="2385"/>
      <c r="E81" s="2385"/>
      <c r="F81" s="2385"/>
      <c r="G81" s="2386"/>
      <c r="H81" s="2385"/>
      <c r="I81" s="2386"/>
      <c r="J81" s="2385"/>
      <c r="K81" s="2385"/>
      <c r="L81" s="2386"/>
      <c r="M81" s="2385"/>
      <c r="N81" s="2385"/>
      <c r="O81" s="2386"/>
      <c r="P81" s="2385"/>
      <c r="Q81" s="2385"/>
      <c r="R81" s="2387"/>
    </row>
    <row r="82" spans="2:18" s="2360" customFormat="1">
      <c r="B82" s="2385"/>
      <c r="C82" s="2385"/>
      <c r="D82" s="2385"/>
      <c r="E82" s="2385"/>
      <c r="F82" s="2385"/>
      <c r="G82" s="2386"/>
      <c r="H82" s="2385"/>
      <c r="I82" s="2386"/>
      <c r="J82" s="2385"/>
      <c r="K82" s="2385"/>
      <c r="L82" s="2386"/>
      <c r="M82" s="2385"/>
      <c r="N82" s="2385"/>
      <c r="O82" s="2386"/>
      <c r="P82" s="2385"/>
      <c r="Q82" s="2385"/>
      <c r="R82" s="2387"/>
    </row>
    <row r="83" spans="2:18" s="2360" customFormat="1">
      <c r="B83" s="2385"/>
      <c r="C83" s="2385"/>
      <c r="D83" s="2385"/>
      <c r="E83" s="2385"/>
      <c r="F83" s="2385"/>
      <c r="G83" s="2386"/>
      <c r="H83" s="2385"/>
      <c r="I83" s="2386"/>
      <c r="J83" s="2385"/>
      <c r="K83" s="2385"/>
      <c r="L83" s="2386"/>
      <c r="M83" s="2385"/>
      <c r="N83" s="2385"/>
      <c r="O83" s="2386"/>
      <c r="P83" s="2385"/>
      <c r="Q83" s="2385"/>
      <c r="R83" s="2387"/>
    </row>
    <row r="84" spans="2:18" s="2360" customFormat="1">
      <c r="B84" s="2385"/>
      <c r="C84" s="2385"/>
      <c r="D84" s="2385"/>
      <c r="E84" s="2385"/>
      <c r="F84" s="2385"/>
      <c r="G84" s="2386"/>
      <c r="H84" s="2385"/>
      <c r="I84" s="2386"/>
      <c r="J84" s="2385"/>
      <c r="K84" s="2385"/>
      <c r="L84" s="2386"/>
      <c r="M84" s="2385"/>
      <c r="N84" s="2385"/>
      <c r="O84" s="2386"/>
      <c r="P84" s="2385"/>
      <c r="Q84" s="2385"/>
      <c r="R84" s="2387"/>
    </row>
    <row r="85" spans="2:18" s="2360" customFormat="1">
      <c r="B85" s="2385"/>
      <c r="C85" s="2385"/>
      <c r="D85" s="2385"/>
      <c r="E85" s="2385"/>
      <c r="F85" s="2385"/>
      <c r="G85" s="2386"/>
      <c r="H85" s="2385"/>
      <c r="I85" s="2386"/>
      <c r="J85" s="2385"/>
      <c r="K85" s="2385"/>
      <c r="L85" s="2386"/>
      <c r="M85" s="2385"/>
      <c r="N85" s="2385"/>
      <c r="O85" s="2386"/>
      <c r="P85" s="2385"/>
      <c r="Q85" s="2385"/>
      <c r="R85" s="2387"/>
    </row>
    <row r="86" spans="2:18" s="2360" customFormat="1">
      <c r="B86" s="2385"/>
      <c r="C86" s="2385"/>
      <c r="D86" s="2385"/>
      <c r="E86" s="2385"/>
      <c r="F86" s="2385"/>
      <c r="G86" s="2386"/>
      <c r="H86" s="2385"/>
      <c r="I86" s="2386"/>
      <c r="J86" s="2385"/>
      <c r="K86" s="2385"/>
      <c r="L86" s="2386"/>
      <c r="M86" s="2385"/>
      <c r="N86" s="2385"/>
      <c r="O86" s="2386"/>
      <c r="P86" s="2385"/>
      <c r="Q86" s="2385"/>
      <c r="R86" s="2387"/>
    </row>
    <row r="87" spans="2:18" s="2360" customFormat="1">
      <c r="B87" s="2385"/>
      <c r="C87" s="2385"/>
      <c r="D87" s="2385"/>
      <c r="E87" s="2385"/>
      <c r="F87" s="2385"/>
      <c r="G87" s="2386"/>
      <c r="H87" s="2385"/>
      <c r="I87" s="2386"/>
      <c r="J87" s="2385"/>
      <c r="K87" s="2385"/>
      <c r="L87" s="2386"/>
      <c r="M87" s="2385"/>
      <c r="N87" s="2385"/>
      <c r="O87" s="2386"/>
      <c r="P87" s="2385"/>
      <c r="Q87" s="2385"/>
      <c r="R87" s="2387"/>
    </row>
    <row r="88" spans="2:18" s="2360" customFormat="1">
      <c r="B88" s="2385"/>
      <c r="C88" s="2385"/>
      <c r="D88" s="2385"/>
      <c r="E88" s="2385"/>
      <c r="F88" s="2385"/>
      <c r="G88" s="2386"/>
      <c r="H88" s="2385"/>
      <c r="I88" s="2386"/>
      <c r="J88" s="2385"/>
      <c r="K88" s="2385"/>
      <c r="L88" s="2386"/>
      <c r="M88" s="2385"/>
      <c r="N88" s="2385"/>
      <c r="O88" s="2386"/>
      <c r="P88" s="2385"/>
      <c r="Q88" s="2385"/>
      <c r="R88" s="2387"/>
    </row>
    <row r="89" spans="2:18" s="2360" customFormat="1">
      <c r="B89" s="2385"/>
      <c r="C89" s="2385"/>
      <c r="D89" s="2385"/>
      <c r="E89" s="2385"/>
      <c r="F89" s="2385"/>
      <c r="G89" s="2386"/>
      <c r="H89" s="2385"/>
      <c r="I89" s="2386"/>
      <c r="J89" s="2385"/>
      <c r="K89" s="2385"/>
      <c r="L89" s="2386"/>
      <c r="M89" s="2385"/>
      <c r="N89" s="2385"/>
      <c r="O89" s="2386"/>
      <c r="P89" s="2385"/>
      <c r="Q89" s="2385"/>
      <c r="R89" s="2387"/>
    </row>
    <row r="90" spans="2:18" s="2360" customFormat="1">
      <c r="B90" s="2385"/>
      <c r="C90" s="2385"/>
      <c r="D90" s="2385"/>
      <c r="E90" s="2385"/>
      <c r="F90" s="2385"/>
      <c r="G90" s="2386"/>
      <c r="H90" s="2385"/>
      <c r="I90" s="2386"/>
      <c r="J90" s="2385"/>
      <c r="K90" s="2385"/>
      <c r="L90" s="2386"/>
      <c r="M90" s="2385"/>
      <c r="N90" s="2385"/>
      <c r="O90" s="2386"/>
      <c r="P90" s="2385"/>
      <c r="Q90" s="2385"/>
      <c r="R90" s="2387"/>
    </row>
    <row r="91" spans="2:18" s="2360" customFormat="1">
      <c r="B91" s="2385"/>
      <c r="C91" s="2385"/>
      <c r="D91" s="2385"/>
      <c r="E91" s="2385"/>
      <c r="F91" s="2385"/>
      <c r="G91" s="2386"/>
      <c r="H91" s="2385"/>
      <c r="I91" s="2386"/>
      <c r="J91" s="2385"/>
      <c r="K91" s="2385"/>
      <c r="L91" s="2386"/>
      <c r="M91" s="2385"/>
      <c r="N91" s="2385"/>
      <c r="O91" s="2386"/>
      <c r="P91" s="2385"/>
      <c r="Q91" s="2385"/>
      <c r="R91" s="2387"/>
    </row>
    <row r="92" spans="2:18" s="2360" customFormat="1">
      <c r="B92" s="2385"/>
      <c r="C92" s="2385"/>
      <c r="D92" s="2385"/>
      <c r="E92" s="2385"/>
      <c r="F92" s="2385"/>
      <c r="G92" s="2386"/>
      <c r="H92" s="2385"/>
      <c r="I92" s="2386"/>
      <c r="J92" s="2385"/>
      <c r="K92" s="2385"/>
      <c r="L92" s="2386"/>
      <c r="M92" s="2385"/>
      <c r="N92" s="2385"/>
      <c r="O92" s="2386"/>
      <c r="P92" s="2385"/>
      <c r="Q92" s="2385"/>
      <c r="R92" s="2387"/>
    </row>
    <row r="93" spans="2:18" s="2360" customFormat="1">
      <c r="B93" s="2385"/>
      <c r="C93" s="2385"/>
      <c r="D93" s="2385"/>
      <c r="E93" s="2385"/>
      <c r="F93" s="2385"/>
      <c r="G93" s="2386"/>
      <c r="H93" s="2385"/>
      <c r="I93" s="2386"/>
      <c r="J93" s="2385"/>
      <c r="K93" s="2385"/>
      <c r="L93" s="2386"/>
      <c r="M93" s="2385"/>
      <c r="N93" s="2385"/>
      <c r="O93" s="2386"/>
      <c r="P93" s="2385"/>
      <c r="Q93" s="2385"/>
      <c r="R93" s="2387"/>
    </row>
    <row r="94" spans="2:18" s="2360" customFormat="1">
      <c r="B94" s="2385"/>
      <c r="C94" s="2385"/>
      <c r="D94" s="2385"/>
      <c r="E94" s="2385"/>
      <c r="F94" s="2385"/>
      <c r="G94" s="2386"/>
      <c r="H94" s="2385"/>
      <c r="I94" s="2386"/>
      <c r="J94" s="2385"/>
      <c r="K94" s="2385"/>
      <c r="L94" s="2386"/>
      <c r="M94" s="2385"/>
      <c r="N94" s="2385"/>
      <c r="O94" s="2386"/>
      <c r="P94" s="2385"/>
      <c r="Q94" s="2385"/>
      <c r="R94" s="2387"/>
    </row>
    <row r="95" spans="2:18" s="2360" customFormat="1">
      <c r="B95" s="2385"/>
      <c r="C95" s="2385"/>
      <c r="D95" s="2385"/>
      <c r="E95" s="2385"/>
      <c r="F95" s="2385"/>
      <c r="G95" s="2386"/>
      <c r="H95" s="2385"/>
      <c r="I95" s="2386"/>
      <c r="J95" s="2385"/>
      <c r="K95" s="2385"/>
      <c r="L95" s="2386"/>
      <c r="M95" s="2385"/>
      <c r="N95" s="2385"/>
      <c r="O95" s="2386"/>
      <c r="P95" s="2385"/>
      <c r="Q95" s="2385"/>
      <c r="R95" s="2387"/>
    </row>
    <row r="96" spans="2:18" s="2360" customFormat="1">
      <c r="B96" s="2385"/>
      <c r="C96" s="2385"/>
      <c r="D96" s="2385"/>
      <c r="E96" s="2385"/>
      <c r="F96" s="2385"/>
      <c r="G96" s="2386"/>
      <c r="H96" s="2385"/>
      <c r="I96" s="2386"/>
      <c r="J96" s="2385"/>
      <c r="K96" s="2385"/>
      <c r="L96" s="2386"/>
      <c r="M96" s="2385"/>
      <c r="N96" s="2385"/>
      <c r="O96" s="2386"/>
      <c r="P96" s="2385"/>
      <c r="Q96" s="2385"/>
      <c r="R96" s="2387"/>
    </row>
    <row r="97" spans="2:18" s="2360" customFormat="1">
      <c r="B97" s="2385"/>
      <c r="C97" s="2385"/>
      <c r="D97" s="2385"/>
      <c r="E97" s="2385"/>
      <c r="F97" s="2385"/>
      <c r="G97" s="2386"/>
      <c r="H97" s="2385"/>
      <c r="I97" s="2386"/>
      <c r="J97" s="2385"/>
      <c r="K97" s="2385"/>
      <c r="L97" s="2386"/>
      <c r="M97" s="2385"/>
      <c r="N97" s="2385"/>
      <c r="O97" s="2386"/>
      <c r="P97" s="2385"/>
      <c r="Q97" s="2385"/>
      <c r="R97" s="2387"/>
    </row>
    <row r="98" spans="2:18" s="2360" customFormat="1">
      <c r="B98" s="2385"/>
      <c r="C98" s="2385"/>
      <c r="D98" s="2385"/>
      <c r="E98" s="2385"/>
      <c r="F98" s="2385"/>
      <c r="G98" s="2386"/>
      <c r="H98" s="2385"/>
      <c r="I98" s="2386"/>
      <c r="J98" s="2385"/>
      <c r="K98" s="2385"/>
      <c r="L98" s="2386"/>
      <c r="M98" s="2385"/>
      <c r="N98" s="2385"/>
      <c r="O98" s="2386"/>
      <c r="P98" s="2385"/>
      <c r="Q98" s="2385"/>
      <c r="R98" s="2387"/>
    </row>
    <row r="99" spans="2:18" s="2360" customFormat="1">
      <c r="B99" s="2385"/>
      <c r="C99" s="2385"/>
      <c r="D99" s="2385"/>
      <c r="E99" s="2385"/>
      <c r="F99" s="2385"/>
      <c r="G99" s="2386"/>
      <c r="H99" s="2385"/>
      <c r="I99" s="2386"/>
      <c r="J99" s="2385"/>
      <c r="K99" s="2385"/>
      <c r="L99" s="2386"/>
      <c r="M99" s="2385"/>
      <c r="N99" s="2385"/>
      <c r="O99" s="2386"/>
      <c r="P99" s="2385"/>
      <c r="Q99" s="2385"/>
      <c r="R99" s="2387"/>
    </row>
    <row r="100" spans="2:18" s="2360" customFormat="1">
      <c r="B100" s="2385"/>
      <c r="C100" s="2385"/>
      <c r="D100" s="2385"/>
      <c r="E100" s="2385"/>
      <c r="F100" s="2385"/>
      <c r="G100" s="2386"/>
      <c r="H100" s="2385"/>
      <c r="I100" s="2386"/>
      <c r="J100" s="2385"/>
      <c r="K100" s="2385"/>
      <c r="L100" s="2386"/>
      <c r="M100" s="2385"/>
      <c r="N100" s="2385"/>
      <c r="O100" s="2386"/>
      <c r="P100" s="2385"/>
      <c r="Q100" s="2385"/>
      <c r="R100" s="2387"/>
    </row>
    <row r="101" spans="2:18" s="2360" customFormat="1">
      <c r="B101" s="2385"/>
      <c r="C101" s="2385"/>
      <c r="D101" s="2385"/>
      <c r="E101" s="2385"/>
      <c r="F101" s="2385"/>
      <c r="G101" s="2386"/>
      <c r="H101" s="2385"/>
      <c r="I101" s="2386"/>
      <c r="J101" s="2385"/>
      <c r="K101" s="2385"/>
      <c r="L101" s="2386"/>
      <c r="M101" s="2385"/>
      <c r="N101" s="2385"/>
      <c r="O101" s="2386"/>
      <c r="P101" s="2385"/>
      <c r="Q101" s="2385"/>
      <c r="R101" s="2387"/>
    </row>
    <row r="102" spans="2:18" s="2360" customFormat="1">
      <c r="B102" s="2385"/>
      <c r="C102" s="2385"/>
      <c r="D102" s="2385"/>
      <c r="E102" s="2385"/>
      <c r="F102" s="2385"/>
      <c r="G102" s="2386"/>
      <c r="H102" s="2385"/>
      <c r="I102" s="2386"/>
      <c r="J102" s="2385"/>
      <c r="K102" s="2385"/>
      <c r="L102" s="2386"/>
      <c r="M102" s="2385"/>
      <c r="N102" s="2385"/>
      <c r="O102" s="2386"/>
      <c r="P102" s="2385"/>
      <c r="Q102" s="2385"/>
      <c r="R102" s="2387"/>
    </row>
    <row r="103" spans="2:18" s="2360" customFormat="1">
      <c r="B103" s="2385"/>
      <c r="C103" s="2385"/>
      <c r="D103" s="2385"/>
      <c r="E103" s="2385"/>
      <c r="F103" s="2385"/>
      <c r="G103" s="2386"/>
      <c r="H103" s="2385"/>
      <c r="I103" s="2386"/>
      <c r="J103" s="2385"/>
      <c r="K103" s="2385"/>
      <c r="L103" s="2386"/>
      <c r="M103" s="2385"/>
      <c r="N103" s="2385"/>
      <c r="O103" s="2386"/>
      <c r="P103" s="2385"/>
      <c r="Q103" s="2385"/>
      <c r="R103" s="2387"/>
    </row>
    <row r="104" spans="2:18" s="2360" customFormat="1">
      <c r="B104" s="2385"/>
      <c r="C104" s="2385"/>
      <c r="D104" s="2385"/>
      <c r="E104" s="2385"/>
      <c r="F104" s="2385"/>
      <c r="G104" s="2386"/>
      <c r="H104" s="2385"/>
      <c r="I104" s="2386"/>
      <c r="J104" s="2385"/>
      <c r="K104" s="2385"/>
      <c r="L104" s="2386"/>
      <c r="M104" s="2385"/>
      <c r="N104" s="2385"/>
      <c r="O104" s="2386"/>
      <c r="P104" s="2385"/>
      <c r="Q104" s="2385"/>
      <c r="R104" s="2387"/>
    </row>
    <row r="105" spans="2:18" s="2360" customFormat="1">
      <c r="B105" s="2385"/>
      <c r="C105" s="2385"/>
      <c r="D105" s="2385"/>
      <c r="E105" s="2385"/>
      <c r="F105" s="2385"/>
      <c r="G105" s="2386"/>
      <c r="H105" s="2385"/>
      <c r="I105" s="2386"/>
      <c r="J105" s="2385"/>
      <c r="K105" s="2385"/>
      <c r="L105" s="2386"/>
      <c r="M105" s="2385"/>
      <c r="N105" s="2385"/>
      <c r="O105" s="2386"/>
      <c r="P105" s="2385"/>
      <c r="Q105" s="2385"/>
      <c r="R105" s="2387"/>
    </row>
    <row r="106" spans="2:18" s="2360" customFormat="1">
      <c r="B106" s="2385"/>
      <c r="C106" s="2385"/>
      <c r="D106" s="2385"/>
      <c r="E106" s="2385"/>
      <c r="F106" s="2385"/>
      <c r="G106" s="2386"/>
      <c r="H106" s="2385"/>
      <c r="I106" s="2386"/>
      <c r="J106" s="2385"/>
      <c r="K106" s="2385"/>
      <c r="L106" s="2386"/>
      <c r="M106" s="2385"/>
      <c r="N106" s="2385"/>
      <c r="O106" s="2386"/>
      <c r="P106" s="2385"/>
      <c r="Q106" s="2385"/>
      <c r="R106" s="2387"/>
    </row>
    <row r="107" spans="2:18" s="2360" customFormat="1">
      <c r="B107" s="2385"/>
      <c r="C107" s="2385"/>
      <c r="D107" s="2385"/>
      <c r="E107" s="2385"/>
      <c r="F107" s="2385"/>
      <c r="G107" s="2386"/>
      <c r="H107" s="2385"/>
      <c r="I107" s="2386"/>
      <c r="J107" s="2385"/>
      <c r="K107" s="2385"/>
      <c r="L107" s="2386"/>
      <c r="M107" s="2385"/>
      <c r="N107" s="2385"/>
      <c r="O107" s="2386"/>
      <c r="P107" s="2385"/>
      <c r="Q107" s="2385"/>
      <c r="R107" s="2387"/>
    </row>
    <row r="108" spans="2:18" s="2360" customFormat="1">
      <c r="B108" s="2385"/>
      <c r="C108" s="2385"/>
      <c r="D108" s="2385"/>
      <c r="E108" s="2385"/>
      <c r="F108" s="2385"/>
      <c r="G108" s="2386"/>
      <c r="H108" s="2385"/>
      <c r="I108" s="2386"/>
      <c r="J108" s="2385"/>
      <c r="K108" s="2385"/>
      <c r="L108" s="2386"/>
      <c r="M108" s="2385"/>
      <c r="N108" s="2385"/>
      <c r="O108" s="2386"/>
      <c r="P108" s="2385"/>
      <c r="Q108" s="2385"/>
      <c r="R108" s="2387"/>
    </row>
    <row r="109" spans="2:18" s="2360" customFormat="1">
      <c r="B109" s="2385"/>
      <c r="C109" s="2385"/>
      <c r="D109" s="2385"/>
      <c r="E109" s="2385"/>
      <c r="F109" s="2385"/>
      <c r="G109" s="2386"/>
      <c r="H109" s="2385"/>
      <c r="I109" s="2386"/>
      <c r="J109" s="2385"/>
      <c r="K109" s="2385"/>
      <c r="L109" s="2386"/>
      <c r="M109" s="2385"/>
      <c r="N109" s="2385"/>
      <c r="O109" s="2386"/>
      <c r="P109" s="2385"/>
      <c r="Q109" s="2385"/>
      <c r="R109" s="2387"/>
    </row>
    <row r="110" spans="2:18" s="2360" customFormat="1">
      <c r="B110" s="2385"/>
      <c r="C110" s="2385"/>
      <c r="D110" s="2385"/>
      <c r="E110" s="2385"/>
      <c r="F110" s="2385"/>
      <c r="G110" s="2386"/>
      <c r="H110" s="2385"/>
      <c r="I110" s="2386"/>
      <c r="J110" s="2385"/>
      <c r="K110" s="2385"/>
      <c r="L110" s="2386"/>
      <c r="M110" s="2385"/>
      <c r="N110" s="2385"/>
      <c r="O110" s="2386"/>
      <c r="P110" s="2385"/>
      <c r="Q110" s="2385"/>
      <c r="R110" s="2387"/>
    </row>
    <row r="111" spans="2:18" s="2360" customFormat="1">
      <c r="B111" s="2385"/>
      <c r="C111" s="2385"/>
      <c r="D111" s="2385"/>
      <c r="E111" s="2385"/>
      <c r="F111" s="2385"/>
      <c r="G111" s="2386"/>
      <c r="H111" s="2385"/>
      <c r="I111" s="2386"/>
      <c r="J111" s="2385"/>
      <c r="K111" s="2385"/>
      <c r="L111" s="2386"/>
      <c r="M111" s="2385"/>
      <c r="N111" s="2385"/>
      <c r="O111" s="2386"/>
      <c r="P111" s="2385"/>
      <c r="Q111" s="2385"/>
      <c r="R111" s="2387"/>
    </row>
    <row r="112" spans="2:18" s="2360" customFormat="1">
      <c r="B112" s="2385"/>
      <c r="C112" s="2385"/>
      <c r="D112" s="2385"/>
      <c r="E112" s="2385"/>
      <c r="F112" s="2385"/>
      <c r="G112" s="2386"/>
      <c r="H112" s="2385"/>
      <c r="I112" s="2386"/>
      <c r="J112" s="2385"/>
      <c r="K112" s="2385"/>
      <c r="L112" s="2386"/>
      <c r="M112" s="2385"/>
      <c r="N112" s="2385"/>
      <c r="O112" s="2386"/>
      <c r="P112" s="2385"/>
      <c r="Q112" s="2385"/>
      <c r="R112" s="2387"/>
    </row>
    <row r="113" spans="2:18" s="2360" customFormat="1">
      <c r="B113" s="2385"/>
      <c r="C113" s="2385"/>
      <c r="D113" s="2385"/>
      <c r="E113" s="2385"/>
      <c r="F113" s="2385"/>
      <c r="G113" s="2386"/>
      <c r="H113" s="2385"/>
      <c r="I113" s="2386"/>
      <c r="J113" s="2385"/>
      <c r="K113" s="2385"/>
      <c r="L113" s="2386"/>
      <c r="M113" s="2385"/>
      <c r="N113" s="2385"/>
      <c r="O113" s="2386"/>
      <c r="P113" s="2385"/>
      <c r="Q113" s="2385"/>
      <c r="R113" s="2387"/>
    </row>
    <row r="114" spans="2:18" s="2360" customFormat="1">
      <c r="B114" s="2385"/>
      <c r="C114" s="2385"/>
      <c r="D114" s="2385"/>
      <c r="E114" s="2385"/>
      <c r="F114" s="2385"/>
      <c r="G114" s="2386"/>
      <c r="H114" s="2385"/>
      <c r="I114" s="2386"/>
      <c r="J114" s="2385"/>
      <c r="K114" s="2385"/>
      <c r="L114" s="2386"/>
      <c r="M114" s="2385"/>
      <c r="N114" s="2385"/>
      <c r="O114" s="2386"/>
      <c r="P114" s="2385"/>
      <c r="Q114" s="2385"/>
      <c r="R114" s="2387"/>
    </row>
    <row r="115" spans="2:18" s="2360" customFormat="1">
      <c r="B115" s="2385"/>
      <c r="C115" s="2385"/>
      <c r="D115" s="2385"/>
      <c r="E115" s="2385"/>
      <c r="F115" s="2385"/>
      <c r="G115" s="2386"/>
      <c r="H115" s="2385"/>
      <c r="I115" s="2386"/>
      <c r="J115" s="2385"/>
      <c r="K115" s="2385"/>
      <c r="L115" s="2386"/>
      <c r="M115" s="2385"/>
      <c r="N115" s="2385"/>
      <c r="O115" s="2386"/>
      <c r="P115" s="2385"/>
      <c r="Q115" s="2385"/>
      <c r="R115" s="2387"/>
    </row>
    <row r="116" spans="2:18" s="2360" customFormat="1">
      <c r="B116" s="2385"/>
      <c r="C116" s="2385"/>
      <c r="D116" s="2385"/>
      <c r="E116" s="2385"/>
      <c r="F116" s="2385"/>
      <c r="G116" s="2386"/>
      <c r="H116" s="2385"/>
      <c r="I116" s="2386"/>
      <c r="J116" s="2385"/>
      <c r="K116" s="2385"/>
      <c r="L116" s="2386"/>
      <c r="M116" s="2385"/>
      <c r="N116" s="2385"/>
      <c r="O116" s="2386"/>
      <c r="P116" s="2385"/>
      <c r="Q116" s="2385"/>
      <c r="R116" s="2387"/>
    </row>
    <row r="117" spans="2:18" s="2360" customFormat="1">
      <c r="B117" s="2385"/>
      <c r="C117" s="2385"/>
      <c r="D117" s="2385"/>
      <c r="E117" s="2385"/>
      <c r="F117" s="2385"/>
      <c r="G117" s="2386"/>
      <c r="H117" s="2385"/>
      <c r="I117" s="2386"/>
      <c r="J117" s="2385"/>
      <c r="K117" s="2385"/>
      <c r="L117" s="2386"/>
      <c r="M117" s="2385"/>
      <c r="N117" s="2385"/>
      <c r="O117" s="2386"/>
      <c r="P117" s="2385"/>
      <c r="Q117" s="2385"/>
      <c r="R117" s="2387"/>
    </row>
    <row r="118" spans="2:18" s="2360" customFormat="1">
      <c r="B118" s="2385"/>
      <c r="C118" s="2385"/>
      <c r="D118" s="2385"/>
      <c r="E118" s="2385"/>
      <c r="F118" s="2385"/>
      <c r="G118" s="2386"/>
      <c r="H118" s="2385"/>
      <c r="I118" s="2386"/>
      <c r="J118" s="2385"/>
      <c r="K118" s="2385"/>
      <c r="L118" s="2386"/>
      <c r="M118" s="2385"/>
      <c r="N118" s="2385"/>
      <c r="O118" s="2386"/>
      <c r="P118" s="2385"/>
      <c r="Q118" s="2385"/>
      <c r="R118" s="2387"/>
    </row>
    <row r="119" spans="2:18" s="2360" customFormat="1">
      <c r="B119" s="2385"/>
      <c r="C119" s="2385"/>
      <c r="D119" s="2385"/>
      <c r="E119" s="2385"/>
      <c r="F119" s="2385"/>
      <c r="G119" s="2386"/>
      <c r="H119" s="2385"/>
      <c r="I119" s="2386"/>
      <c r="J119" s="2385"/>
      <c r="K119" s="2385"/>
      <c r="L119" s="2386"/>
      <c r="M119" s="2385"/>
      <c r="N119" s="2385"/>
      <c r="O119" s="2386"/>
      <c r="P119" s="2385"/>
      <c r="Q119" s="2385"/>
      <c r="R119" s="2387"/>
    </row>
    <row r="120" spans="2:18" s="2360" customFormat="1">
      <c r="B120" s="2385"/>
      <c r="C120" s="2385"/>
      <c r="D120" s="2385"/>
      <c r="E120" s="2385"/>
      <c r="F120" s="2385"/>
      <c r="G120" s="2386"/>
      <c r="H120" s="2385"/>
      <c r="I120" s="2386"/>
      <c r="J120" s="2385"/>
      <c r="K120" s="2385"/>
      <c r="L120" s="2386"/>
      <c r="M120" s="2385"/>
      <c r="N120" s="2385"/>
      <c r="O120" s="2386"/>
      <c r="P120" s="2385"/>
      <c r="Q120" s="2385"/>
      <c r="R120" s="2387"/>
    </row>
    <row r="121" spans="2:18" s="2360" customFormat="1">
      <c r="B121" s="2385"/>
      <c r="C121" s="2385"/>
      <c r="D121" s="2385"/>
      <c r="E121" s="2385"/>
      <c r="F121" s="2385"/>
      <c r="G121" s="2386"/>
      <c r="H121" s="2385"/>
      <c r="I121" s="2386"/>
      <c r="J121" s="2385"/>
      <c r="K121" s="2385"/>
      <c r="L121" s="2386"/>
      <c r="M121" s="2385"/>
      <c r="N121" s="2385"/>
      <c r="O121" s="2386"/>
      <c r="P121" s="2385"/>
      <c r="Q121" s="2385"/>
      <c r="R121" s="2387"/>
    </row>
    <row r="122" spans="2:18" s="2360" customFormat="1">
      <c r="B122" s="2385"/>
      <c r="C122" s="2385"/>
      <c r="D122" s="2385"/>
      <c r="E122" s="2385"/>
      <c r="F122" s="2385"/>
      <c r="G122" s="2386"/>
      <c r="H122" s="2385"/>
      <c r="I122" s="2386"/>
      <c r="J122" s="2385"/>
      <c r="K122" s="2385"/>
      <c r="L122" s="2386"/>
      <c r="M122" s="2385"/>
      <c r="N122" s="2385"/>
      <c r="O122" s="2386"/>
      <c r="P122" s="2385"/>
      <c r="Q122" s="2385"/>
      <c r="R122" s="2387"/>
    </row>
    <row r="123" spans="2:18" s="2360" customFormat="1">
      <c r="B123" s="2385"/>
      <c r="C123" s="2385"/>
      <c r="D123" s="2385"/>
      <c r="E123" s="2385"/>
      <c r="F123" s="2385"/>
      <c r="G123" s="2386"/>
      <c r="H123" s="2385"/>
      <c r="I123" s="2386"/>
      <c r="J123" s="2385"/>
      <c r="K123" s="2385"/>
      <c r="L123" s="2386"/>
      <c r="M123" s="2385"/>
      <c r="N123" s="2385"/>
      <c r="O123" s="2386"/>
      <c r="P123" s="2385"/>
      <c r="Q123" s="2385"/>
      <c r="R123" s="2387"/>
    </row>
    <row r="124" spans="2:18" s="2360" customFormat="1">
      <c r="B124" s="2385"/>
      <c r="C124" s="2385"/>
      <c r="D124" s="2385"/>
      <c r="E124" s="2385"/>
      <c r="F124" s="2385"/>
      <c r="G124" s="2386"/>
      <c r="H124" s="2385"/>
      <c r="I124" s="2386"/>
      <c r="J124" s="2385"/>
      <c r="K124" s="2385"/>
      <c r="L124" s="2386"/>
      <c r="M124" s="2385"/>
      <c r="N124" s="2385"/>
      <c r="O124" s="2386"/>
      <c r="P124" s="2385"/>
      <c r="Q124" s="2385"/>
      <c r="R124" s="2387"/>
    </row>
    <row r="125" spans="2:18" s="2360" customFormat="1">
      <c r="B125" s="2385"/>
      <c r="C125" s="2385"/>
      <c r="D125" s="2385"/>
      <c r="E125" s="2385"/>
      <c r="F125" s="2385"/>
      <c r="G125" s="2386"/>
      <c r="H125" s="2385"/>
      <c r="I125" s="2386"/>
      <c r="J125" s="2385"/>
      <c r="K125" s="2385"/>
      <c r="L125" s="2386"/>
      <c r="M125" s="2385"/>
      <c r="N125" s="2385"/>
      <c r="O125" s="2386"/>
      <c r="P125" s="2385"/>
      <c r="Q125" s="2385"/>
      <c r="R125" s="2387"/>
    </row>
    <row r="126" spans="2:18" s="2360" customFormat="1">
      <c r="B126" s="2385"/>
      <c r="C126" s="2385"/>
      <c r="D126" s="2385"/>
      <c r="E126" s="2385"/>
      <c r="F126" s="2385"/>
      <c r="G126" s="2386"/>
      <c r="H126" s="2385"/>
      <c r="I126" s="2386"/>
      <c r="J126" s="2385"/>
      <c r="K126" s="2385"/>
      <c r="L126" s="2386"/>
      <c r="M126" s="2385"/>
      <c r="N126" s="2385"/>
      <c r="O126" s="2386"/>
      <c r="P126" s="2385"/>
      <c r="Q126" s="2385"/>
      <c r="R126" s="2387"/>
    </row>
    <row r="127" spans="2:18" s="2360" customFormat="1">
      <c r="B127" s="2385"/>
      <c r="C127" s="2385"/>
      <c r="D127" s="2385"/>
      <c r="E127" s="2385"/>
      <c r="F127" s="2385"/>
      <c r="G127" s="2386"/>
      <c r="H127" s="2385"/>
      <c r="I127" s="2386"/>
      <c r="J127" s="2385"/>
      <c r="K127" s="2385"/>
      <c r="L127" s="2386"/>
      <c r="M127" s="2385"/>
      <c r="N127" s="2385"/>
      <c r="O127" s="2386"/>
      <c r="P127" s="2385"/>
      <c r="Q127" s="2385"/>
      <c r="R127" s="2387"/>
    </row>
    <row r="128" spans="2:18" s="2360" customFormat="1">
      <c r="B128" s="2385"/>
      <c r="C128" s="2385"/>
      <c r="D128" s="2385"/>
      <c r="E128" s="2385"/>
      <c r="F128" s="2385"/>
      <c r="G128" s="2386"/>
      <c r="H128" s="2385"/>
      <c r="I128" s="2386"/>
      <c r="J128" s="2385"/>
      <c r="K128" s="2385"/>
      <c r="L128" s="2386"/>
      <c r="M128" s="2385"/>
      <c r="N128" s="2385"/>
      <c r="O128" s="2386"/>
      <c r="P128" s="2385"/>
      <c r="Q128" s="2385"/>
      <c r="R128" s="2387"/>
    </row>
    <row r="129" spans="2:18" s="2360" customFormat="1">
      <c r="B129" s="2385"/>
      <c r="C129" s="2385"/>
      <c r="D129" s="2385"/>
      <c r="E129" s="2385"/>
      <c r="F129" s="2385"/>
      <c r="G129" s="2386"/>
      <c r="H129" s="2385"/>
      <c r="I129" s="2386"/>
      <c r="J129" s="2385"/>
      <c r="K129" s="2385"/>
      <c r="L129" s="2386"/>
      <c r="M129" s="2385"/>
      <c r="N129" s="2385"/>
      <c r="O129" s="2386"/>
      <c r="P129" s="2385"/>
      <c r="Q129" s="2385"/>
      <c r="R129" s="2387"/>
    </row>
    <row r="130" spans="2:18" s="2360" customFormat="1">
      <c r="B130" s="2385"/>
      <c r="C130" s="2385"/>
      <c r="D130" s="2385"/>
      <c r="E130" s="2385"/>
      <c r="F130" s="2385"/>
      <c r="G130" s="2386"/>
      <c r="H130" s="2385"/>
      <c r="I130" s="2386"/>
      <c r="J130" s="2385"/>
      <c r="K130" s="2385"/>
      <c r="L130" s="2386"/>
      <c r="M130" s="2385"/>
      <c r="N130" s="2385"/>
      <c r="O130" s="2386"/>
      <c r="P130" s="2385"/>
      <c r="Q130" s="2385"/>
      <c r="R130" s="2387"/>
    </row>
    <row r="131" spans="2:18" s="2360" customFormat="1">
      <c r="B131" s="2385"/>
      <c r="C131" s="2385"/>
      <c r="D131" s="2385"/>
      <c r="E131" s="2385"/>
      <c r="F131" s="2385"/>
      <c r="G131" s="2386"/>
      <c r="H131" s="2385"/>
      <c r="I131" s="2386"/>
      <c r="J131" s="2385"/>
      <c r="K131" s="2385"/>
      <c r="L131" s="2386"/>
      <c r="M131" s="2385"/>
      <c r="N131" s="2385"/>
      <c r="O131" s="2386"/>
      <c r="P131" s="2385"/>
      <c r="Q131" s="2385"/>
      <c r="R131" s="2387"/>
    </row>
    <row r="132" spans="2:18" s="2360" customFormat="1">
      <c r="B132" s="2385"/>
      <c r="C132" s="2385"/>
      <c r="D132" s="2385"/>
      <c r="E132" s="2385"/>
      <c r="F132" s="2385"/>
      <c r="G132" s="2386"/>
      <c r="H132" s="2385"/>
      <c r="I132" s="2386"/>
      <c r="J132" s="2385"/>
      <c r="K132" s="2385"/>
      <c r="L132" s="2386"/>
      <c r="M132" s="2385"/>
      <c r="N132" s="2385"/>
      <c r="O132" s="2386"/>
      <c r="P132" s="2385"/>
      <c r="Q132" s="2385"/>
      <c r="R132" s="2387"/>
    </row>
    <row r="133" spans="2:18" s="2360" customFormat="1">
      <c r="B133" s="2385"/>
      <c r="C133" s="2385"/>
      <c r="D133" s="2385"/>
      <c r="E133" s="2385"/>
      <c r="F133" s="2385"/>
      <c r="G133" s="2386"/>
      <c r="H133" s="2385"/>
      <c r="I133" s="2386"/>
      <c r="J133" s="2385"/>
      <c r="K133" s="2385"/>
      <c r="L133" s="2386"/>
      <c r="M133" s="2385"/>
      <c r="N133" s="2385"/>
      <c r="O133" s="2386"/>
      <c r="P133" s="2385"/>
      <c r="Q133" s="2385"/>
      <c r="R133" s="2387"/>
    </row>
    <row r="134" spans="2:18" s="2360" customFormat="1">
      <c r="B134" s="2385"/>
      <c r="C134" s="2385"/>
      <c r="D134" s="2385"/>
      <c r="E134" s="2385"/>
      <c r="F134" s="2385"/>
      <c r="G134" s="2386"/>
      <c r="H134" s="2385"/>
      <c r="I134" s="2386"/>
      <c r="J134" s="2385"/>
      <c r="K134" s="2385"/>
      <c r="L134" s="2386"/>
      <c r="M134" s="2385"/>
      <c r="N134" s="2385"/>
      <c r="O134" s="2386"/>
      <c r="P134" s="2385"/>
      <c r="Q134" s="2385"/>
      <c r="R134" s="2387"/>
    </row>
    <row r="135" spans="2:18" s="2360" customFormat="1">
      <c r="B135" s="2385"/>
      <c r="C135" s="2385"/>
      <c r="D135" s="2385"/>
      <c r="E135" s="2385"/>
      <c r="F135" s="2385"/>
      <c r="G135" s="2386"/>
      <c r="H135" s="2385"/>
      <c r="I135" s="2386"/>
      <c r="J135" s="2385"/>
      <c r="K135" s="2385"/>
      <c r="L135" s="2386"/>
      <c r="M135" s="2385"/>
      <c r="N135" s="2385"/>
      <c r="O135" s="2386"/>
      <c r="P135" s="2385"/>
      <c r="Q135" s="2385"/>
      <c r="R135" s="2387"/>
    </row>
    <row r="136" spans="2:18" s="2360" customFormat="1">
      <c r="B136" s="2385"/>
      <c r="C136" s="2385"/>
      <c r="D136" s="2385"/>
      <c r="E136" s="2385"/>
      <c r="F136" s="2385"/>
      <c r="G136" s="2386"/>
      <c r="H136" s="2385"/>
      <c r="I136" s="2386"/>
      <c r="J136" s="2385"/>
      <c r="K136" s="2385"/>
      <c r="L136" s="2386"/>
      <c r="M136" s="2385"/>
      <c r="N136" s="2385"/>
      <c r="O136" s="2386"/>
      <c r="P136" s="2385"/>
      <c r="Q136" s="2385"/>
      <c r="R136" s="2387"/>
    </row>
    <row r="137" spans="2:18" s="2360" customFormat="1">
      <c r="B137" s="2385"/>
      <c r="C137" s="2385"/>
      <c r="D137" s="2385"/>
      <c r="E137" s="2385"/>
      <c r="F137" s="2385"/>
      <c r="G137" s="2386"/>
      <c r="H137" s="2385"/>
      <c r="I137" s="2386"/>
      <c r="J137" s="2385"/>
      <c r="K137" s="2385"/>
      <c r="L137" s="2386"/>
      <c r="M137" s="2385"/>
      <c r="N137" s="2385"/>
      <c r="O137" s="2386"/>
      <c r="P137" s="2385"/>
      <c r="Q137" s="2385"/>
      <c r="R137" s="2387"/>
    </row>
    <row r="138" spans="2:18" s="2360" customFormat="1">
      <c r="B138" s="2385"/>
      <c r="C138" s="2385"/>
      <c r="D138" s="2385"/>
      <c r="E138" s="2385"/>
      <c r="F138" s="2385"/>
      <c r="G138" s="2386"/>
      <c r="H138" s="2385"/>
      <c r="I138" s="2386"/>
      <c r="J138" s="2385"/>
      <c r="K138" s="2385"/>
      <c r="L138" s="2386"/>
      <c r="M138" s="2385"/>
      <c r="N138" s="2385"/>
      <c r="O138" s="2386"/>
      <c r="P138" s="2385"/>
      <c r="Q138" s="2385"/>
      <c r="R138" s="2387"/>
    </row>
    <row r="139" spans="2:18" s="2360" customFormat="1">
      <c r="B139" s="2385"/>
      <c r="C139" s="2385"/>
      <c r="D139" s="2385"/>
      <c r="E139" s="2385"/>
      <c r="F139" s="2385"/>
      <c r="G139" s="2386"/>
      <c r="H139" s="2385"/>
      <c r="I139" s="2386"/>
      <c r="J139" s="2385"/>
      <c r="K139" s="2385"/>
      <c r="L139" s="2386"/>
      <c r="M139" s="2385"/>
      <c r="N139" s="2385"/>
      <c r="O139" s="2386"/>
      <c r="P139" s="2385"/>
      <c r="Q139" s="2385"/>
      <c r="R139" s="2387"/>
    </row>
    <row r="140" spans="2:18" s="2360" customFormat="1">
      <c r="B140" s="2385"/>
      <c r="C140" s="2385"/>
      <c r="D140" s="2385"/>
      <c r="E140" s="2385"/>
      <c r="F140" s="2385"/>
      <c r="G140" s="2386"/>
      <c r="H140" s="2385"/>
      <c r="I140" s="2386"/>
      <c r="J140" s="2385"/>
      <c r="K140" s="2385"/>
      <c r="L140" s="2386"/>
      <c r="M140" s="2385"/>
      <c r="N140" s="2385"/>
      <c r="O140" s="2386"/>
      <c r="P140" s="2385"/>
      <c r="Q140" s="2385"/>
      <c r="R140" s="2387"/>
    </row>
    <row r="141" spans="2:18" s="2360" customFormat="1">
      <c r="B141" s="2385"/>
      <c r="C141" s="2385"/>
      <c r="D141" s="2385"/>
      <c r="E141" s="2385"/>
      <c r="F141" s="2385"/>
      <c r="G141" s="2386"/>
      <c r="H141" s="2385"/>
      <c r="I141" s="2386"/>
      <c r="J141" s="2385"/>
      <c r="K141" s="2385"/>
      <c r="L141" s="2386"/>
      <c r="M141" s="2385"/>
      <c r="N141" s="2385"/>
      <c r="O141" s="2386"/>
      <c r="P141" s="2385"/>
      <c r="Q141" s="2385"/>
      <c r="R141" s="2387"/>
    </row>
    <row r="142" spans="2:18" s="2360" customFormat="1">
      <c r="B142" s="2385"/>
      <c r="C142" s="2385"/>
      <c r="D142" s="2385"/>
      <c r="E142" s="2385"/>
      <c r="F142" s="2385"/>
      <c r="G142" s="2386"/>
      <c r="H142" s="2385"/>
      <c r="I142" s="2386"/>
      <c r="J142" s="2385"/>
      <c r="K142" s="2385"/>
      <c r="L142" s="2386"/>
      <c r="M142" s="2385"/>
      <c r="N142" s="2385"/>
      <c r="O142" s="2386"/>
      <c r="P142" s="2385"/>
      <c r="Q142" s="2385"/>
      <c r="R142" s="2387"/>
    </row>
    <row r="143" spans="2:18" s="2360" customFormat="1">
      <c r="B143" s="2385"/>
      <c r="C143" s="2385"/>
      <c r="D143" s="2385"/>
      <c r="E143" s="2385"/>
      <c r="F143" s="2385"/>
      <c r="G143" s="2386"/>
      <c r="H143" s="2385"/>
      <c r="I143" s="2386"/>
      <c r="J143" s="2385"/>
      <c r="K143" s="2385"/>
      <c r="L143" s="2386"/>
      <c r="M143" s="2385"/>
      <c r="N143" s="2385"/>
      <c r="O143" s="2386"/>
      <c r="P143" s="2385"/>
      <c r="Q143" s="2385"/>
      <c r="R143" s="2387"/>
    </row>
    <row r="144" spans="2:18" s="2360" customFormat="1">
      <c r="B144" s="2385"/>
      <c r="C144" s="2385"/>
      <c r="D144" s="2385"/>
      <c r="E144" s="2385"/>
      <c r="F144" s="2385"/>
      <c r="G144" s="2386"/>
      <c r="H144" s="2385"/>
      <c r="I144" s="2386"/>
      <c r="J144" s="2385"/>
      <c r="K144" s="2385"/>
      <c r="L144" s="2386"/>
      <c r="M144" s="2385"/>
      <c r="N144" s="2385"/>
      <c r="O144" s="2386"/>
      <c r="P144" s="2385"/>
      <c r="Q144" s="2385"/>
      <c r="R144" s="2387"/>
    </row>
    <row r="145" spans="2:18" s="2360" customFormat="1">
      <c r="B145" s="2385"/>
      <c r="C145" s="2385"/>
      <c r="D145" s="2385"/>
      <c r="E145" s="2385"/>
      <c r="F145" s="2385"/>
      <c r="G145" s="2386"/>
      <c r="H145" s="2385"/>
      <c r="I145" s="2386"/>
      <c r="J145" s="2385"/>
      <c r="K145" s="2385"/>
      <c r="L145" s="2386"/>
      <c r="M145" s="2385"/>
      <c r="N145" s="2385"/>
      <c r="O145" s="2386"/>
      <c r="P145" s="2385"/>
      <c r="Q145" s="2385"/>
      <c r="R145" s="2387"/>
    </row>
    <row r="146" spans="2:18" s="2360" customFormat="1">
      <c r="B146" s="2385"/>
      <c r="C146" s="2385"/>
      <c r="D146" s="2385"/>
      <c r="E146" s="2385"/>
      <c r="F146" s="2385"/>
      <c r="G146" s="2386"/>
      <c r="H146" s="2385"/>
      <c r="I146" s="2386"/>
      <c r="J146" s="2385"/>
      <c r="K146" s="2385"/>
      <c r="L146" s="2386"/>
      <c r="M146" s="2385"/>
      <c r="N146" s="2385"/>
      <c r="O146" s="2386"/>
      <c r="P146" s="2385"/>
      <c r="Q146" s="2385"/>
      <c r="R146" s="2387"/>
    </row>
    <row r="147" spans="2:18" s="2360" customFormat="1">
      <c r="B147" s="2385"/>
      <c r="C147" s="2385"/>
      <c r="D147" s="2385"/>
      <c r="E147" s="2385"/>
      <c r="F147" s="2385"/>
      <c r="G147" s="2386"/>
      <c r="H147" s="2385"/>
      <c r="I147" s="2386"/>
      <c r="J147" s="2385"/>
      <c r="K147" s="2385"/>
      <c r="L147" s="2386"/>
      <c r="M147" s="2385"/>
      <c r="N147" s="2385"/>
      <c r="O147" s="2386"/>
      <c r="P147" s="2385"/>
      <c r="Q147" s="2385"/>
      <c r="R147" s="2387"/>
    </row>
    <row r="148" spans="2:18" s="2360" customFormat="1">
      <c r="B148" s="2385"/>
      <c r="C148" s="2385"/>
      <c r="D148" s="2385"/>
      <c r="E148" s="2385"/>
      <c r="F148" s="2385"/>
      <c r="G148" s="2386"/>
      <c r="H148" s="2385"/>
      <c r="I148" s="2386"/>
      <c r="J148" s="2385"/>
      <c r="K148" s="2385"/>
      <c r="L148" s="2386"/>
      <c r="M148" s="2385"/>
      <c r="N148" s="2385"/>
      <c r="O148" s="2386"/>
      <c r="P148" s="2385"/>
      <c r="Q148" s="2385"/>
      <c r="R148" s="2387"/>
    </row>
    <row r="149" spans="2:18" s="2360" customFormat="1">
      <c r="B149" s="2385"/>
      <c r="C149" s="2385"/>
      <c r="D149" s="2385"/>
      <c r="E149" s="2385"/>
      <c r="F149" s="2385"/>
      <c r="G149" s="2386"/>
      <c r="H149" s="2385"/>
      <c r="I149" s="2386"/>
      <c r="J149" s="2385"/>
      <c r="K149" s="2385"/>
      <c r="L149" s="2386"/>
      <c r="M149" s="2385"/>
      <c r="N149" s="2385"/>
      <c r="O149" s="2386"/>
      <c r="P149" s="2385"/>
      <c r="Q149" s="2385"/>
      <c r="R149" s="2387"/>
    </row>
    <row r="150" spans="2:18" s="2360" customFormat="1">
      <c r="B150" s="2385"/>
      <c r="C150" s="2385"/>
      <c r="D150" s="2385"/>
      <c r="E150" s="2385"/>
      <c r="F150" s="2385"/>
      <c r="G150" s="2386"/>
      <c r="H150" s="2385"/>
      <c r="I150" s="2386"/>
      <c r="J150" s="2385"/>
      <c r="K150" s="2385"/>
      <c r="L150" s="2386"/>
      <c r="M150" s="2385"/>
      <c r="N150" s="2385"/>
      <c r="O150" s="2386"/>
      <c r="P150" s="2385"/>
      <c r="Q150" s="2385"/>
      <c r="R150" s="2387"/>
    </row>
    <row r="151" spans="2:18" s="2360" customFormat="1">
      <c r="B151" s="2385"/>
      <c r="C151" s="2385"/>
      <c r="D151" s="2385"/>
      <c r="E151" s="2385"/>
      <c r="F151" s="2385"/>
      <c r="G151" s="2386"/>
      <c r="H151" s="2385"/>
      <c r="I151" s="2386"/>
      <c r="J151" s="2385"/>
      <c r="K151" s="2385"/>
      <c r="L151" s="2386"/>
      <c r="M151" s="2385"/>
      <c r="N151" s="2385"/>
      <c r="O151" s="2386"/>
      <c r="P151" s="2385"/>
      <c r="Q151" s="2385"/>
      <c r="R151" s="2387"/>
    </row>
    <row r="152" spans="2:18" s="2360" customFormat="1">
      <c r="B152" s="2385"/>
      <c r="C152" s="2385"/>
      <c r="D152" s="2385"/>
      <c r="E152" s="2385"/>
      <c r="F152" s="2385"/>
      <c r="G152" s="2386"/>
      <c r="H152" s="2385"/>
      <c r="I152" s="2386"/>
      <c r="J152" s="2385"/>
      <c r="K152" s="2385"/>
      <c r="L152" s="2386"/>
      <c r="M152" s="2385"/>
      <c r="N152" s="2385"/>
      <c r="O152" s="2386"/>
      <c r="P152" s="2385"/>
      <c r="Q152" s="2385"/>
      <c r="R152" s="2387"/>
    </row>
    <row r="153" spans="2:18" s="2360" customFormat="1">
      <c r="B153" s="2385"/>
      <c r="C153" s="2385"/>
      <c r="D153" s="2385"/>
      <c r="E153" s="2385"/>
      <c r="F153" s="2385"/>
      <c r="G153" s="2386"/>
      <c r="H153" s="2385"/>
      <c r="I153" s="2386"/>
      <c r="J153" s="2385"/>
      <c r="K153" s="2385"/>
      <c r="L153" s="2386"/>
      <c r="M153" s="2385"/>
      <c r="N153" s="2385"/>
      <c r="O153" s="2386"/>
      <c r="P153" s="2385"/>
      <c r="Q153" s="2385"/>
      <c r="R153" s="2387"/>
    </row>
    <row r="154" spans="2:18" s="2360" customFormat="1">
      <c r="B154" s="2385"/>
      <c r="C154" s="2385"/>
      <c r="D154" s="2385"/>
      <c r="E154" s="2385"/>
      <c r="F154" s="2385"/>
      <c r="G154" s="2386"/>
      <c r="H154" s="2385"/>
      <c r="I154" s="2386"/>
      <c r="J154" s="2385"/>
      <c r="K154" s="2385"/>
      <c r="L154" s="2386"/>
      <c r="M154" s="2385"/>
      <c r="N154" s="2385"/>
      <c r="O154" s="2386"/>
      <c r="P154" s="2385"/>
      <c r="Q154" s="2385"/>
      <c r="R154" s="2387"/>
    </row>
    <row r="155" spans="2:18" s="2360" customFormat="1">
      <c r="B155" s="2385"/>
      <c r="C155" s="2385"/>
      <c r="D155" s="2385"/>
      <c r="E155" s="2385"/>
      <c r="F155" s="2385"/>
      <c r="G155" s="2386"/>
      <c r="H155" s="2385"/>
      <c r="I155" s="2386"/>
      <c r="J155" s="2385"/>
      <c r="K155" s="2385"/>
      <c r="L155" s="2386"/>
      <c r="M155" s="2385"/>
      <c r="N155" s="2385"/>
      <c r="O155" s="2386"/>
      <c r="P155" s="2385"/>
      <c r="Q155" s="2385"/>
      <c r="R155" s="2387"/>
    </row>
    <row r="156" spans="2:18" s="2360" customFormat="1">
      <c r="B156" s="2385"/>
      <c r="C156" s="2385"/>
      <c r="D156" s="2385"/>
      <c r="E156" s="2385"/>
      <c r="F156" s="2385"/>
      <c r="G156" s="2386"/>
      <c r="H156" s="2385"/>
      <c r="I156" s="2386"/>
      <c r="J156" s="2385"/>
      <c r="K156" s="2385"/>
      <c r="L156" s="2386"/>
      <c r="M156" s="2385"/>
      <c r="N156" s="2385"/>
      <c r="O156" s="2386"/>
      <c r="P156" s="2385"/>
      <c r="Q156" s="2385"/>
      <c r="R156" s="2387"/>
    </row>
    <row r="157" spans="2:18" s="2360" customFormat="1">
      <c r="B157" s="2385"/>
      <c r="C157" s="2385"/>
      <c r="D157" s="2385"/>
      <c r="E157" s="2385"/>
      <c r="F157" s="2385"/>
      <c r="G157" s="2386"/>
      <c r="H157" s="2385"/>
      <c r="I157" s="2386"/>
      <c r="J157" s="2385"/>
      <c r="K157" s="2385"/>
      <c r="L157" s="2386"/>
      <c r="M157" s="2385"/>
      <c r="N157" s="2385"/>
      <c r="O157" s="2386"/>
      <c r="P157" s="2385"/>
      <c r="Q157" s="2385"/>
      <c r="R157" s="2387"/>
    </row>
    <row r="158" spans="2:18" s="2360" customFormat="1">
      <c r="B158" s="2385"/>
      <c r="C158" s="2385"/>
      <c r="D158" s="2385"/>
      <c r="E158" s="2385"/>
      <c r="F158" s="2385"/>
      <c r="G158" s="2386"/>
      <c r="H158" s="2385"/>
      <c r="I158" s="2386"/>
      <c r="J158" s="2385"/>
      <c r="K158" s="2385"/>
      <c r="L158" s="2386"/>
      <c r="M158" s="2385"/>
      <c r="N158" s="2385"/>
      <c r="O158" s="2386"/>
      <c r="P158" s="2385"/>
      <c r="Q158" s="2385"/>
      <c r="R158" s="2387"/>
    </row>
    <row r="159" spans="2:18" s="2360" customFormat="1">
      <c r="B159" s="2385"/>
      <c r="C159" s="2385"/>
      <c r="D159" s="2385"/>
      <c r="E159" s="2385"/>
      <c r="F159" s="2385"/>
      <c r="G159" s="2386"/>
      <c r="H159" s="2385"/>
      <c r="I159" s="2386"/>
      <c r="J159" s="2385"/>
      <c r="K159" s="2385"/>
      <c r="L159" s="2386"/>
      <c r="M159" s="2385"/>
      <c r="N159" s="2385"/>
      <c r="O159" s="2386"/>
      <c r="P159" s="2385"/>
      <c r="Q159" s="2385"/>
      <c r="R159" s="2387"/>
    </row>
    <row r="160" spans="2:18" s="2360" customFormat="1">
      <c r="B160" s="2385"/>
      <c r="C160" s="2385"/>
      <c r="D160" s="2385"/>
      <c r="E160" s="2385"/>
      <c r="F160" s="2385"/>
      <c r="G160" s="2386"/>
      <c r="H160" s="2385"/>
      <c r="I160" s="2386"/>
      <c r="J160" s="2385"/>
      <c r="K160" s="2385"/>
      <c r="L160" s="2386"/>
      <c r="M160" s="2385"/>
      <c r="N160" s="2385"/>
      <c r="O160" s="2386"/>
      <c r="P160" s="2385"/>
      <c r="Q160" s="2385"/>
      <c r="R160" s="2387"/>
    </row>
    <row r="161" spans="2:18" s="2360" customFormat="1">
      <c r="B161" s="2385"/>
      <c r="C161" s="2385"/>
      <c r="D161" s="2385"/>
      <c r="E161" s="2385"/>
      <c r="F161" s="2385"/>
      <c r="G161" s="2386"/>
      <c r="H161" s="2385"/>
      <c r="I161" s="2386"/>
      <c r="J161" s="2385"/>
      <c r="K161" s="2385"/>
      <c r="L161" s="2386"/>
      <c r="M161" s="2385"/>
      <c r="N161" s="2385"/>
      <c r="O161" s="2386"/>
      <c r="P161" s="2385"/>
      <c r="Q161" s="2385"/>
      <c r="R161" s="2387"/>
    </row>
    <row r="162" spans="2:18" s="2360" customFormat="1">
      <c r="B162" s="2385"/>
      <c r="C162" s="2385"/>
      <c r="D162" s="2385"/>
      <c r="E162" s="2385"/>
      <c r="F162" s="2385"/>
      <c r="G162" s="2386"/>
      <c r="H162" s="2385"/>
      <c r="I162" s="2386"/>
      <c r="J162" s="2385"/>
      <c r="K162" s="2385"/>
      <c r="L162" s="2386"/>
      <c r="M162" s="2385"/>
      <c r="N162" s="2385"/>
      <c r="O162" s="2386"/>
      <c r="P162" s="2385"/>
      <c r="Q162" s="2385"/>
      <c r="R162" s="2387"/>
    </row>
    <row r="163" spans="2:18" s="2360" customFormat="1">
      <c r="B163" s="2385"/>
      <c r="C163" s="2385"/>
      <c r="D163" s="2385"/>
      <c r="E163" s="2385"/>
      <c r="F163" s="2385"/>
      <c r="G163" s="2386"/>
      <c r="H163" s="2385"/>
      <c r="I163" s="2386"/>
      <c r="J163" s="2385"/>
      <c r="K163" s="2385"/>
      <c r="L163" s="2386"/>
      <c r="M163" s="2385"/>
      <c r="N163" s="2385"/>
      <c r="O163" s="2386"/>
      <c r="P163" s="2385"/>
      <c r="Q163" s="2385"/>
      <c r="R163" s="2387"/>
    </row>
    <row r="164" spans="2:18" s="2360" customFormat="1">
      <c r="B164" s="2385"/>
      <c r="C164" s="2385"/>
      <c r="D164" s="2385"/>
      <c r="E164" s="2385"/>
      <c r="F164" s="2385"/>
      <c r="G164" s="2386"/>
      <c r="H164" s="2385"/>
      <c r="I164" s="2386"/>
      <c r="J164" s="2385"/>
      <c r="K164" s="2385"/>
      <c r="L164" s="2386"/>
      <c r="M164" s="2385"/>
      <c r="N164" s="2385"/>
      <c r="O164" s="2386"/>
      <c r="P164" s="2385"/>
      <c r="Q164" s="2385"/>
      <c r="R164" s="2387"/>
    </row>
    <row r="165" spans="2:18" s="2360" customFormat="1">
      <c r="B165" s="2385"/>
      <c r="C165" s="2385"/>
      <c r="D165" s="2385"/>
      <c r="E165" s="2385"/>
      <c r="F165" s="2385"/>
      <c r="G165" s="2386"/>
      <c r="H165" s="2385"/>
      <c r="I165" s="2386"/>
      <c r="J165" s="2385"/>
      <c r="K165" s="2385"/>
      <c r="L165" s="2386"/>
      <c r="M165" s="2385"/>
      <c r="N165" s="2385"/>
      <c r="O165" s="2386"/>
      <c r="P165" s="2385"/>
      <c r="Q165" s="2385"/>
      <c r="R165" s="2387"/>
    </row>
    <row r="166" spans="2:18" s="2360" customFormat="1">
      <c r="B166" s="2385"/>
      <c r="C166" s="2385"/>
      <c r="D166" s="2385"/>
      <c r="E166" s="2385"/>
      <c r="F166" s="2385"/>
      <c r="G166" s="2386"/>
      <c r="H166" s="2385"/>
      <c r="I166" s="2386"/>
      <c r="J166" s="2385"/>
      <c r="K166" s="2385"/>
      <c r="L166" s="2386"/>
      <c r="M166" s="2385"/>
      <c r="N166" s="2385"/>
      <c r="O166" s="2386"/>
      <c r="P166" s="2385"/>
      <c r="Q166" s="2385"/>
      <c r="R166" s="2387"/>
    </row>
    <row r="167" spans="2:18" s="2360" customFormat="1">
      <c r="B167" s="2385"/>
      <c r="C167" s="2385"/>
      <c r="D167" s="2385"/>
      <c r="E167" s="2385"/>
      <c r="F167" s="2385"/>
      <c r="G167" s="2386"/>
      <c r="H167" s="2385"/>
      <c r="I167" s="2386"/>
      <c r="J167" s="2385"/>
      <c r="K167" s="2385"/>
      <c r="L167" s="2386"/>
      <c r="M167" s="2385"/>
      <c r="N167" s="2385"/>
      <c r="O167" s="2386"/>
      <c r="P167" s="2385"/>
      <c r="Q167" s="2385"/>
      <c r="R167" s="2387"/>
    </row>
    <row r="168" spans="2:18" s="2360" customFormat="1">
      <c r="B168" s="2385"/>
      <c r="C168" s="2385"/>
      <c r="D168" s="2385"/>
      <c r="E168" s="2385"/>
      <c r="F168" s="2385"/>
      <c r="G168" s="2386"/>
      <c r="H168" s="2385"/>
      <c r="I168" s="2386"/>
      <c r="J168" s="2385"/>
      <c r="K168" s="2385"/>
      <c r="L168" s="2386"/>
      <c r="M168" s="2385"/>
      <c r="N168" s="2385"/>
      <c r="O168" s="2386"/>
      <c r="P168" s="2385"/>
      <c r="Q168" s="2385"/>
      <c r="R168" s="2387"/>
    </row>
    <row r="169" spans="2:18" s="2360" customFormat="1">
      <c r="B169" s="2385"/>
      <c r="C169" s="2385"/>
      <c r="D169" s="2385"/>
      <c r="E169" s="2385"/>
      <c r="F169" s="2385"/>
      <c r="G169" s="2386"/>
      <c r="H169" s="2385"/>
      <c r="I169" s="2386"/>
      <c r="J169" s="2385"/>
      <c r="K169" s="2385"/>
      <c r="L169" s="2386"/>
      <c r="M169" s="2385"/>
      <c r="N169" s="2385"/>
      <c r="O169" s="2386"/>
      <c r="P169" s="2385"/>
      <c r="Q169" s="2385"/>
      <c r="R169" s="2387"/>
    </row>
    <row r="170" spans="2:18" s="2360" customFormat="1">
      <c r="B170" s="2385"/>
      <c r="C170" s="2385"/>
      <c r="D170" s="2385"/>
      <c r="E170" s="2385"/>
      <c r="F170" s="2385"/>
      <c r="G170" s="2386"/>
      <c r="H170" s="2385"/>
      <c r="I170" s="2386"/>
      <c r="J170" s="2385"/>
      <c r="K170" s="2385"/>
      <c r="L170" s="2386"/>
      <c r="M170" s="2385"/>
      <c r="N170" s="2385"/>
      <c r="O170" s="2386"/>
      <c r="P170" s="2385"/>
      <c r="Q170" s="2385"/>
      <c r="R170" s="2387"/>
    </row>
    <row r="171" spans="2:18" s="2360" customFormat="1">
      <c r="B171" s="2385"/>
      <c r="C171" s="2385"/>
      <c r="D171" s="2385"/>
      <c r="E171" s="2385"/>
      <c r="F171" s="2385"/>
      <c r="G171" s="2386"/>
      <c r="H171" s="2385"/>
      <c r="I171" s="2386"/>
      <c r="J171" s="2385"/>
      <c r="K171" s="2385"/>
      <c r="L171" s="2386"/>
      <c r="M171" s="2385"/>
      <c r="N171" s="2385"/>
      <c r="O171" s="2386"/>
      <c r="P171" s="2385"/>
      <c r="Q171" s="2385"/>
      <c r="R171" s="2387"/>
    </row>
    <row r="172" spans="2:18" s="2360" customFormat="1">
      <c r="B172" s="2385"/>
      <c r="C172" s="2385"/>
      <c r="D172" s="2385"/>
      <c r="E172" s="2385"/>
      <c r="F172" s="2385"/>
      <c r="G172" s="2386"/>
      <c r="H172" s="2385"/>
      <c r="I172" s="2386"/>
      <c r="J172" s="2385"/>
      <c r="K172" s="2385"/>
      <c r="L172" s="2386"/>
      <c r="M172" s="2385"/>
      <c r="N172" s="2385"/>
      <c r="O172" s="2386"/>
      <c r="P172" s="2385"/>
      <c r="Q172" s="2385"/>
      <c r="R172" s="2387"/>
    </row>
    <row r="173" spans="2:18" s="2360" customFormat="1">
      <c r="B173" s="2385"/>
      <c r="C173" s="2385"/>
      <c r="D173" s="2385"/>
      <c r="E173" s="2385"/>
      <c r="F173" s="2385"/>
      <c r="G173" s="2386"/>
      <c r="H173" s="2385"/>
      <c r="I173" s="2386"/>
      <c r="J173" s="2385"/>
      <c r="K173" s="2385"/>
      <c r="L173" s="2386"/>
      <c r="M173" s="2385"/>
      <c r="N173" s="2385"/>
      <c r="O173" s="2386"/>
      <c r="P173" s="2385"/>
      <c r="Q173" s="2385"/>
      <c r="R173" s="2387"/>
    </row>
    <row r="174" spans="2:18" s="2360" customFormat="1">
      <c r="B174" s="2385"/>
      <c r="C174" s="2385"/>
      <c r="D174" s="2385"/>
      <c r="E174" s="2385"/>
      <c r="F174" s="2385"/>
      <c r="G174" s="2386"/>
      <c r="H174" s="2385"/>
      <c r="I174" s="2386"/>
      <c r="J174" s="2385"/>
      <c r="K174" s="2385"/>
      <c r="L174" s="2386"/>
      <c r="M174" s="2385"/>
      <c r="N174" s="2385"/>
      <c r="O174" s="2386"/>
      <c r="P174" s="2385"/>
      <c r="Q174" s="2385"/>
      <c r="R174" s="2387"/>
    </row>
    <row r="175" spans="2:18" s="2360" customFormat="1">
      <c r="B175" s="2385"/>
      <c r="C175" s="2385"/>
      <c r="D175" s="2385"/>
      <c r="E175" s="2385"/>
      <c r="F175" s="2385"/>
      <c r="G175" s="2386"/>
      <c r="H175" s="2385"/>
      <c r="I175" s="2386"/>
      <c r="J175" s="2385"/>
      <c r="K175" s="2385"/>
      <c r="L175" s="2386"/>
      <c r="M175" s="2385"/>
      <c r="N175" s="2385"/>
      <c r="O175" s="2386"/>
      <c r="P175" s="2385"/>
      <c r="Q175" s="2385"/>
      <c r="R175" s="2387"/>
    </row>
    <row r="176" spans="2:18" s="2360" customFormat="1">
      <c r="B176" s="2385"/>
      <c r="C176" s="2385"/>
      <c r="D176" s="2385"/>
      <c r="E176" s="2385"/>
      <c r="F176" s="2385"/>
      <c r="G176" s="2386"/>
      <c r="H176" s="2385"/>
      <c r="I176" s="2386"/>
      <c r="J176" s="2385"/>
      <c r="K176" s="2385"/>
      <c r="L176" s="2386"/>
      <c r="M176" s="2385"/>
      <c r="N176" s="2385"/>
      <c r="O176" s="2386"/>
      <c r="P176" s="2385"/>
      <c r="Q176" s="2385"/>
      <c r="R176" s="2387"/>
    </row>
    <row r="177" spans="1:18" s="2360" customFormat="1">
      <c r="B177" s="2385"/>
      <c r="C177" s="2385"/>
      <c r="D177" s="2385"/>
      <c r="E177" s="2385"/>
      <c r="F177" s="2385"/>
      <c r="G177" s="2386"/>
      <c r="H177" s="2385"/>
      <c r="I177" s="2386"/>
      <c r="J177" s="2385"/>
      <c r="K177" s="2385"/>
      <c r="L177" s="2386"/>
      <c r="M177" s="2385"/>
      <c r="N177" s="2385"/>
      <c r="O177" s="2386"/>
      <c r="P177" s="2385"/>
      <c r="Q177" s="2385"/>
      <c r="R177" s="2387"/>
    </row>
    <row r="178" spans="1:18" s="2360" customFormat="1">
      <c r="B178" s="2385"/>
      <c r="C178" s="2385"/>
      <c r="D178" s="2385"/>
      <c r="E178" s="2385"/>
      <c r="F178" s="2385"/>
      <c r="G178" s="2386"/>
      <c r="H178" s="2385"/>
      <c r="I178" s="2386"/>
      <c r="J178" s="2385"/>
      <c r="K178" s="2385"/>
      <c r="L178" s="2386"/>
      <c r="M178" s="2385"/>
      <c r="N178" s="2385"/>
      <c r="O178" s="2386"/>
      <c r="P178" s="2385"/>
      <c r="Q178" s="2385"/>
      <c r="R178" s="2387"/>
    </row>
    <row r="179" spans="1:18" s="2360" customFormat="1">
      <c r="B179" s="2385"/>
      <c r="C179" s="2385"/>
      <c r="D179" s="2385"/>
      <c r="E179" s="2385"/>
      <c r="F179" s="2385"/>
      <c r="G179" s="2386"/>
      <c r="H179" s="2385"/>
      <c r="I179" s="2386"/>
      <c r="J179" s="2385"/>
      <c r="K179" s="2385"/>
      <c r="L179" s="2386"/>
      <c r="M179" s="2385"/>
      <c r="N179" s="2385"/>
      <c r="O179" s="2386"/>
      <c r="P179" s="2385"/>
      <c r="Q179" s="2385"/>
      <c r="R179" s="2387"/>
    </row>
    <row r="180" spans="1:18" s="2360" customFormat="1">
      <c r="B180" s="2385"/>
      <c r="C180" s="2385"/>
      <c r="D180" s="2385"/>
      <c r="E180" s="2385"/>
      <c r="F180" s="2385"/>
      <c r="G180" s="2386"/>
      <c r="H180" s="2385"/>
      <c r="I180" s="2386"/>
      <c r="J180" s="2385"/>
      <c r="K180" s="2385"/>
      <c r="L180" s="2386"/>
      <c r="M180" s="2385"/>
      <c r="N180" s="2385"/>
      <c r="O180" s="2386"/>
      <c r="P180" s="2385"/>
      <c r="Q180" s="2385"/>
      <c r="R180" s="2387"/>
    </row>
    <row r="181" spans="1:18" s="2360" customFormat="1">
      <c r="B181" s="2385"/>
      <c r="C181" s="2385"/>
      <c r="D181" s="2385"/>
      <c r="E181" s="2385"/>
      <c r="F181" s="2385"/>
      <c r="G181" s="2386"/>
      <c r="H181" s="2385"/>
      <c r="I181" s="2386"/>
      <c r="J181" s="2385"/>
      <c r="K181" s="2385"/>
      <c r="L181" s="2386"/>
      <c r="M181" s="2385"/>
      <c r="N181" s="2385"/>
      <c r="O181" s="2386"/>
      <c r="P181" s="2385"/>
      <c r="Q181" s="2385"/>
      <c r="R181" s="2387"/>
    </row>
    <row r="182" spans="1:18" s="2360" customFormat="1">
      <c r="B182" s="2385"/>
      <c r="C182" s="2385"/>
      <c r="D182" s="2385"/>
      <c r="E182" s="2385"/>
      <c r="F182" s="2385"/>
      <c r="G182" s="2386"/>
      <c r="H182" s="2385"/>
      <c r="I182" s="2386"/>
      <c r="J182" s="2385"/>
      <c r="K182" s="2385"/>
      <c r="L182" s="2386"/>
      <c r="M182" s="2385"/>
      <c r="N182" s="2385"/>
      <c r="O182" s="2386"/>
      <c r="P182" s="2385"/>
      <c r="Q182" s="2385"/>
      <c r="R182" s="2387"/>
    </row>
    <row r="183" spans="1:18" s="2360" customFormat="1">
      <c r="B183" s="2385"/>
      <c r="C183" s="2385"/>
      <c r="D183" s="2385"/>
      <c r="E183" s="2385"/>
      <c r="F183" s="2385"/>
      <c r="G183" s="2386"/>
      <c r="H183" s="2385"/>
      <c r="I183" s="2386"/>
      <c r="J183" s="2385"/>
      <c r="K183" s="2385"/>
      <c r="L183" s="2386"/>
      <c r="M183" s="2385"/>
      <c r="N183" s="2385"/>
      <c r="O183" s="2386"/>
      <c r="P183" s="2385"/>
      <c r="Q183" s="2385"/>
      <c r="R183" s="2387"/>
    </row>
    <row r="184" spans="1:18" s="2360" customFormat="1">
      <c r="B184" s="2385"/>
      <c r="C184" s="2385"/>
      <c r="D184" s="2385"/>
      <c r="E184" s="2385"/>
      <c r="F184" s="2385"/>
      <c r="G184" s="2386"/>
      <c r="H184" s="2385"/>
      <c r="I184" s="2386"/>
      <c r="J184" s="2385"/>
      <c r="K184" s="2385"/>
      <c r="L184" s="2386"/>
      <c r="M184" s="2385"/>
      <c r="N184" s="2385"/>
      <c r="O184" s="2386"/>
      <c r="P184" s="2385"/>
      <c r="Q184" s="2385"/>
      <c r="R184" s="2387"/>
    </row>
    <row r="185" spans="1:18" s="2360"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60"/>
      <c r="B186" s="2385"/>
      <c r="C186" s="2385"/>
      <c r="E186" s="2385"/>
      <c r="F186" s="2385"/>
      <c r="G186" s="2386"/>
    </row>
    <row r="187" spans="1:18">
      <c r="A187" s="2360"/>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D1" workbookViewId="0">
      <selection activeCell="G16" sqref="G16"/>
    </sheetView>
  </sheetViews>
  <sheetFormatPr defaultRowHeight="13.5"/>
  <cols>
    <col min="1" max="1" width="23.375" style="1734" customWidth="1"/>
    <col min="2" max="9" width="15.75" style="1734" customWidth="1"/>
    <col min="10" max="16384" width="9" style="1734"/>
  </cols>
  <sheetData>
    <row r="1" spans="1:10" ht="16.5">
      <c r="A1" s="1739" t="s">
        <v>1363</v>
      </c>
      <c r="B1" s="1739">
        <f>SUM(B14:B23)</f>
        <v>52177.779999999992</v>
      </c>
      <c r="C1" s="1738"/>
      <c r="D1" s="1738"/>
      <c r="E1" s="1738"/>
      <c r="F1" s="1738"/>
      <c r="G1" s="1736"/>
    </row>
    <row r="2" spans="1:10" ht="16.5">
      <c r="A2" s="1739" t="s">
        <v>1351</v>
      </c>
      <c r="B2" s="1739">
        <f>SUM(C14:C23)</f>
        <v>8406.27</v>
      </c>
      <c r="C2" s="1738"/>
      <c r="D2" s="1738"/>
      <c r="E2" s="1738"/>
      <c r="F2" s="1738"/>
      <c r="G2" s="1736"/>
    </row>
    <row r="3" spans="1:10" ht="16.5">
      <c r="A3" s="1739" t="s">
        <v>1360</v>
      </c>
      <c r="B3" s="1740">
        <f>项目基本情况!D3</f>
        <v>43165</v>
      </c>
      <c r="C3" s="1738"/>
      <c r="D3" s="1738"/>
      <c r="E3" s="1738"/>
      <c r="F3" s="1738"/>
      <c r="G3" s="1736"/>
    </row>
    <row r="4" spans="1:10" ht="33">
      <c r="A4" s="1739" t="s">
        <v>1359</v>
      </c>
      <c r="B4" s="1739" t="s">
        <v>1358</v>
      </c>
      <c r="C4" s="1739" t="s">
        <v>1357</v>
      </c>
      <c r="D4" s="1739" t="s">
        <v>1356</v>
      </c>
      <c r="E4" s="1738"/>
      <c r="F4" s="1736"/>
      <c r="G4" s="1736"/>
    </row>
    <row r="5" spans="1:10" ht="16.5">
      <c r="A5" s="1739" t="s">
        <v>1355</v>
      </c>
      <c r="B5" s="1739">
        <f ca="1">SUM(D14:D23)</f>
        <v>277640</v>
      </c>
      <c r="C5" s="1739">
        <f ca="1">ROUND(B5*10000/$B$1,0)</f>
        <v>53210</v>
      </c>
      <c r="D5" s="1739">
        <f ca="1">ROUND(B5*10000/$B$2,0)</f>
        <v>330277</v>
      </c>
      <c r="E5" s="1738"/>
      <c r="F5" s="1736"/>
      <c r="G5" s="1736"/>
    </row>
    <row r="6" spans="1:10" ht="16.5">
      <c r="A6" s="1739" t="s">
        <v>1354</v>
      </c>
      <c r="B6" s="1739">
        <f ca="1">SUM(G14:G23)</f>
        <v>277640</v>
      </c>
      <c r="C6" s="1739">
        <f ca="1">ROUND(B6*10000/$B$1,0)</f>
        <v>53210</v>
      </c>
      <c r="D6" s="1739">
        <f ca="1">ROUND(B6*10000/$B$2,0)</f>
        <v>330277</v>
      </c>
      <c r="E6" s="1738"/>
      <c r="F6" s="1736"/>
      <c r="G6" s="1736"/>
    </row>
    <row r="7" spans="1:10" ht="16.5">
      <c r="A7" s="1739" t="s">
        <v>1362</v>
      </c>
      <c r="B7" s="1739">
        <f>SUM(H14:H23)</f>
        <v>0</v>
      </c>
      <c r="C7" s="1739">
        <f>ROUND(B7*10000/$B$1,0)</f>
        <v>0</v>
      </c>
      <c r="D7" s="1739">
        <f>ROUND(B7*10000/$B$2,0)</f>
        <v>0</v>
      </c>
      <c r="E7" s="1738"/>
      <c r="F7" s="1736"/>
      <c r="G7" s="1736"/>
    </row>
    <row r="8" spans="1:10" ht="16.5">
      <c r="A8" s="1739" t="s">
        <v>1283</v>
      </c>
      <c r="B8" s="1739">
        <f>SUM(I14:I23)</f>
        <v>0</v>
      </c>
      <c r="C8" s="1739">
        <f>ROUND(B8*10000/$B$1,0)</f>
        <v>0</v>
      </c>
      <c r="D8" s="1739">
        <f>ROUND(B8*10000/$B$2,0)</f>
        <v>0</v>
      </c>
      <c r="E8" s="1738"/>
      <c r="F8" s="1736"/>
      <c r="G8" s="1736"/>
    </row>
    <row r="9" spans="1:10" ht="16.5">
      <c r="A9" s="1739" t="s">
        <v>1353</v>
      </c>
      <c r="B9" s="1741"/>
      <c r="C9" s="1738"/>
      <c r="D9" s="1738"/>
      <c r="E9" s="1738"/>
      <c r="F9" s="1736"/>
      <c r="G9" s="1736"/>
    </row>
    <row r="10" spans="1:10" ht="16.5">
      <c r="A10" s="1739" t="s">
        <v>1352</v>
      </c>
      <c r="B10" s="1741"/>
      <c r="C10" s="1738"/>
      <c r="D10" s="1738"/>
      <c r="E10" s="1738"/>
      <c r="F10" s="1736"/>
      <c r="G10" s="1736"/>
    </row>
    <row r="11" spans="1:10" ht="16.5">
      <c r="A11" s="1739" t="s">
        <v>1368</v>
      </c>
      <c r="B11" s="1741"/>
      <c r="C11" s="1738"/>
      <c r="D11" s="1738"/>
      <c r="E11" s="1738"/>
      <c r="F11" s="1736"/>
      <c r="G11" s="1736"/>
    </row>
    <row r="12" spans="1:10" ht="16.5">
      <c r="A12" s="1738"/>
      <c r="B12" s="1738"/>
      <c r="C12" s="1738"/>
      <c r="D12" s="1738"/>
      <c r="E12" s="1738"/>
      <c r="F12" s="1736"/>
      <c r="G12" s="1736"/>
    </row>
    <row r="13" spans="1:10" ht="33">
      <c r="A13" s="1744" t="s">
        <v>1367</v>
      </c>
      <c r="B13" s="1737" t="s">
        <v>1364</v>
      </c>
      <c r="C13" s="1737" t="s">
        <v>1366</v>
      </c>
      <c r="D13" s="1737" t="s">
        <v>1365</v>
      </c>
      <c r="E13" s="1739" t="s">
        <v>1357</v>
      </c>
      <c r="F13" s="1739" t="s">
        <v>1356</v>
      </c>
      <c r="G13" s="1737" t="s">
        <v>1350</v>
      </c>
      <c r="H13" s="1737" t="s">
        <v>1361</v>
      </c>
      <c r="I13" s="1737" t="s">
        <v>1349</v>
      </c>
      <c r="J13" s="1736"/>
    </row>
    <row r="14" spans="1:10" ht="16.5">
      <c r="A14" s="1735" t="s">
        <v>1348</v>
      </c>
      <c r="B14" s="1737">
        <f>结果表办!B118</f>
        <v>52177.779999999992</v>
      </c>
      <c r="C14" s="1737">
        <f>结果表办!C118</f>
        <v>8406.27</v>
      </c>
      <c r="D14" s="1737">
        <f ca="1">结果表办!H118</f>
        <v>264998</v>
      </c>
      <c r="E14" s="1737">
        <f ca="1">ROUND(D14*10000/B14,0)</f>
        <v>50788</v>
      </c>
      <c r="F14" s="1737">
        <f ca="1">ROUND(D14*10000/C14,0)</f>
        <v>315239</v>
      </c>
      <c r="G14" s="1737">
        <f ca="1">结果表办!D122</f>
        <v>264998</v>
      </c>
      <c r="H14" s="1737" t="str">
        <f>结果表办!D124</f>
        <v>——</v>
      </c>
      <c r="I14" s="1737" t="str">
        <f>结果表办!D126</f>
        <v>——</v>
      </c>
      <c r="J14" s="1736"/>
    </row>
    <row r="15" spans="1:10" ht="16.5">
      <c r="A15" s="1735" t="s">
        <v>1347</v>
      </c>
      <c r="B15" s="1742"/>
      <c r="C15" s="1742"/>
      <c r="D15" s="1742">
        <f ca="1">结果表车!G19</f>
        <v>12642</v>
      </c>
      <c r="E15" s="1737" t="e">
        <f t="shared" ref="E15:E23" ca="1" si="0">ROUND(D15*10000/B15,0)</f>
        <v>#DIV/0!</v>
      </c>
      <c r="F15" s="1737" t="e">
        <f t="shared" ref="F15:F23" ca="1" si="1">ROUND(D15*10000/C15,0)</f>
        <v>#DIV/0!</v>
      </c>
      <c r="G15" s="1743">
        <f ca="1">D15</f>
        <v>12642</v>
      </c>
      <c r="H15" s="1743"/>
      <c r="I15" s="1742"/>
      <c r="J15" s="1736"/>
    </row>
    <row r="16" spans="1:10" ht="16.5">
      <c r="A16" s="1735" t="s">
        <v>1346</v>
      </c>
      <c r="B16" s="1742"/>
      <c r="C16" s="1742"/>
      <c r="D16" s="1742"/>
      <c r="E16" s="1737" t="e">
        <f t="shared" si="0"/>
        <v>#DIV/0!</v>
      </c>
      <c r="F16" s="1737" t="e">
        <f t="shared" si="1"/>
        <v>#DIV/0!</v>
      </c>
      <c r="G16" s="1743"/>
      <c r="H16" s="1743"/>
      <c r="I16" s="1742"/>
    </row>
    <row r="17" spans="1:9" ht="16.5">
      <c r="A17" s="1735" t="s">
        <v>1345</v>
      </c>
      <c r="B17" s="1742"/>
      <c r="C17" s="1742"/>
      <c r="D17" s="1742"/>
      <c r="E17" s="1737" t="e">
        <f t="shared" si="0"/>
        <v>#DIV/0!</v>
      </c>
      <c r="F17" s="1737" t="e">
        <f t="shared" si="1"/>
        <v>#DIV/0!</v>
      </c>
      <c r="G17" s="1743"/>
      <c r="H17" s="1743"/>
      <c r="I17" s="1742"/>
    </row>
    <row r="18" spans="1:9" ht="16.5">
      <c r="A18" s="1735" t="s">
        <v>1344</v>
      </c>
      <c r="B18" s="1742"/>
      <c r="C18" s="1742"/>
      <c r="D18" s="1742"/>
      <c r="E18" s="1737" t="e">
        <f t="shared" si="0"/>
        <v>#DIV/0!</v>
      </c>
      <c r="F18" s="1737" t="e">
        <f t="shared" si="1"/>
        <v>#DIV/0!</v>
      </c>
      <c r="G18" s="1742"/>
      <c r="H18" s="1742"/>
      <c r="I18" s="1742"/>
    </row>
    <row r="19" spans="1:9" ht="16.5">
      <c r="A19" s="1735" t="s">
        <v>1343</v>
      </c>
      <c r="B19" s="1742"/>
      <c r="C19" s="1742"/>
      <c r="D19" s="1742"/>
      <c r="E19" s="1737" t="e">
        <f t="shared" si="0"/>
        <v>#DIV/0!</v>
      </c>
      <c r="F19" s="1737" t="e">
        <f t="shared" si="1"/>
        <v>#DIV/0!</v>
      </c>
      <c r="G19" s="1742"/>
      <c r="H19" s="1742"/>
      <c r="I19" s="1742"/>
    </row>
    <row r="20" spans="1:9" ht="16.5">
      <c r="A20" s="1735" t="s">
        <v>1342</v>
      </c>
      <c r="B20" s="1742"/>
      <c r="C20" s="1742"/>
      <c r="D20" s="1742"/>
      <c r="E20" s="1737" t="e">
        <f t="shared" si="0"/>
        <v>#DIV/0!</v>
      </c>
      <c r="F20" s="1737" t="e">
        <f t="shared" si="1"/>
        <v>#DIV/0!</v>
      </c>
      <c r="G20" s="1742"/>
      <c r="H20" s="1742"/>
      <c r="I20" s="1742"/>
    </row>
    <row r="21" spans="1:9" ht="16.5">
      <c r="A21" s="1735" t="s">
        <v>1341</v>
      </c>
      <c r="B21" s="1742"/>
      <c r="C21" s="1742"/>
      <c r="D21" s="1742"/>
      <c r="E21" s="1737" t="e">
        <f t="shared" si="0"/>
        <v>#DIV/0!</v>
      </c>
      <c r="F21" s="1737" t="e">
        <f t="shared" si="1"/>
        <v>#DIV/0!</v>
      </c>
      <c r="G21" s="1742"/>
      <c r="H21" s="1742"/>
      <c r="I21" s="1742"/>
    </row>
    <row r="22" spans="1:9" ht="16.5">
      <c r="A22" s="1735" t="s">
        <v>1340</v>
      </c>
      <c r="B22" s="1742"/>
      <c r="C22" s="1742"/>
      <c r="D22" s="1742"/>
      <c r="E22" s="1737" t="e">
        <f t="shared" si="0"/>
        <v>#DIV/0!</v>
      </c>
      <c r="F22" s="1737" t="e">
        <f t="shared" si="1"/>
        <v>#DIV/0!</v>
      </c>
      <c r="G22" s="1742"/>
      <c r="H22" s="1742"/>
      <c r="I22" s="1742"/>
    </row>
    <row r="23" spans="1:9" ht="16.5">
      <c r="A23" s="1735" t="s">
        <v>1339</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I26"/>
  <sheetViews>
    <sheetView workbookViewId="0">
      <selection activeCell="I4" sqref="I4"/>
    </sheetView>
  </sheetViews>
  <sheetFormatPr defaultRowHeight="13.5"/>
  <cols>
    <col min="1" max="1" width="19.125" style="3026" customWidth="1"/>
    <col min="2" max="8" width="9" style="3026"/>
    <col min="9" max="9" width="12.25" style="3026" bestFit="1" customWidth="1"/>
    <col min="10" max="16384" width="9" style="3026"/>
  </cols>
  <sheetData>
    <row r="1" spans="1:35" s="3002" customFormat="1" ht="18.75" customHeight="1">
      <c r="A1" s="3140" t="s">
        <v>3176</v>
      </c>
      <c r="B1" s="3141"/>
      <c r="C1" s="3141"/>
      <c r="D1" s="3141"/>
      <c r="E1" s="3141"/>
      <c r="F1" s="3141"/>
      <c r="G1" s="3141"/>
      <c r="H1" s="3141"/>
      <c r="I1" s="3142"/>
      <c r="J1" s="3000"/>
      <c r="K1" s="3000"/>
      <c r="L1" s="3000"/>
      <c r="M1" s="3000"/>
      <c r="N1" s="3000"/>
      <c r="O1" s="3000"/>
      <c r="P1" s="3000"/>
      <c r="Q1" s="3000"/>
      <c r="R1" s="3000"/>
      <c r="S1" s="3000"/>
      <c r="T1" s="3000"/>
      <c r="U1" s="3000"/>
      <c r="V1" s="3000"/>
      <c r="W1" s="3000"/>
      <c r="X1" s="3000"/>
      <c r="Y1" s="3000"/>
      <c r="Z1" s="3000"/>
      <c r="AA1" s="3001"/>
      <c r="AB1" s="3001"/>
      <c r="AC1" s="3001"/>
      <c r="AD1" s="3001"/>
      <c r="AE1" s="3001"/>
      <c r="AF1" s="3001"/>
      <c r="AG1" s="3001"/>
      <c r="AH1" s="3001"/>
      <c r="AI1" s="3001"/>
    </row>
    <row r="2" spans="1:35" s="3002" customFormat="1" ht="27" customHeight="1">
      <c r="A2" s="3128" t="s">
        <v>3177</v>
      </c>
      <c r="B2" s="3143" t="s">
        <v>3178</v>
      </c>
      <c r="C2" s="3143" t="s">
        <v>3179</v>
      </c>
      <c r="D2" s="3145" t="s">
        <v>3180</v>
      </c>
      <c r="E2" s="3146"/>
      <c r="F2" s="3147" t="s">
        <v>3181</v>
      </c>
      <c r="G2" s="3147"/>
      <c r="H2" s="3128" t="s">
        <v>3182</v>
      </c>
      <c r="I2" s="3128"/>
      <c r="J2" s="3000"/>
      <c r="K2" s="3000"/>
      <c r="L2" s="3000"/>
      <c r="M2" s="3000"/>
      <c r="N2" s="3000"/>
      <c r="O2" s="3000"/>
      <c r="P2" s="3000"/>
      <c r="Q2" s="3000"/>
      <c r="R2" s="3000"/>
      <c r="S2" s="3000"/>
      <c r="T2" s="3000"/>
      <c r="U2" s="3000"/>
      <c r="V2" s="3000"/>
      <c r="W2" s="3000"/>
      <c r="X2" s="3000"/>
      <c r="Y2" s="3000"/>
      <c r="Z2" s="3000"/>
      <c r="AA2" s="3001"/>
      <c r="AB2" s="3001"/>
      <c r="AC2" s="3001"/>
      <c r="AD2" s="3001"/>
      <c r="AE2" s="3001"/>
      <c r="AF2" s="3001"/>
      <c r="AG2" s="3001"/>
      <c r="AH2" s="3001"/>
      <c r="AI2" s="3001"/>
    </row>
    <row r="3" spans="1:35" s="3002" customFormat="1" ht="18.75" customHeight="1">
      <c r="A3" s="3128"/>
      <c r="B3" s="3144"/>
      <c r="C3" s="3144"/>
      <c r="D3" s="3032" t="s">
        <v>3183</v>
      </c>
      <c r="E3" s="3032" t="s">
        <v>3184</v>
      </c>
      <c r="F3" s="3032" t="s">
        <v>3183</v>
      </c>
      <c r="G3" s="3032" t="s">
        <v>3185</v>
      </c>
      <c r="H3" s="3032" t="s">
        <v>3183</v>
      </c>
      <c r="I3" s="3032" t="s">
        <v>3185</v>
      </c>
      <c r="J3" s="3000"/>
      <c r="K3" s="3000"/>
      <c r="L3" s="3000"/>
      <c r="M3" s="3000"/>
      <c r="N3" s="3000"/>
      <c r="O3" s="3000"/>
      <c r="P3" s="3000"/>
      <c r="Q3" s="3000"/>
      <c r="R3" s="3000"/>
      <c r="S3" s="3000"/>
      <c r="T3" s="3000"/>
      <c r="U3" s="3000"/>
      <c r="V3" s="3000"/>
      <c r="W3" s="3000"/>
      <c r="X3" s="3000"/>
      <c r="Y3" s="3000"/>
      <c r="Z3" s="3000"/>
      <c r="AA3" s="3001"/>
      <c r="AB3" s="3001"/>
      <c r="AC3" s="3001"/>
      <c r="AD3" s="3001"/>
      <c r="AE3" s="3001"/>
      <c r="AF3" s="3001"/>
      <c r="AG3" s="3001"/>
      <c r="AH3" s="3001"/>
      <c r="AI3" s="3001"/>
    </row>
    <row r="4" spans="1:35" s="3002" customFormat="1" ht="107.25" customHeight="1">
      <c r="A4" s="3033" t="s">
        <v>3215</v>
      </c>
      <c r="B4" s="3034">
        <f>结果表办!B118</f>
        <v>52177.779999999992</v>
      </c>
      <c r="C4" s="3034">
        <f>结果表办!C118</f>
        <v>8406.27</v>
      </c>
      <c r="D4" s="3034">
        <f ca="1">结果表办!D118+结果表车!D118</f>
        <v>220551</v>
      </c>
      <c r="E4" s="3034">
        <f ca="1">I4-G4</f>
        <v>42269</v>
      </c>
      <c r="F4" s="3034">
        <f ca="1">结果表办!F118+结果表车!F118</f>
        <v>57089</v>
      </c>
      <c r="G4" s="3034">
        <f ca="1">ROUND(F4/B4*10000,0)</f>
        <v>10941</v>
      </c>
      <c r="H4" s="3034">
        <f ca="1">结果表办!H118+结果表车!H118</f>
        <v>277640</v>
      </c>
      <c r="I4" s="3034">
        <f ca="1">ROUND(H4/B4*10000,0)</f>
        <v>53210</v>
      </c>
      <c r="J4" s="3000"/>
      <c r="K4" s="3000"/>
      <c r="L4" s="3000"/>
      <c r="M4" s="3000">
        <v>277640</v>
      </c>
      <c r="N4" s="3000">
        <f ca="1">H4-M4</f>
        <v>0</v>
      </c>
      <c r="O4" s="3000"/>
      <c r="P4" s="3000"/>
      <c r="Q4" s="3000"/>
      <c r="R4" s="3000"/>
      <c r="S4" s="3000"/>
      <c r="T4" s="3000"/>
      <c r="U4" s="3000"/>
      <c r="V4" s="3000"/>
      <c r="W4" s="3000"/>
      <c r="X4" s="3000"/>
      <c r="Y4" s="3000"/>
      <c r="Z4" s="3000"/>
      <c r="AA4" s="3001"/>
      <c r="AB4" s="3001"/>
      <c r="AC4" s="3001"/>
      <c r="AD4" s="3001"/>
      <c r="AE4" s="3001"/>
      <c r="AF4" s="3001"/>
      <c r="AG4" s="3001"/>
      <c r="AH4" s="3001"/>
      <c r="AI4" s="3001"/>
    </row>
    <row r="5" spans="1:35" s="3002" customFormat="1" ht="18.75" customHeight="1">
      <c r="A5" s="3137" t="s">
        <v>3186</v>
      </c>
      <c r="B5" s="3138"/>
      <c r="C5" s="3139"/>
      <c r="D5" s="3129" t="str">
        <f ca="1">IF(H4=0,"零元整",NUMBERSTRING(INT(H4*10000),2)&amp;"元整")</f>
        <v>贰拾柒亿柒仟陆佰肆拾万元整</v>
      </c>
      <c r="E5" s="3130"/>
      <c r="F5" s="3130"/>
      <c r="G5" s="3130"/>
      <c r="H5" s="3130"/>
      <c r="I5" s="3131"/>
      <c r="J5" s="3000"/>
      <c r="K5" s="3000"/>
      <c r="L5" s="3000"/>
      <c r="M5" s="3000" t="s">
        <v>3187</v>
      </c>
      <c r="N5" s="3000"/>
      <c r="O5" s="3000"/>
      <c r="P5" s="3000"/>
      <c r="Q5" s="3000"/>
      <c r="R5" s="3000"/>
      <c r="S5" s="3000"/>
      <c r="T5" s="3000"/>
      <c r="U5" s="3000"/>
      <c r="V5" s="3000"/>
      <c r="W5" s="3000"/>
      <c r="X5" s="3000"/>
      <c r="Y5" s="3000"/>
      <c r="Z5" s="3000"/>
      <c r="AA5" s="3001"/>
      <c r="AB5" s="3001"/>
      <c r="AC5" s="3001"/>
      <c r="AD5" s="3001"/>
      <c r="AE5" s="3001"/>
      <c r="AF5" s="3001"/>
      <c r="AG5" s="3001"/>
      <c r="AH5" s="3001"/>
      <c r="AI5" s="3001"/>
    </row>
    <row r="6" spans="1:35" s="3002" customFormat="1" ht="18.75" hidden="1" customHeight="1">
      <c r="A6" s="3133" t="e">
        <f>MID(#REF!,3,LEN(#REF!)-2)</f>
        <v>#REF!</v>
      </c>
      <c r="B6" s="3133"/>
      <c r="C6" s="3133"/>
      <c r="D6" s="3134" t="e">
        <f>#REF!</f>
        <v>#REF!</v>
      </c>
      <c r="E6" s="3135"/>
      <c r="F6" s="3135"/>
      <c r="G6" s="3135"/>
      <c r="H6" s="3135"/>
      <c r="I6" s="3136"/>
      <c r="J6" s="3000"/>
      <c r="K6" s="3000"/>
      <c r="L6" s="3000"/>
      <c r="M6" s="3000"/>
      <c r="N6" s="3000"/>
      <c r="O6" s="3000"/>
      <c r="P6" s="3000"/>
      <c r="Q6" s="3000"/>
      <c r="R6" s="3000"/>
      <c r="S6" s="3000"/>
      <c r="T6" s="3000"/>
      <c r="U6" s="3000"/>
      <c r="V6" s="3000"/>
      <c r="W6" s="3000"/>
      <c r="X6" s="3000"/>
      <c r="Y6" s="3000"/>
      <c r="Z6" s="3000"/>
      <c r="AA6" s="3001"/>
      <c r="AB6" s="3001"/>
      <c r="AC6" s="3001"/>
      <c r="AD6" s="3001"/>
      <c r="AE6" s="3001"/>
      <c r="AF6" s="3001"/>
      <c r="AG6" s="3001"/>
      <c r="AH6" s="3001"/>
      <c r="AI6" s="3001"/>
    </row>
    <row r="7" spans="1:35" s="3002" customFormat="1" ht="18.75" hidden="1" customHeight="1">
      <c r="A7" s="3128" t="s">
        <v>3186</v>
      </c>
      <c r="B7" s="3128"/>
      <c r="C7" s="3128"/>
      <c r="D7" s="3129" t="e">
        <f>NUMBERSTRING(INT(D6*10000),2)&amp;"元整"</f>
        <v>#REF!</v>
      </c>
      <c r="E7" s="3130"/>
      <c r="F7" s="3130"/>
      <c r="G7" s="3130"/>
      <c r="H7" s="3130"/>
      <c r="I7" s="3131"/>
      <c r="J7" s="3000"/>
      <c r="K7" s="3000"/>
      <c r="L7" s="3000"/>
      <c r="M7" s="3000"/>
      <c r="N7" s="3000"/>
      <c r="O7" s="3000"/>
      <c r="P7" s="3000"/>
      <c r="Q7" s="3000"/>
      <c r="R7" s="3000"/>
      <c r="S7" s="3000"/>
      <c r="T7" s="3000"/>
      <c r="U7" s="3000"/>
      <c r="V7" s="3000"/>
      <c r="W7" s="3000"/>
      <c r="X7" s="3000"/>
      <c r="Y7" s="3000"/>
      <c r="Z7" s="3000"/>
      <c r="AA7" s="3001"/>
      <c r="AB7" s="3001"/>
      <c r="AC7" s="3001"/>
      <c r="AD7" s="3001"/>
      <c r="AE7" s="3001"/>
      <c r="AF7" s="3001"/>
      <c r="AG7" s="3001"/>
      <c r="AH7" s="3001"/>
      <c r="AI7" s="3001"/>
    </row>
    <row r="8" spans="1:35" s="3002" customFormat="1" ht="18.75" hidden="1" customHeight="1">
      <c r="A8" s="3133" t="e">
        <f>MID(#REF!,3,LEN(#REF!)-2)</f>
        <v>#REF!</v>
      </c>
      <c r="B8" s="3133"/>
      <c r="C8" s="3133"/>
      <c r="D8" s="3134" t="e">
        <f>#REF!</f>
        <v>#REF!</v>
      </c>
      <c r="E8" s="3135"/>
      <c r="F8" s="3135"/>
      <c r="G8" s="3135"/>
      <c r="H8" s="3135"/>
      <c r="I8" s="3136"/>
      <c r="J8" s="3000"/>
      <c r="K8" s="3000"/>
      <c r="L8" s="3000"/>
      <c r="M8" s="3000"/>
      <c r="N8" s="3000"/>
      <c r="O8" s="3000"/>
      <c r="P8" s="3000"/>
      <c r="Q8" s="3000"/>
      <c r="R8" s="3000"/>
      <c r="S8" s="3000"/>
      <c r="T8" s="3000"/>
      <c r="U8" s="3000"/>
      <c r="V8" s="3000"/>
      <c r="W8" s="3000"/>
      <c r="X8" s="3000"/>
      <c r="Y8" s="3000"/>
      <c r="Z8" s="3000"/>
      <c r="AA8" s="3001"/>
      <c r="AB8" s="3001"/>
      <c r="AC8" s="3001"/>
      <c r="AD8" s="3001"/>
      <c r="AE8" s="3001"/>
      <c r="AF8" s="3001"/>
      <c r="AG8" s="3001"/>
      <c r="AH8" s="3001"/>
      <c r="AI8" s="3001"/>
    </row>
    <row r="9" spans="1:35" s="3002" customFormat="1" ht="18.75" hidden="1" customHeight="1">
      <c r="A9" s="3128" t="s">
        <v>3186</v>
      </c>
      <c r="B9" s="3128"/>
      <c r="C9" s="3128"/>
      <c r="D9" s="3129" t="e">
        <f>NUMBERSTRING(INT(D8*10000),2)&amp;"元整"</f>
        <v>#REF!</v>
      </c>
      <c r="E9" s="3130"/>
      <c r="F9" s="3130"/>
      <c r="G9" s="3130"/>
      <c r="H9" s="3130"/>
      <c r="I9" s="3131"/>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row>
    <row r="10" spans="1:35" s="3002" customFormat="1" ht="18.75" hidden="1" customHeight="1">
      <c r="A10" s="3133" t="e">
        <f>MID(#REF!,3,LEN(#REF!)-2)</f>
        <v>#REF!</v>
      </c>
      <c r="B10" s="3133"/>
      <c r="C10" s="3133"/>
      <c r="D10" s="3134" t="e">
        <f>#REF!</f>
        <v>#REF!</v>
      </c>
      <c r="E10" s="3135"/>
      <c r="F10" s="3135"/>
      <c r="G10" s="3135"/>
      <c r="H10" s="3135"/>
      <c r="I10" s="3136"/>
      <c r="J10" s="3000"/>
      <c r="K10" s="3000"/>
      <c r="L10" s="3000"/>
      <c r="M10" s="3000"/>
      <c r="N10" s="3000"/>
      <c r="O10" s="3000"/>
      <c r="P10" s="3000"/>
      <c r="Q10" s="3000"/>
      <c r="R10" s="3000"/>
      <c r="S10" s="3000"/>
      <c r="T10" s="3000"/>
      <c r="U10" s="3000"/>
      <c r="V10" s="3000"/>
      <c r="W10" s="3000"/>
      <c r="X10" s="3000"/>
      <c r="Y10" s="3000"/>
      <c r="Z10" s="3000"/>
      <c r="AA10" s="3001"/>
      <c r="AB10" s="3001"/>
      <c r="AC10" s="3001"/>
      <c r="AD10" s="3001"/>
      <c r="AE10" s="3001"/>
      <c r="AF10" s="3001"/>
      <c r="AG10" s="3001"/>
      <c r="AH10" s="3001"/>
      <c r="AI10" s="3001"/>
    </row>
    <row r="11" spans="1:35" s="3002" customFormat="1" ht="18.75" hidden="1" customHeight="1">
      <c r="A11" s="3128" t="s">
        <v>3186</v>
      </c>
      <c r="B11" s="3128"/>
      <c r="C11" s="3128"/>
      <c r="D11" s="3129" t="e">
        <f>NUMBERSTRING(INT(D10*10000),2)&amp;"元整"</f>
        <v>#REF!</v>
      </c>
      <c r="E11" s="3130"/>
      <c r="F11" s="3130"/>
      <c r="G11" s="3130"/>
      <c r="H11" s="3130"/>
      <c r="I11" s="3131"/>
      <c r="J11" s="3000"/>
      <c r="K11" s="3000"/>
      <c r="L11" s="3000"/>
      <c r="M11" s="3000"/>
      <c r="N11" s="3000"/>
      <c r="O11" s="3000"/>
      <c r="P11" s="3000"/>
      <c r="Q11" s="3000"/>
      <c r="R11" s="3000"/>
      <c r="S11" s="3000"/>
      <c r="T11" s="3000"/>
      <c r="U11" s="3000"/>
      <c r="V11" s="3000"/>
      <c r="W11" s="3000"/>
      <c r="X11" s="3000"/>
      <c r="Y11" s="3000"/>
      <c r="Z11" s="3000"/>
      <c r="AA11" s="3001"/>
      <c r="AB11" s="3001"/>
      <c r="AC11" s="3001"/>
      <c r="AD11" s="3001"/>
      <c r="AE11" s="3001"/>
      <c r="AF11" s="3001"/>
      <c r="AG11" s="3001"/>
      <c r="AH11" s="3001"/>
      <c r="AI11" s="3001"/>
    </row>
    <row r="12" spans="1:35" s="3002" customFormat="1" ht="21.75" customHeight="1">
      <c r="A12" s="3132" t="s">
        <v>3188</v>
      </c>
      <c r="B12" s="3132"/>
      <c r="C12" s="3132"/>
      <c r="D12" s="3132"/>
      <c r="E12" s="3132"/>
      <c r="F12" s="3132"/>
      <c r="G12" s="3132"/>
      <c r="H12" s="3132"/>
      <c r="I12" s="3132"/>
      <c r="J12" s="3000"/>
      <c r="K12" s="3000"/>
      <c r="L12" s="3000"/>
      <c r="M12" s="3000"/>
      <c r="N12" s="3000"/>
      <c r="O12" s="3000"/>
      <c r="P12" s="3000"/>
      <c r="Q12" s="3000"/>
      <c r="R12" s="3000"/>
      <c r="S12" s="3000"/>
      <c r="T12" s="3000"/>
      <c r="U12" s="3000"/>
      <c r="V12" s="3000"/>
      <c r="W12" s="3000"/>
      <c r="X12" s="3000"/>
      <c r="Y12" s="3000"/>
      <c r="Z12" s="3000"/>
      <c r="AA12" s="3001"/>
      <c r="AB12" s="3001"/>
      <c r="AC12" s="3001"/>
      <c r="AD12" s="3001"/>
      <c r="AE12" s="3001"/>
      <c r="AF12" s="3001"/>
      <c r="AG12" s="3001"/>
      <c r="AH12" s="3001"/>
      <c r="AI12" s="3001"/>
    </row>
    <row r="13" spans="1:35" s="3002" customFormat="1" ht="21.75" customHeight="1">
      <c r="A13" s="3003" t="s">
        <v>3189</v>
      </c>
      <c r="B13" s="3004"/>
      <c r="C13" s="3005" t="s">
        <v>3053</v>
      </c>
      <c r="D13" s="3006"/>
      <c r="E13" s="3006"/>
      <c r="F13" s="3006"/>
      <c r="G13" s="3006"/>
      <c r="H13" s="3007"/>
      <c r="I13" s="3008"/>
      <c r="J13" s="3000"/>
      <c r="K13" s="3000"/>
      <c r="L13" s="3000"/>
      <c r="M13" s="3000"/>
      <c r="N13" s="3000"/>
      <c r="O13" s="3000"/>
      <c r="P13" s="3000"/>
      <c r="Q13" s="3000"/>
      <c r="R13" s="3000"/>
      <c r="S13" s="3000"/>
      <c r="T13" s="3000"/>
      <c r="U13" s="3000"/>
      <c r="V13" s="3000"/>
      <c r="W13" s="3000"/>
      <c r="X13" s="3000"/>
      <c r="Y13" s="3000"/>
      <c r="Z13" s="3000"/>
      <c r="AA13" s="3001"/>
      <c r="AB13" s="3001"/>
      <c r="AC13" s="3001"/>
      <c r="AD13" s="3001"/>
      <c r="AE13" s="3001"/>
      <c r="AF13" s="3001"/>
      <c r="AG13" s="3001"/>
      <c r="AH13" s="3001"/>
      <c r="AI13" s="3001"/>
    </row>
    <row r="14" spans="1:35" s="3002" customFormat="1" ht="21.75" customHeight="1">
      <c r="A14" s="3009">
        <v>1</v>
      </c>
      <c r="B14" s="3010"/>
      <c r="C14" s="3010"/>
      <c r="D14" s="3011"/>
      <c r="E14" s="3011"/>
      <c r="F14" s="3011"/>
      <c r="G14" s="3011"/>
      <c r="H14" s="3012"/>
      <c r="I14" s="3013"/>
      <c r="J14" s="3000"/>
      <c r="K14" s="3000" t="s">
        <v>3190</v>
      </c>
      <c r="L14" s="3000"/>
      <c r="M14" s="3000"/>
      <c r="N14" s="3000"/>
      <c r="O14" s="3000"/>
      <c r="P14" s="3000"/>
      <c r="Q14" s="3000"/>
      <c r="R14" s="3000"/>
      <c r="S14" s="3000"/>
      <c r="T14" s="3000"/>
      <c r="U14" s="3000"/>
      <c r="V14" s="3000"/>
      <c r="W14" s="3000"/>
      <c r="X14" s="3000"/>
      <c r="Y14" s="3000"/>
      <c r="Z14" s="3000"/>
      <c r="AA14" s="3001"/>
      <c r="AB14" s="3001"/>
      <c r="AC14" s="3001"/>
      <c r="AD14" s="3001"/>
      <c r="AE14" s="3001"/>
      <c r="AF14" s="3001"/>
      <c r="AG14" s="3001"/>
      <c r="AH14" s="3001"/>
      <c r="AI14" s="3001"/>
    </row>
    <row r="15" spans="1:35" s="3002" customFormat="1" ht="21.75" customHeight="1">
      <c r="A15" s="3009">
        <v>2</v>
      </c>
      <c r="B15" s="3010"/>
      <c r="C15" s="3010"/>
      <c r="D15" s="3011"/>
      <c r="E15" s="3011"/>
      <c r="F15" s="3011"/>
      <c r="G15" s="3011"/>
      <c r="H15" s="3012"/>
      <c r="I15" s="3013"/>
      <c r="J15" s="3000"/>
      <c r="K15" s="3000"/>
      <c r="L15" s="3000"/>
      <c r="M15" s="3000"/>
      <c r="N15" s="3000"/>
      <c r="O15" s="3000"/>
      <c r="P15" s="3000"/>
      <c r="Q15" s="3000"/>
      <c r="R15" s="3000"/>
      <c r="S15" s="3000"/>
      <c r="T15" s="3000"/>
      <c r="U15" s="3000"/>
      <c r="V15" s="3000"/>
      <c r="W15" s="3000"/>
      <c r="X15" s="3000"/>
      <c r="Y15" s="3000"/>
      <c r="Z15" s="3000"/>
      <c r="AA15" s="3001"/>
      <c r="AB15" s="3001"/>
      <c r="AC15" s="3001"/>
      <c r="AD15" s="3001"/>
      <c r="AE15" s="3001"/>
      <c r="AF15" s="3001"/>
      <c r="AG15" s="3001"/>
      <c r="AH15" s="3001"/>
      <c r="AI15" s="3001"/>
    </row>
    <row r="16" spans="1:35" s="3002" customFormat="1" ht="21.75" customHeight="1">
      <c r="A16" s="3009">
        <v>3</v>
      </c>
      <c r="B16" s="3010"/>
      <c r="C16" s="3010"/>
      <c r="D16" s="3011"/>
      <c r="E16" s="3011"/>
      <c r="F16" s="3011"/>
      <c r="G16" s="3011"/>
      <c r="H16" s="3012"/>
      <c r="I16" s="3013"/>
      <c r="J16" s="3000"/>
      <c r="K16" s="3000" t="s">
        <v>3191</v>
      </c>
      <c r="L16" s="3000"/>
      <c r="M16" s="3000"/>
      <c r="N16" s="3000"/>
      <c r="O16" s="3000"/>
      <c r="P16" s="3000"/>
      <c r="Q16" s="3000"/>
      <c r="R16" s="3000"/>
      <c r="S16" s="3000"/>
      <c r="T16" s="3000"/>
      <c r="U16" s="3000"/>
      <c r="V16" s="3000"/>
      <c r="W16" s="3000"/>
      <c r="X16" s="3000"/>
      <c r="Y16" s="3000"/>
      <c r="Z16" s="3000"/>
      <c r="AA16" s="3001"/>
      <c r="AB16" s="3001"/>
      <c r="AC16" s="3001"/>
      <c r="AD16" s="3001"/>
      <c r="AE16" s="3001"/>
      <c r="AF16" s="3001"/>
      <c r="AG16" s="3001"/>
      <c r="AH16" s="3001"/>
      <c r="AI16" s="3001"/>
    </row>
    <row r="17" spans="1:35" s="3002" customFormat="1" ht="21.75" customHeight="1">
      <c r="A17" s="3014"/>
      <c r="B17" s="3015"/>
      <c r="C17" s="3015"/>
      <c r="D17" s="3016"/>
      <c r="E17" s="3016"/>
      <c r="F17" s="3016"/>
      <c r="G17" s="3016"/>
      <c r="H17" s="3017"/>
      <c r="I17" s="3018"/>
      <c r="J17" s="3000"/>
      <c r="K17" s="3000"/>
      <c r="L17" s="3000"/>
      <c r="M17" s="3000"/>
      <c r="N17" s="3000"/>
      <c r="O17" s="3000"/>
      <c r="P17" s="3000"/>
      <c r="Q17" s="3000"/>
      <c r="R17" s="3000"/>
      <c r="S17" s="3000"/>
      <c r="T17" s="3000"/>
      <c r="U17" s="3000"/>
      <c r="V17" s="3000"/>
      <c r="W17" s="3000"/>
      <c r="X17" s="3000"/>
      <c r="Y17" s="3000"/>
      <c r="Z17" s="3000"/>
      <c r="AA17" s="3001"/>
      <c r="AB17" s="3001"/>
      <c r="AC17" s="3001"/>
      <c r="AD17" s="3001"/>
      <c r="AE17" s="3001"/>
      <c r="AF17" s="3001"/>
      <c r="AG17" s="3001"/>
      <c r="AH17" s="3001"/>
      <c r="AI17" s="3001"/>
    </row>
    <row r="18" spans="1:35" s="3002" customFormat="1" ht="21.75" customHeight="1">
      <c r="A18" s="3010"/>
      <c r="B18" s="3010"/>
      <c r="C18" s="3010"/>
      <c r="D18" s="3011"/>
      <c r="E18" s="3011"/>
      <c r="F18" s="3011"/>
      <c r="G18" s="3011"/>
      <c r="H18" s="3012"/>
      <c r="I18" s="3000"/>
      <c r="J18" s="3000"/>
      <c r="K18" s="3000"/>
      <c r="L18" s="3000"/>
      <c r="M18" s="3000"/>
      <c r="N18" s="3000"/>
      <c r="O18" s="3000"/>
      <c r="P18" s="3000"/>
      <c r="Q18" s="3000"/>
      <c r="R18" s="3000"/>
      <c r="S18" s="3000"/>
      <c r="T18" s="3000"/>
      <c r="U18" s="3000"/>
      <c r="V18" s="3000"/>
      <c r="W18" s="3000"/>
      <c r="X18" s="3000"/>
      <c r="Y18" s="3000"/>
      <c r="Z18" s="3000"/>
      <c r="AA18" s="3001"/>
      <c r="AB18" s="3001"/>
      <c r="AC18" s="3001"/>
      <c r="AD18" s="3001"/>
      <c r="AE18" s="3001"/>
      <c r="AF18" s="3001"/>
      <c r="AG18" s="3001"/>
      <c r="AH18" s="3001"/>
      <c r="AI18" s="3001"/>
    </row>
    <row r="19" spans="1:35" s="3002" customFormat="1" ht="21.75" customHeight="1">
      <c r="A19" s="3000"/>
      <c r="B19" s="3000"/>
      <c r="C19" s="3000"/>
      <c r="D19" s="3000"/>
      <c r="E19" s="3000"/>
      <c r="F19" s="3019" t="s">
        <v>3192</v>
      </c>
      <c r="G19" s="3020"/>
      <c r="H19" s="3020"/>
      <c r="I19" s="3021" t="s">
        <v>3193</v>
      </c>
      <c r="J19" s="3000"/>
      <c r="K19" s="3000"/>
      <c r="L19" s="3000"/>
      <c r="M19" s="3000"/>
      <c r="N19" s="3000"/>
      <c r="O19" s="3000"/>
      <c r="P19" s="3000"/>
      <c r="Q19" s="3000"/>
      <c r="R19" s="3000"/>
      <c r="S19" s="3000"/>
      <c r="T19" s="3000"/>
      <c r="U19" s="3000"/>
      <c r="V19" s="3000"/>
      <c r="W19" s="3000"/>
      <c r="X19" s="3000"/>
      <c r="Y19" s="3000"/>
      <c r="Z19" s="3000"/>
      <c r="AA19" s="3001"/>
      <c r="AB19" s="3001"/>
      <c r="AC19" s="3001"/>
      <c r="AD19" s="3001"/>
      <c r="AE19" s="3001"/>
      <c r="AF19" s="3001"/>
      <c r="AG19" s="3001"/>
      <c r="AH19" s="3001"/>
      <c r="AI19" s="3001"/>
    </row>
    <row r="20" spans="1:35" s="3002" customFormat="1" ht="21.75" customHeight="1">
      <c r="A20" s="3000"/>
      <c r="B20" s="3022" t="s">
        <v>3194</v>
      </c>
      <c r="C20" s="3000"/>
      <c r="D20" s="3000"/>
      <c r="E20" s="3000"/>
      <c r="F20" s="3000"/>
      <c r="G20" s="3000"/>
      <c r="H20" s="3000"/>
      <c r="I20" s="3000"/>
      <c r="J20" s="3000"/>
      <c r="K20" s="3000"/>
      <c r="L20" s="3000"/>
      <c r="M20" s="3000"/>
      <c r="N20" s="3000"/>
      <c r="O20" s="3000"/>
      <c r="P20" s="3000"/>
      <c r="Q20" s="3000"/>
      <c r="R20" s="3000"/>
      <c r="S20" s="3000"/>
      <c r="T20" s="3000"/>
      <c r="U20" s="3000"/>
      <c r="V20" s="3000"/>
      <c r="W20" s="3000"/>
      <c r="X20" s="3000"/>
      <c r="Y20" s="3000"/>
      <c r="Z20" s="3000"/>
      <c r="AA20" s="3001"/>
      <c r="AB20" s="3001"/>
      <c r="AC20" s="3001"/>
      <c r="AD20" s="3001"/>
      <c r="AE20" s="3001"/>
      <c r="AF20" s="3001"/>
      <c r="AG20" s="3001"/>
      <c r="AH20" s="3001"/>
      <c r="AI20" s="3001"/>
    </row>
    <row r="21" spans="1:35" s="3002" customFormat="1" ht="21.75" customHeight="1">
      <c r="A21" s="3000"/>
      <c r="B21" s="3000"/>
      <c r="C21" s="3000"/>
      <c r="D21" s="3000"/>
      <c r="E21" s="3000"/>
      <c r="F21" s="3000"/>
      <c r="G21" s="3000"/>
      <c r="H21" s="3000"/>
      <c r="I21" s="3000"/>
      <c r="J21" s="3000"/>
      <c r="K21" s="3000"/>
      <c r="L21" s="3000"/>
      <c r="M21" s="3000"/>
      <c r="N21" s="3000"/>
      <c r="O21" s="3000"/>
      <c r="P21" s="3000"/>
      <c r="Q21" s="3000"/>
      <c r="R21" s="3000"/>
      <c r="S21" s="3000"/>
      <c r="T21" s="3000"/>
      <c r="U21" s="3000"/>
      <c r="V21" s="3000"/>
      <c r="W21" s="3000"/>
      <c r="X21" s="3000"/>
      <c r="Y21" s="3000"/>
      <c r="Z21" s="3000"/>
      <c r="AA21" s="3001"/>
      <c r="AB21" s="3001"/>
      <c r="AC21" s="3001"/>
      <c r="AD21" s="3001"/>
      <c r="AE21" s="3001"/>
      <c r="AF21" s="3001"/>
      <c r="AG21" s="3001"/>
      <c r="AH21" s="3001"/>
      <c r="AI21" s="3001"/>
    </row>
    <row r="22" spans="1:35" s="3002" customFormat="1" ht="21.75" customHeight="1">
      <c r="A22" s="3000"/>
      <c r="B22" s="3020"/>
      <c r="C22" s="3020"/>
      <c r="D22" s="3020"/>
      <c r="E22" s="3020"/>
      <c r="F22" s="3020"/>
      <c r="G22" s="3020"/>
      <c r="H22" s="3020"/>
      <c r="I22" s="3021" t="s">
        <v>3195</v>
      </c>
      <c r="J22" s="3000"/>
      <c r="K22" s="3000"/>
      <c r="L22" s="3000"/>
      <c r="M22" s="3000"/>
      <c r="N22" s="3000"/>
      <c r="O22" s="3000"/>
      <c r="P22" s="3000"/>
      <c r="Q22" s="3000"/>
      <c r="R22" s="3000"/>
      <c r="S22" s="3000"/>
      <c r="T22" s="3000"/>
      <c r="U22" s="3000"/>
      <c r="V22" s="3000"/>
      <c r="W22" s="3000"/>
      <c r="X22" s="3000"/>
      <c r="Y22" s="3000"/>
      <c r="Z22" s="3000"/>
      <c r="AA22" s="3001"/>
      <c r="AB22" s="3001"/>
      <c r="AC22" s="3001"/>
      <c r="AD22" s="3001"/>
      <c r="AE22" s="3001"/>
      <c r="AF22" s="3001"/>
      <c r="AG22" s="3001"/>
      <c r="AH22" s="3001"/>
      <c r="AI22" s="3001"/>
    </row>
    <row r="23" spans="1:35" s="3002" customFormat="1" ht="21.75" customHeight="1">
      <c r="A23" s="3000"/>
      <c r="B23" s="3022" t="s">
        <v>3196</v>
      </c>
      <c r="C23" s="3000"/>
      <c r="D23" s="3000"/>
      <c r="E23" s="3000"/>
      <c r="F23" s="3000"/>
      <c r="G23" s="3000"/>
      <c r="H23" s="3000"/>
      <c r="I23" s="3000"/>
      <c r="J23" s="3000"/>
      <c r="K23" s="3000"/>
      <c r="L23" s="3000"/>
      <c r="M23" s="3000"/>
      <c r="N23" s="3000"/>
      <c r="O23" s="3000"/>
      <c r="P23" s="3000"/>
      <c r="Q23" s="3000"/>
      <c r="R23" s="3000"/>
      <c r="S23" s="3000"/>
      <c r="T23" s="3000"/>
      <c r="U23" s="3000"/>
      <c r="V23" s="3000"/>
      <c r="W23" s="3000"/>
      <c r="X23" s="3000"/>
      <c r="Y23" s="3000"/>
      <c r="Z23" s="3000"/>
      <c r="AA23" s="3001"/>
      <c r="AB23" s="3001"/>
      <c r="AC23" s="3001"/>
      <c r="AD23" s="3001"/>
      <c r="AE23" s="3001"/>
      <c r="AF23" s="3001"/>
      <c r="AG23" s="3001"/>
      <c r="AH23" s="3001"/>
      <c r="AI23" s="3001"/>
    </row>
    <row r="24" spans="1:35" s="3002" customFormat="1" ht="21.75" customHeight="1">
      <c r="A24" s="3000"/>
      <c r="B24" s="3022"/>
      <c r="C24" s="3000"/>
      <c r="D24" s="3000"/>
      <c r="E24" s="3000"/>
      <c r="F24" s="3000"/>
      <c r="G24" s="3000"/>
      <c r="H24" s="3000"/>
      <c r="I24" s="3000"/>
      <c r="J24" s="3000"/>
      <c r="K24" s="3000"/>
      <c r="L24" s="3000"/>
      <c r="M24" s="3000"/>
      <c r="N24" s="3000"/>
      <c r="O24" s="3000"/>
      <c r="P24" s="3000"/>
      <c r="Q24" s="3000"/>
      <c r="R24" s="3000"/>
      <c r="S24" s="3000"/>
      <c r="T24" s="3000"/>
      <c r="U24" s="3000"/>
      <c r="V24" s="3000"/>
      <c r="W24" s="3000"/>
      <c r="X24" s="3000"/>
      <c r="Y24" s="3000"/>
      <c r="Z24" s="3000"/>
      <c r="AA24" s="3001"/>
      <c r="AB24" s="3001"/>
      <c r="AC24" s="3001"/>
      <c r="AD24" s="3001"/>
      <c r="AE24" s="3001"/>
      <c r="AF24" s="3001"/>
      <c r="AG24" s="3001"/>
      <c r="AH24" s="3001"/>
      <c r="AI24" s="3001"/>
    </row>
    <row r="25" spans="1:35" s="3002" customFormat="1" ht="21.75" customHeight="1">
      <c r="A25" s="3000"/>
      <c r="B25" s="3020"/>
      <c r="C25" s="3020"/>
      <c r="D25" s="3020"/>
      <c r="E25" s="3020"/>
      <c r="F25" s="3020"/>
      <c r="G25" s="3020"/>
      <c r="H25" s="3020"/>
      <c r="I25" s="3021" t="s">
        <v>3195</v>
      </c>
      <c r="J25" s="3000"/>
      <c r="K25" s="3000"/>
      <c r="L25" s="3000"/>
      <c r="M25" s="3000"/>
      <c r="N25" s="3000"/>
      <c r="O25" s="3000"/>
      <c r="P25" s="3000"/>
      <c r="Q25" s="3000"/>
      <c r="R25" s="3000"/>
      <c r="S25" s="3000"/>
      <c r="T25" s="3000"/>
      <c r="U25" s="3000"/>
      <c r="V25" s="3000"/>
      <c r="W25" s="3000"/>
      <c r="X25" s="3000"/>
      <c r="Y25" s="3000"/>
      <c r="Z25" s="3000"/>
      <c r="AA25" s="3001"/>
      <c r="AB25" s="3001"/>
      <c r="AC25" s="3001"/>
      <c r="AD25" s="3001"/>
      <c r="AE25" s="3001"/>
      <c r="AF25" s="3001"/>
      <c r="AG25" s="3001"/>
      <c r="AH25" s="3001"/>
      <c r="AI25" s="3001"/>
    </row>
    <row r="26" spans="1:35" s="3002" customFormat="1" ht="21.75" customHeight="1">
      <c r="A26" s="3000"/>
      <c r="B26" s="3022"/>
      <c r="C26" s="3023"/>
      <c r="D26" s="3024"/>
      <c r="E26" s="3024"/>
      <c r="F26" s="3025"/>
      <c r="G26" s="3000"/>
      <c r="H26" s="3000"/>
      <c r="I26" s="3000"/>
      <c r="J26" s="3000"/>
      <c r="K26" s="3000"/>
      <c r="L26" s="3000"/>
      <c r="M26" s="3000"/>
      <c r="N26" s="3000"/>
      <c r="O26" s="3000"/>
      <c r="P26" s="3000"/>
      <c r="Q26" s="3000"/>
      <c r="R26" s="3000"/>
      <c r="S26" s="3000"/>
      <c r="T26" s="3000"/>
      <c r="U26" s="3000"/>
      <c r="V26" s="3000"/>
      <c r="W26" s="3000"/>
      <c r="X26" s="3000"/>
      <c r="Y26" s="3000"/>
      <c r="Z26" s="3000"/>
      <c r="AA26" s="3001"/>
      <c r="AB26" s="3001"/>
      <c r="AC26" s="3001"/>
      <c r="AD26" s="3001"/>
      <c r="AE26" s="3001"/>
      <c r="AF26" s="3001"/>
      <c r="AG26" s="3001"/>
      <c r="AH26" s="3001"/>
      <c r="AI26" s="3001"/>
    </row>
  </sheetData>
  <mergeCells count="22">
    <mergeCell ref="A1:I1"/>
    <mergeCell ref="A2:A3"/>
    <mergeCell ref="B2:B3"/>
    <mergeCell ref="C2:C3"/>
    <mergeCell ref="D2:E2"/>
    <mergeCell ref="F2:G2"/>
    <mergeCell ref="H2:I2"/>
    <mergeCell ref="A5:C5"/>
    <mergeCell ref="D5:I5"/>
    <mergeCell ref="A6:C6"/>
    <mergeCell ref="D6:I6"/>
    <mergeCell ref="A7:C7"/>
    <mergeCell ref="D7:I7"/>
    <mergeCell ref="A11:C11"/>
    <mergeCell ref="D11:I11"/>
    <mergeCell ref="A12:I12"/>
    <mergeCell ref="A8:C8"/>
    <mergeCell ref="D8:I8"/>
    <mergeCell ref="A9:C9"/>
    <mergeCell ref="D9:I9"/>
    <mergeCell ref="A10:C10"/>
    <mergeCell ref="D10:I10"/>
  </mergeCells>
  <phoneticPr fontId="143" type="noConversion"/>
  <dataValidations count="5">
    <dataValidation type="list" allowBlank="1" showInputMessage="1" showErrorMessage="1" sqref="B2:B3">
      <formula1>"建筑面积,规划建筑面积,（规划）建筑面积"</formula1>
    </dataValidation>
    <dataValidation type="list" allowBlank="1" showInputMessage="1" showErrorMessage="1" sqref="C2:C3">
      <formula1>"土地面积,分摊土地面积,（分摊）土地面积"</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F2:G2">
      <formula1>"建筑物价值,在建建筑物价值,建筑物/在建建筑物价值"</formula1>
    </dataValidation>
    <dataValidation type="list" allowBlank="1" showInputMessage="1" showErrorMessage="1" sqref="C13">
      <formula1>"无,有"</formula1>
    </dataValidation>
  </dataValidations>
  <pageMargins left="0.7" right="0.7" top="0.75" bottom="0.75" header="0.3" footer="0.3"/>
  <pageSetup paperSize="9" scale="94"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14"/>
    <col min="3" max="4" width="12.625" style="2414" customWidth="1"/>
    <col min="5" max="9" width="12.625" style="2414"/>
    <col min="10" max="11" width="12.625" style="793" customWidth="1"/>
    <col min="12" max="12" width="12.625" style="793"/>
    <col min="13" max="13" width="14.125" style="793" bestFit="1" customWidth="1"/>
    <col min="14" max="26" width="12.625" style="793"/>
    <col min="27" max="35" width="12.625" style="2413"/>
    <col min="36" max="16384" width="12.625" style="2414"/>
  </cols>
  <sheetData>
    <row r="1" spans="1:12" ht="21.75" customHeight="1" thickBot="1">
      <c r="A1" s="2219" t="s">
        <v>2109</v>
      </c>
      <c r="B1" s="2408"/>
      <c r="C1" s="2409"/>
      <c r="D1" s="2408"/>
      <c r="E1" s="2408"/>
      <c r="F1" s="2410" t="s">
        <v>2110</v>
      </c>
      <c r="G1" s="2065" t="s">
        <v>2111</v>
      </c>
      <c r="H1" s="2411" t="str">
        <f>IF(G1="现房","——","估价对象范围")</f>
        <v>估价对象范围</v>
      </c>
      <c r="I1" s="2412"/>
    </row>
    <row r="2" spans="1:12" ht="21.75" customHeight="1" thickBot="1">
      <c r="A2" s="3220" t="str">
        <f>项目基本情况!S2</f>
        <v>北京市东城区东直门南大街甲3号办公楼、车库用房房地产出让国有建设用地使用权及在建建筑物房地产</v>
      </c>
      <c r="B2" s="3221"/>
      <c r="C2" s="3221"/>
      <c r="D2" s="3221"/>
      <c r="E2" s="3221"/>
      <c r="F2" s="3221"/>
      <c r="G2" s="3221"/>
      <c r="H2" s="3221"/>
      <c r="I2" s="3222"/>
    </row>
    <row r="3" spans="1:12" ht="12.75">
      <c r="A3" s="3223" t="s">
        <v>2112</v>
      </c>
      <c r="B3" s="3224"/>
      <c r="C3" s="3224"/>
      <c r="D3" s="3224"/>
      <c r="E3" s="3224"/>
      <c r="F3" s="3224"/>
      <c r="G3" s="3224"/>
      <c r="H3" s="3224"/>
      <c r="I3" s="3224"/>
    </row>
    <row r="4" spans="1:12" ht="14.25">
      <c r="A4" s="2415" t="s">
        <v>2113</v>
      </c>
      <c r="B4" s="2416" t="s">
        <v>2114</v>
      </c>
      <c r="C4" s="2417" t="s">
        <v>3174</v>
      </c>
      <c r="D4" s="2417" t="s">
        <v>3085</v>
      </c>
      <c r="E4" s="3204" t="s">
        <v>2115</v>
      </c>
      <c r="F4" s="3217"/>
      <c r="G4" s="3217"/>
      <c r="H4" s="3217"/>
      <c r="I4" s="3205"/>
      <c r="K4" s="2418" t="str">
        <f>IF(ISNUMBER(FIND("比较法",结果表办!C4)),"比较法",IF(ISNUMBER(FIND("成本法",结果表办!C4)),"成本法",IF(ISNUMBER(FIND("假设开发法",结果表办!C4)),"假设开发法",IF(ISNUMBER(FIND("收益法",结果表办!C4)),"收益法","基准地价系数修正法"))))</f>
        <v>基准地价系数修正法</v>
      </c>
      <c r="L4" s="2418"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195" t="s">
        <v>2116</v>
      </c>
      <c r="B5" s="3101">
        <v>25</v>
      </c>
      <c r="C5" s="3225"/>
      <c r="D5" s="3213"/>
      <c r="E5" s="139" t="s">
        <v>2117</v>
      </c>
      <c r="F5" s="2419"/>
      <c r="G5" s="2419"/>
      <c r="H5" s="2419"/>
      <c r="I5" s="1827"/>
    </row>
    <row r="6" spans="1:12" ht="12.75">
      <c r="A6" s="3195"/>
      <c r="B6" s="3101"/>
      <c r="C6" s="3227"/>
      <c r="D6" s="3213"/>
      <c r="E6" s="139" t="s">
        <v>2118</v>
      </c>
      <c r="F6" s="2419"/>
      <c r="G6" s="2419"/>
      <c r="H6" s="2419"/>
      <c r="I6" s="1827"/>
    </row>
    <row r="7" spans="1:12" ht="12.75">
      <c r="A7" s="3195"/>
      <c r="B7" s="3101"/>
      <c r="C7" s="3226"/>
      <c r="D7" s="3213"/>
      <c r="E7" s="139" t="s">
        <v>2119</v>
      </c>
      <c r="F7" s="2419"/>
      <c r="G7" s="2419"/>
      <c r="H7" s="2419"/>
      <c r="I7" s="1827"/>
    </row>
    <row r="8" spans="1:12" ht="12.75">
      <c r="A8" s="3195" t="s">
        <v>2120</v>
      </c>
      <c r="B8" s="3101">
        <v>15</v>
      </c>
      <c r="C8" s="3225"/>
      <c r="D8" s="3213"/>
      <c r="E8" s="139" t="s">
        <v>2121</v>
      </c>
      <c r="F8" s="2419"/>
      <c r="G8" s="2419"/>
      <c r="H8" s="2419"/>
      <c r="I8" s="1827"/>
    </row>
    <row r="9" spans="1:12" ht="12.75">
      <c r="A9" s="3195"/>
      <c r="B9" s="3101"/>
      <c r="C9" s="3226"/>
      <c r="D9" s="3213"/>
      <c r="E9" s="139" t="s">
        <v>2122</v>
      </c>
      <c r="F9" s="2419"/>
      <c r="G9" s="2419"/>
      <c r="H9" s="2419"/>
      <c r="I9" s="1827"/>
    </row>
    <row r="10" spans="1:12" ht="12.75">
      <c r="A10" s="3195" t="s">
        <v>2123</v>
      </c>
      <c r="B10" s="3101">
        <v>15</v>
      </c>
      <c r="C10" s="3225"/>
      <c r="D10" s="3213"/>
      <c r="E10" s="139" t="s">
        <v>2124</v>
      </c>
      <c r="F10" s="2419"/>
      <c r="G10" s="2419"/>
      <c r="H10" s="2419"/>
      <c r="I10" s="1827"/>
    </row>
    <row r="11" spans="1:12" ht="12.75">
      <c r="A11" s="3195"/>
      <c r="B11" s="3101"/>
      <c r="C11" s="3226"/>
      <c r="D11" s="3213"/>
      <c r="E11" s="139" t="s">
        <v>2125</v>
      </c>
      <c r="F11" s="2419"/>
      <c r="G11" s="2419"/>
      <c r="H11" s="2419"/>
      <c r="I11" s="1827"/>
    </row>
    <row r="12" spans="1:12" ht="12.75">
      <c r="A12" s="3195" t="s">
        <v>2126</v>
      </c>
      <c r="B12" s="3101">
        <v>15</v>
      </c>
      <c r="C12" s="3225"/>
      <c r="D12" s="3213"/>
      <c r="E12" s="139" t="s">
        <v>2127</v>
      </c>
      <c r="F12" s="2419"/>
      <c r="G12" s="2419"/>
      <c r="H12" s="2419"/>
      <c r="I12" s="1827"/>
    </row>
    <row r="13" spans="1:12" ht="12.75">
      <c r="A13" s="3195"/>
      <c r="B13" s="3101"/>
      <c r="C13" s="3226"/>
      <c r="D13" s="3213"/>
      <c r="E13" s="139" t="s">
        <v>2128</v>
      </c>
      <c r="F13" s="2419"/>
      <c r="G13" s="2419"/>
      <c r="H13" s="2419"/>
      <c r="I13" s="1827"/>
    </row>
    <row r="14" spans="1:12" ht="12.75">
      <c r="A14" s="3195" t="s">
        <v>2129</v>
      </c>
      <c r="B14" s="3101">
        <v>30</v>
      </c>
      <c r="C14" s="3225">
        <v>5</v>
      </c>
      <c r="D14" s="3213">
        <v>5</v>
      </c>
      <c r="E14" s="139" t="s">
        <v>2130</v>
      </c>
      <c r="F14" s="2419"/>
      <c r="G14" s="2419"/>
      <c r="H14" s="2419"/>
      <c r="I14" s="1827"/>
    </row>
    <row r="15" spans="1:12" ht="12.75">
      <c r="A15" s="3195"/>
      <c r="B15" s="3101"/>
      <c r="C15" s="3227"/>
      <c r="D15" s="3213"/>
      <c r="E15" s="139" t="s">
        <v>2131</v>
      </c>
      <c r="F15" s="2419"/>
      <c r="G15" s="2419"/>
      <c r="H15" s="2419"/>
      <c r="I15" s="1827"/>
    </row>
    <row r="16" spans="1:12" ht="12.75">
      <c r="A16" s="3195"/>
      <c r="B16" s="3101"/>
      <c r="C16" s="3226"/>
      <c r="D16" s="3213"/>
      <c r="E16" s="139" t="s">
        <v>2132</v>
      </c>
      <c r="F16" s="2419"/>
      <c r="G16" s="2419"/>
      <c r="H16" s="2419"/>
      <c r="I16" s="1827"/>
    </row>
    <row r="17" spans="1:35" ht="15">
      <c r="A17" s="2420" t="s">
        <v>2133</v>
      </c>
      <c r="B17" s="63"/>
      <c r="C17" s="140">
        <f>SUM(C5:C16)</f>
        <v>5</v>
      </c>
      <c r="D17" s="140">
        <f>SUM(D5:D16)</f>
        <v>5</v>
      </c>
      <c r="E17" s="137"/>
      <c r="F17" s="137"/>
      <c r="G17" s="137"/>
      <c r="H17" s="137"/>
      <c r="I17" s="137"/>
      <c r="K17" s="2418"/>
      <c r="L17" s="2421" t="s">
        <v>2134</v>
      </c>
      <c r="M17" s="2421" t="s">
        <v>2135</v>
      </c>
    </row>
    <row r="18" spans="1:35" ht="15.75" thickBot="1">
      <c r="A18" s="2422" t="s">
        <v>2136</v>
      </c>
      <c r="B18" s="2423"/>
      <c r="C18" s="141">
        <f>ROUND(C17/SUM(C17:D17),2)</f>
        <v>0.5</v>
      </c>
      <c r="D18" s="141">
        <f>1-C18</f>
        <v>0.5</v>
      </c>
      <c r="E18" s="137"/>
      <c r="F18" s="137"/>
      <c r="G18" s="137"/>
      <c r="H18" s="137"/>
      <c r="I18" s="137"/>
      <c r="K18" s="2418" t="s">
        <v>2137</v>
      </c>
      <c r="L18" s="2418">
        <f>IF(C1="",'数据-汇总表'!E3,SUMIF(项目类型,C1,'数据-汇总表'!E17:E26)+SUMIF(项目类型,C1,'数据-汇总表'!I17:I26))</f>
        <v>52177.779999999992</v>
      </c>
      <c r="M18" s="2418">
        <f>IF(C1="",'数据-汇总表'!E3,SUMIF(项目类型,C1,'数据-汇总表'!E17:E26))</f>
        <v>52177.779999999992</v>
      </c>
    </row>
    <row r="19" spans="1:35" ht="15">
      <c r="A19" s="2424" t="s">
        <v>2138</v>
      </c>
      <c r="B19" s="2425" t="s">
        <v>2139</v>
      </c>
      <c r="C19" s="142">
        <f ca="1">SUMIF(INDIRECT("'"&amp;C4&amp;"'"&amp;"!A:A"),结果表办!B19,INDIRECT("'"&amp;C4&amp;"'"&amp;"!B:B"))</f>
        <v>252461</v>
      </c>
      <c r="D19" s="143">
        <f ca="1">SUMIF(INDIRECT("'"&amp;D4&amp;"'"&amp;"!A:A"),结果表办!B19,INDIRECT("'"&amp;D4&amp;"'"&amp;"!B:B"))</f>
        <v>277535</v>
      </c>
      <c r="E19" s="2424" t="s">
        <v>2140</v>
      </c>
      <c r="F19" s="2425" t="s">
        <v>2139</v>
      </c>
      <c r="G19" s="144">
        <f ca="1">ROUND(C19*$C$18+D19*$D$18,0)</f>
        <v>264998</v>
      </c>
      <c r="H19" s="2426" t="s">
        <v>2141</v>
      </c>
      <c r="I19" s="137"/>
      <c r="K19" s="2418" t="s">
        <v>2142</v>
      </c>
      <c r="L19" s="2418">
        <f>IF(C1="",'数据-汇总表'!D3,SUMIF(项目类型,C1,'数据-汇总表'!D17:D26)+SUMIF(项目类型,C1,'数据-汇总表'!H17:H27))</f>
        <v>8406.27</v>
      </c>
      <c r="M19" s="2418">
        <f>IF(C1="",'数据-汇总表'!D3,SUMIF(项目类型,C1,'数据-汇总表'!D17:D26))</f>
        <v>8406.27</v>
      </c>
    </row>
    <row r="20" spans="1:35" ht="15">
      <c r="A20" s="2427"/>
      <c r="B20" s="1243" t="s">
        <v>2143</v>
      </c>
      <c r="C20" s="145">
        <f ca="1">SUMIF(INDIRECT("'"&amp;C4&amp;"'"&amp;"!A:A"),结果表办!B20,INDIRECT("'"&amp;C4&amp;"'"&amp;"!B:B"))</f>
        <v>61906</v>
      </c>
      <c r="D20" s="146">
        <f ca="1">SUMIF(INDIRECT("'"&amp;D4&amp;"'"&amp;"!A:A"),结果表办!B20,INDIRECT("'"&amp;D4&amp;"'"&amp;"!B:B"))</f>
        <v>63241</v>
      </c>
      <c r="E20" s="2427"/>
      <c r="F20" s="1243" t="s">
        <v>2143</v>
      </c>
      <c r="G20" s="3031">
        <f ca="1">J21*10000</f>
        <v>60384.160089870536</v>
      </c>
      <c r="H20" s="976" t="s">
        <v>2144</v>
      </c>
      <c r="I20" s="137"/>
    </row>
    <row r="21" spans="1:35" ht="15" customHeight="1" thickBot="1">
      <c r="A21" s="996"/>
      <c r="B21" s="2428" t="s">
        <v>2145</v>
      </c>
      <c r="C21" s="787">
        <f ca="1">ROUND(C19*10000/L19,0)</f>
        <v>300325</v>
      </c>
      <c r="D21" s="788">
        <f ca="1">ROUND(D19*10000/L19,0)</f>
        <v>330152</v>
      </c>
      <c r="E21" s="996"/>
      <c r="F21" s="2428" t="s">
        <v>2145</v>
      </c>
      <c r="G21" s="148">
        <f ca="1">ROUND(G19*10000/L19,0)</f>
        <v>315239</v>
      </c>
      <c r="H21" s="2429" t="s">
        <v>2144</v>
      </c>
      <c r="I21" s="137"/>
      <c r="J21" s="793">
        <f ca="1">G19/('数据-取费表'!K6+'数据-取费表'!K8+'数据-取费表'!S6+'数据-取费表'!S8)</f>
        <v>6.0384160089870536</v>
      </c>
    </row>
    <row r="22" spans="1:35" ht="15" thickBot="1">
      <c r="A22" s="2274" t="s">
        <v>2146</v>
      </c>
      <c r="B22" s="2430"/>
      <c r="C22" s="2431"/>
      <c r="D22" s="789">
        <f ca="1">IF(C19&lt;D19,D19/C19-1,C19/D19-1)</f>
        <v>9.9318310550936539E-2</v>
      </c>
      <c r="E22" s="137"/>
      <c r="F22" s="137"/>
      <c r="G22" s="137"/>
      <c r="H22" s="137"/>
      <c r="I22" s="137"/>
    </row>
    <row r="23" spans="1:35" ht="13.5" thickBot="1">
      <c r="A23" s="2408"/>
      <c r="B23" s="2408"/>
      <c r="C23" s="2408"/>
      <c r="D23" s="2408"/>
      <c r="E23" s="137"/>
      <c r="F23" s="137"/>
      <c r="G23" s="137"/>
      <c r="H23" s="137"/>
      <c r="I23" s="137"/>
      <c r="J23" s="793">
        <v>264998</v>
      </c>
    </row>
    <row r="24" spans="1:35" ht="14.25">
      <c r="A24" s="3234" t="s">
        <v>2147</v>
      </c>
      <c r="B24" s="2425" t="s">
        <v>2139</v>
      </c>
      <c r="C24" s="144">
        <f>IF(B30=0,0,D30)</f>
        <v>0</v>
      </c>
      <c r="D24" s="2432"/>
      <c r="E24" s="137"/>
      <c r="F24" s="137"/>
      <c r="G24" s="137"/>
      <c r="H24" s="137"/>
      <c r="I24" s="137"/>
    </row>
    <row r="25" spans="1:35" ht="14.25">
      <c r="A25" s="3235"/>
      <c r="B25" s="1243" t="s">
        <v>2143</v>
      </c>
      <c r="C25" s="149">
        <f>IF(B30=0,0,C30)</f>
        <v>0</v>
      </c>
      <c r="D25" s="2433"/>
      <c r="E25" s="137"/>
      <c r="F25" s="137"/>
      <c r="G25" s="137"/>
      <c r="H25" s="137"/>
      <c r="I25" s="137"/>
    </row>
    <row r="26" spans="1:35" ht="13.5" customHeight="1">
      <c r="A26" s="2434" t="s">
        <v>2148</v>
      </c>
      <c r="B26" s="150" t="s">
        <v>2149</v>
      </c>
      <c r="C26" s="150" t="s">
        <v>2150</v>
      </c>
      <c r="D26" s="151" t="s">
        <v>2151</v>
      </c>
      <c r="E26" s="137"/>
      <c r="F26" s="137"/>
      <c r="G26" s="137"/>
      <c r="H26" s="137"/>
      <c r="I26" s="137"/>
    </row>
    <row r="27" spans="1:35" ht="14.25">
      <c r="A27" s="2434"/>
      <c r="B27" s="150">
        <v>0</v>
      </c>
      <c r="C27" s="150">
        <v>0</v>
      </c>
      <c r="D27" s="151">
        <f>ROUND(C27*B27/10000,0)</f>
        <v>0</v>
      </c>
      <c r="E27" s="137"/>
      <c r="F27" s="137"/>
      <c r="G27" s="137"/>
      <c r="H27" s="137"/>
      <c r="I27" s="137"/>
    </row>
    <row r="28" spans="1:35" ht="14.25">
      <c r="A28" s="2434"/>
      <c r="B28" s="150"/>
      <c r="C28" s="150"/>
      <c r="D28" s="151"/>
      <c r="E28" s="137"/>
      <c r="F28" s="137"/>
      <c r="G28" s="137"/>
      <c r="H28" s="137"/>
      <c r="I28" s="137"/>
    </row>
    <row r="29" spans="1:35" ht="14.25">
      <c r="A29" s="2434"/>
      <c r="B29" s="150"/>
      <c r="C29" s="150"/>
      <c r="D29" s="151"/>
      <c r="E29" s="137"/>
      <c r="F29" s="137"/>
      <c r="G29" s="137"/>
      <c r="H29" s="137"/>
      <c r="I29" s="137"/>
    </row>
    <row r="30" spans="1:35" ht="14.25">
      <c r="A30" s="150" t="s">
        <v>2152</v>
      </c>
      <c r="B30" s="150"/>
      <c r="C30" s="150"/>
      <c r="D30" s="150"/>
      <c r="E30" s="2913" t="s">
        <v>3033</v>
      </c>
      <c r="F30" s="137"/>
      <c r="G30" s="137"/>
      <c r="H30" s="137"/>
      <c r="I30" s="137"/>
    </row>
    <row r="31" spans="1:35" s="2436" customFormat="1" ht="15" thickBot="1">
      <c r="A31" s="2435"/>
      <c r="B31" s="2435"/>
      <c r="C31" s="2435"/>
      <c r="D31" s="2435"/>
      <c r="E31" s="137"/>
      <c r="F31" s="137"/>
      <c r="G31" s="137"/>
      <c r="H31" s="137"/>
      <c r="I31" s="137"/>
      <c r="J31" s="793"/>
      <c r="K31" s="793"/>
      <c r="L31" s="793"/>
      <c r="M31" s="793"/>
      <c r="N31" s="793"/>
      <c r="O31" s="793"/>
      <c r="P31" s="793"/>
      <c r="Q31" s="793"/>
      <c r="R31" s="793"/>
      <c r="S31" s="793"/>
      <c r="T31" s="793"/>
      <c r="U31" s="793"/>
      <c r="V31" s="793"/>
      <c r="W31" s="793"/>
      <c r="X31" s="793"/>
      <c r="Y31" s="793"/>
      <c r="Z31" s="793"/>
      <c r="AA31" s="2413"/>
      <c r="AB31" s="2413"/>
      <c r="AC31" s="2413"/>
      <c r="AD31" s="2413"/>
      <c r="AE31" s="2413"/>
      <c r="AF31" s="2413"/>
      <c r="AG31" s="2413"/>
      <c r="AH31" s="2413"/>
      <c r="AI31" s="2413"/>
    </row>
    <row r="32" spans="1:35" ht="15.75" thickBot="1">
      <c r="A32" s="2437" t="s">
        <v>2153</v>
      </c>
      <c r="B32" s="2438"/>
      <c r="C32" s="152">
        <f ca="1">IF(D32="总价",G19-C24,G20-C25)</f>
        <v>264998</v>
      </c>
      <c r="D32" s="2439" t="s">
        <v>2154</v>
      </c>
      <c r="E32" s="137"/>
      <c r="F32" s="137"/>
      <c r="G32" s="137"/>
      <c r="H32" s="137"/>
      <c r="I32" s="137"/>
    </row>
    <row r="33" spans="1:15" ht="15">
      <c r="A33" s="953" t="s">
        <v>2155</v>
      </c>
      <c r="B33" s="2440"/>
      <c r="C33" s="2441" t="s">
        <v>3197</v>
      </c>
      <c r="D33" s="2442" t="s">
        <v>3083</v>
      </c>
      <c r="E33" s="2443" t="s">
        <v>2156</v>
      </c>
      <c r="F33" s="2444" t="str">
        <f>IF(D32="楼面单价","取值（单价）","取值（总价）")</f>
        <v>取值（总价）</v>
      </c>
      <c r="G33" s="137"/>
      <c r="H33" s="137"/>
      <c r="I33" s="137"/>
    </row>
    <row r="34" spans="1:15" ht="15">
      <c r="A34" s="2445"/>
      <c r="B34" s="2446" t="s">
        <v>2157</v>
      </c>
      <c r="C34" s="156">
        <f ca="1">IF(C33="自定义",F34,C32-C35)</f>
        <v>215178</v>
      </c>
      <c r="D34" s="1051">
        <f ca="1">IF(C33="自定义",ROUND(C34/C32,3),IF(C33="收益比率",SUMIF(INDIRECT("'"&amp;D33&amp;"'"&amp;"!b:b"),"土地收益比率",INDIRECT("'"&amp;D33&amp;"'"&amp;"!c:c")),SUMIF(INDIRECT("'"&amp;D33&amp;"'"&amp;"!b:b"),"土地成本比率",INDIRECT("'"&amp;D33&amp;"'"&amp;"!c:c"))))</f>
        <v>0.81200000000000006</v>
      </c>
      <c r="E34" s="2447" t="s">
        <v>2158</v>
      </c>
      <c r="F34" s="1732"/>
      <c r="G34" s="137"/>
      <c r="H34" s="137"/>
      <c r="I34" s="137"/>
    </row>
    <row r="35" spans="1:15" ht="15.75" thickBot="1">
      <c r="A35" s="2448"/>
      <c r="B35" s="2449" t="s">
        <v>2159</v>
      </c>
      <c r="C35" s="1437">
        <f ca="1">IF(C33="自定义",F35,ROUND(C32*D35,0))</f>
        <v>49820</v>
      </c>
      <c r="D35" s="1438">
        <f ca="1">IF(C33="自定义",ROUND(C35/C32,3),IF(C33="收益比率",SUMIF(INDIRECT("'"&amp;D33&amp;"'"&amp;"!b:b"),"建筑物收益比率",INDIRECT("'"&amp;D33&amp;"'"&amp;"!c:c")),SUMIF(INDIRECT("'"&amp;D33&amp;"'"&amp;"!b:b"),"建筑物成本比率",INDIRECT("'"&amp;D33&amp;"'"&amp;"!c:c"))))</f>
        <v>0.188</v>
      </c>
      <c r="E35" s="2450" t="s">
        <v>2160</v>
      </c>
      <c r="F35" s="162"/>
      <c r="G35" s="137"/>
      <c r="H35" s="137"/>
      <c r="I35" s="137"/>
    </row>
    <row r="36" spans="1:15" ht="15.75" thickBot="1">
      <c r="A36" s="3214" t="s">
        <v>2161</v>
      </c>
      <c r="B36" s="2451" t="s">
        <v>2162</v>
      </c>
      <c r="C36" s="153"/>
      <c r="D36" s="2452"/>
      <c r="E36" s="2453"/>
      <c r="F36" s="2454"/>
      <c r="G36" s="137"/>
      <c r="H36" s="137"/>
      <c r="I36" s="137"/>
    </row>
    <row r="37" spans="1:15" ht="15.75" thickBot="1">
      <c r="A37" s="3215"/>
      <c r="B37" s="2260" t="s">
        <v>2163</v>
      </c>
      <c r="C37" s="155"/>
      <c r="D37" s="1388"/>
      <c r="E37" s="1388"/>
      <c r="F37" s="2454"/>
      <c r="G37" s="137"/>
      <c r="H37" s="137"/>
      <c r="I37" s="137"/>
    </row>
    <row r="38" spans="1:15" ht="15.75" thickBot="1">
      <c r="A38" s="3216"/>
      <c r="B38" s="2455" t="s">
        <v>2164</v>
      </c>
      <c r="C38" s="725"/>
      <c r="D38" s="2456" t="s">
        <v>2165</v>
      </c>
      <c r="E38" s="1388"/>
      <c r="F38" s="2454"/>
      <c r="G38" s="137"/>
      <c r="H38" s="137"/>
      <c r="I38" s="137"/>
    </row>
    <row r="39" spans="1:15" ht="15">
      <c r="A39" s="2427" t="s">
        <v>2166</v>
      </c>
      <c r="B39" s="2457" t="s">
        <v>2167</v>
      </c>
      <c r="C39" s="2458" t="s">
        <v>2168</v>
      </c>
      <c r="D39" s="2458" t="s">
        <v>2169</v>
      </c>
      <c r="E39" s="2459" t="s">
        <v>2170</v>
      </c>
      <c r="F39" s="2454"/>
      <c r="G39" s="137"/>
      <c r="H39" s="137"/>
      <c r="I39" s="137"/>
    </row>
    <row r="40" spans="1:15" ht="14.25">
      <c r="A40" s="2460" t="s">
        <v>2171</v>
      </c>
      <c r="B40" s="157"/>
      <c r="C40" s="158"/>
      <c r="D40" s="158"/>
      <c r="E40" s="159"/>
      <c r="F40" s="2454"/>
      <c r="G40" s="137"/>
      <c r="H40" s="137"/>
      <c r="I40" s="137"/>
    </row>
    <row r="41" spans="1:15" ht="14.25">
      <c r="A41" s="2460" t="s">
        <v>2172</v>
      </c>
      <c r="B41" s="157"/>
      <c r="C41" s="158"/>
      <c r="D41" s="158"/>
      <c r="E41" s="159"/>
      <c r="F41" s="2454"/>
      <c r="G41" s="137"/>
      <c r="H41" s="137"/>
      <c r="I41" s="137"/>
    </row>
    <row r="42" spans="1:15" ht="15" thickBot="1">
      <c r="A42" s="2461"/>
      <c r="B42" s="160"/>
      <c r="C42" s="161"/>
      <c r="D42" s="161"/>
      <c r="E42" s="162"/>
      <c r="F42" s="2454"/>
      <c r="G42" s="137"/>
      <c r="H42" s="137"/>
      <c r="I42" s="137"/>
    </row>
    <row r="43" spans="1:15" ht="12.75">
      <c r="A43" s="2160"/>
      <c r="B43" s="2160"/>
      <c r="C43" s="2160"/>
      <c r="D43" s="2160"/>
      <c r="E43" s="2160"/>
      <c r="F43" s="2462"/>
      <c r="G43" s="2462"/>
      <c r="H43" s="2462"/>
      <c r="I43" s="2463"/>
    </row>
    <row r="44" spans="1:15" ht="18.75">
      <c r="A44" s="2464" t="s">
        <v>2173</v>
      </c>
      <c r="B44" s="2465"/>
      <c r="C44" s="2465"/>
      <c r="D44" s="2466"/>
      <c r="E44" s="2466"/>
      <c r="F44" s="2467"/>
      <c r="G44" s="2467"/>
      <c r="H44" s="2467"/>
      <c r="I44" s="2467"/>
      <c r="J44" s="2468" t="s">
        <v>2174</v>
      </c>
      <c r="K44" s="2469"/>
      <c r="L44" s="2469"/>
      <c r="M44" s="2469"/>
      <c r="N44" s="2469"/>
      <c r="O44" s="2469"/>
    </row>
    <row r="45" spans="1:15" ht="14.25" customHeight="1" thickBot="1">
      <c r="A45" s="3231" t="s">
        <v>2175</v>
      </c>
      <c r="B45" s="3232"/>
      <c r="C45" s="3233"/>
      <c r="D45" s="163">
        <f ca="1">ROUND(H101*F45,0)</f>
        <v>264998</v>
      </c>
      <c r="E45" s="164" t="s">
        <v>2176</v>
      </c>
      <c r="F45" s="165">
        <v>1</v>
      </c>
      <c r="G45" s="166" t="s">
        <v>2177</v>
      </c>
      <c r="H45" s="137"/>
      <c r="I45" s="137"/>
      <c r="J45" s="3150" t="s">
        <v>2178</v>
      </c>
      <c r="K45" s="3150"/>
      <c r="L45" s="3150"/>
      <c r="M45" s="3150"/>
      <c r="N45" s="3150"/>
      <c r="O45" s="3150"/>
    </row>
    <row r="46" spans="1:15" ht="14.25" customHeight="1">
      <c r="A46" s="3228" t="s">
        <v>2179</v>
      </c>
      <c r="B46" s="3229"/>
      <c r="C46" s="3229"/>
      <c r="D46" s="3229"/>
      <c r="E46" s="3229"/>
      <c r="F46" s="3229"/>
      <c r="G46" s="3230"/>
      <c r="H46" s="2470"/>
      <c r="I46" s="167"/>
      <c r="J46" s="1805">
        <v>1</v>
      </c>
      <c r="K46" s="3150" t="s">
        <v>2180</v>
      </c>
      <c r="L46" s="3150"/>
      <c r="M46" s="3151"/>
      <c r="N46" s="3151"/>
      <c r="O46" s="3151"/>
    </row>
    <row r="47" spans="1:15" ht="12" customHeight="1">
      <c r="A47" s="168" t="s">
        <v>2181</v>
      </c>
      <c r="B47" s="169"/>
      <c r="C47" s="170"/>
      <c r="D47" s="171" t="s">
        <v>2182</v>
      </c>
      <c r="E47" s="24" t="s">
        <v>2183</v>
      </c>
      <c r="F47" s="172" t="s">
        <v>2184</v>
      </c>
      <c r="G47" s="173" t="s">
        <v>2185</v>
      </c>
      <c r="H47" s="2470"/>
      <c r="I47" s="167"/>
      <c r="J47" s="1805">
        <v>2</v>
      </c>
      <c r="K47" s="3150" t="s">
        <v>2186</v>
      </c>
      <c r="L47" s="3150"/>
      <c r="M47" s="3152">
        <f>'数据-取费表'!B2</f>
        <v>43165</v>
      </c>
      <c r="N47" s="3152"/>
      <c r="O47" s="3152"/>
    </row>
    <row r="48" spans="1:15" ht="25.5">
      <c r="A48" s="3218" t="s">
        <v>2187</v>
      </c>
      <c r="B48" s="3219"/>
      <c r="C48" s="3219"/>
      <c r="D48" s="139">
        <f>IF(H48="情况1",0,IF(H48="情况2",D52,IF(H48="情况3",D53,IF(H48="情况4",D54))))</f>
        <v>0</v>
      </c>
      <c r="E48" s="1794" t="str">
        <f>IF(H48="情况4","(销售额-原购置价)×税（费）率","销售额×税（费）率")</f>
        <v>销售额×税（费）率</v>
      </c>
      <c r="F48" s="174" t="str">
        <f>IF(H48="情况1","免征",'数据-取费表'!B41)</f>
        <v>免征</v>
      </c>
      <c r="G48" s="2471" t="s">
        <v>2188</v>
      </c>
      <c r="H48" s="2472" t="s">
        <v>2189</v>
      </c>
      <c r="I48" s="2470"/>
      <c r="J48" s="1805">
        <v>3</v>
      </c>
      <c r="K48" s="3150" t="s">
        <v>2190</v>
      </c>
      <c r="L48" s="3150"/>
      <c r="M48" s="3153">
        <f ca="1">H101</f>
        <v>264998</v>
      </c>
      <c r="N48" s="3153"/>
      <c r="O48" s="3153"/>
    </row>
    <row r="49" spans="1:35" ht="25.5" customHeight="1">
      <c r="A49" s="175" t="s">
        <v>2191</v>
      </c>
      <c r="B49" s="3198" t="s">
        <v>2192</v>
      </c>
      <c r="C49" s="3198"/>
      <c r="D49" s="176">
        <v>0</v>
      </c>
      <c r="E49" s="23" t="s">
        <v>2193</v>
      </c>
      <c r="F49" s="28" t="s">
        <v>34</v>
      </c>
      <c r="G49" s="3179"/>
      <c r="H49" s="137"/>
      <c r="I49" s="2473"/>
      <c r="J49" s="1805">
        <v>4</v>
      </c>
      <c r="K49" s="3150" t="str">
        <f>IF(项目基本情况!E8="房地产抵押价值","房地产抵押价值","抵押担保权已注销时的房地产抵押价值")</f>
        <v>房地产抵押价值</v>
      </c>
      <c r="L49" s="3150"/>
      <c r="M49" s="3153">
        <f ca="1">IF(项目基本情况!E8="房地产抵押价值",H107,H109)</f>
        <v>264998</v>
      </c>
      <c r="N49" s="3153"/>
      <c r="O49" s="3153"/>
    </row>
    <row r="50" spans="1:35" ht="25.5" customHeight="1">
      <c r="A50" s="177"/>
      <c r="B50" s="3198" t="s">
        <v>2194</v>
      </c>
      <c r="C50" s="3198"/>
      <c r="D50" s="178"/>
      <c r="E50" s="31"/>
      <c r="F50" s="179"/>
      <c r="G50" s="3180"/>
      <c r="H50" s="137"/>
      <c r="I50" s="2473"/>
      <c r="J50" s="3150" t="s">
        <v>2195</v>
      </c>
      <c r="K50" s="3150"/>
      <c r="L50" s="3150"/>
      <c r="M50" s="3150"/>
      <c r="N50" s="3150"/>
      <c r="O50" s="3150"/>
    </row>
    <row r="51" spans="1:35" ht="12" customHeight="1">
      <c r="A51" s="180"/>
      <c r="B51" s="3198" t="s">
        <v>2196</v>
      </c>
      <c r="C51" s="3198"/>
      <c r="D51" s="181"/>
      <c r="E51" s="30"/>
      <c r="F51" s="179"/>
      <c r="G51" s="3181"/>
      <c r="H51" s="137"/>
      <c r="I51" s="2473"/>
      <c r="J51" s="2474" t="s">
        <v>2197</v>
      </c>
      <c r="K51" s="3150" t="s">
        <v>2198</v>
      </c>
      <c r="L51" s="3150"/>
      <c r="M51" s="2474" t="s">
        <v>2199</v>
      </c>
      <c r="N51" s="2474" t="s">
        <v>2200</v>
      </c>
      <c r="O51" s="2474" t="s">
        <v>2201</v>
      </c>
    </row>
    <row r="52" spans="1:35" ht="24" customHeight="1">
      <c r="A52" s="182" t="s">
        <v>2202</v>
      </c>
      <c r="B52" s="3198" t="s">
        <v>2203</v>
      </c>
      <c r="C52" s="3198"/>
      <c r="D52" s="181">
        <f ca="1">ROUND(D45*'数据-取费表'!B41/(1+'数据-取费表'!C42),0)</f>
        <v>14133</v>
      </c>
      <c r="E52" s="11" t="s">
        <v>2204</v>
      </c>
      <c r="F52" s="183">
        <f>'数据-取费表'!B41</f>
        <v>5.6000000000000001E-2</v>
      </c>
      <c r="G52" s="2475"/>
      <c r="H52" s="137"/>
      <c r="I52" s="2473"/>
      <c r="J52" s="1805">
        <v>1</v>
      </c>
      <c r="K52" s="3173" t="s">
        <v>2205</v>
      </c>
      <c r="L52" s="3173"/>
      <c r="M52" s="1747">
        <f>D48</f>
        <v>0</v>
      </c>
      <c r="N52" s="1805" t="str">
        <f>E48</f>
        <v>销售额×税（费）率</v>
      </c>
      <c r="O52" s="1748" t="str">
        <f>F48</f>
        <v>免征</v>
      </c>
    </row>
    <row r="53" spans="1:35" ht="12" customHeight="1">
      <c r="A53" s="182" t="s">
        <v>2206</v>
      </c>
      <c r="B53" s="3199" t="s">
        <v>2207</v>
      </c>
      <c r="C53" s="3200"/>
      <c r="D53" s="181">
        <f ca="1">ROUND(D45*'数据-取费表'!B41/(1+'数据-取费表'!C42),0)</f>
        <v>14133</v>
      </c>
      <c r="E53" s="11" t="s">
        <v>2204</v>
      </c>
      <c r="F53" s="183">
        <f>'数据-取费表'!B41</f>
        <v>5.6000000000000001E-2</v>
      </c>
      <c r="G53" s="2475"/>
      <c r="H53" s="137"/>
      <c r="I53" s="2473"/>
      <c r="J53" s="1805">
        <v>2</v>
      </c>
      <c r="K53" s="3173" t="s">
        <v>2208</v>
      </c>
      <c r="L53" s="3173"/>
      <c r="M53" s="1747">
        <f t="shared" ref="M53:O54" ca="1" si="0">D55</f>
        <v>132</v>
      </c>
      <c r="N53" s="1805" t="str">
        <f t="shared" si="0"/>
        <v>销售额×税（费）率</v>
      </c>
      <c r="O53" s="1748">
        <f t="shared" si="0"/>
        <v>5.0000000000000001E-4</v>
      </c>
    </row>
    <row r="54" spans="1:35" ht="12" customHeight="1">
      <c r="A54" s="182" t="s">
        <v>2209</v>
      </c>
      <c r="B54" s="3199" t="s">
        <v>2210</v>
      </c>
      <c r="C54" s="3200"/>
      <c r="D54" s="181">
        <f ca="1">C68</f>
        <v>14133</v>
      </c>
      <c r="E54" s="30" t="s">
        <v>2211</v>
      </c>
      <c r="F54" s="183">
        <f>'数据-取费表'!B41</f>
        <v>5.6000000000000001E-2</v>
      </c>
      <c r="G54" s="2475"/>
      <c r="H54" s="2476"/>
      <c r="I54" s="2473"/>
      <c r="J54" s="1805">
        <v>3</v>
      </c>
      <c r="K54" s="3173" t="s">
        <v>2212</v>
      </c>
      <c r="L54" s="3173"/>
      <c r="M54" s="1747">
        <f t="shared" ca="1" si="0"/>
        <v>149989</v>
      </c>
      <c r="N54" s="1805" t="str">
        <f t="shared" si="0"/>
        <v>增值额×税（费）率</v>
      </c>
      <c r="O54" s="1749" t="str">
        <f t="shared" si="0"/>
        <v>——</v>
      </c>
    </row>
    <row r="55" spans="1:35" ht="24" customHeight="1">
      <c r="A55" s="3237" t="s">
        <v>2213</v>
      </c>
      <c r="B55" s="3219"/>
      <c r="C55" s="3219"/>
      <c r="D55" s="184">
        <f ca="1">IF(H55="个人住宅",0,ROUND(D45*I55,0))</f>
        <v>132</v>
      </c>
      <c r="E55" s="11" t="s">
        <v>2214</v>
      </c>
      <c r="F55" s="183">
        <f>IF(H55="正常",I55,"免征")</f>
        <v>5.0000000000000001E-4</v>
      </c>
      <c r="G55" s="2475"/>
      <c r="H55" s="2472" t="s">
        <v>2215</v>
      </c>
      <c r="I55" s="185">
        <f>'数据-取费表'!B49</f>
        <v>5.0000000000000001E-4</v>
      </c>
      <c r="J55" s="1805" t="str">
        <f>IF(H59="非个人房产","",4)</f>
        <v/>
      </c>
      <c r="K55" s="3173" t="str">
        <f>IF(H59="非个人房产","——","个人所得税")</f>
        <v>——</v>
      </c>
      <c r="L55" s="3173"/>
      <c r="M55" s="1750" t="str">
        <f>D59</f>
        <v>——</v>
      </c>
      <c r="N55" s="1803" t="str">
        <f>E59</f>
        <v>——</v>
      </c>
      <c r="O55" s="1751" t="str">
        <f>F59</f>
        <v>——</v>
      </c>
    </row>
    <row r="56" spans="1:35" ht="24.75">
      <c r="A56" s="3237" t="s">
        <v>2216</v>
      </c>
      <c r="B56" s="3219"/>
      <c r="C56" s="3219"/>
      <c r="D56" s="184">
        <f ca="1">IF(H56="个人住宅",D57,D58)</f>
        <v>149989</v>
      </c>
      <c r="E56" s="11" t="s">
        <v>2217</v>
      </c>
      <c r="F56" s="183" t="str">
        <f>IF(H56="正常",F58,"免征")</f>
        <v>——</v>
      </c>
      <c r="G56" s="2477" t="s">
        <v>2218</v>
      </c>
      <c r="H56" s="2478" t="s">
        <v>2215</v>
      </c>
      <c r="I56" s="2479"/>
      <c r="J56" s="1805" t="str">
        <f>IF(项目基本情况!K6="上海银行",IF(J55="",4,J55+1),"")</f>
        <v/>
      </c>
      <c r="K56" s="3156" t="str">
        <f>IF(项目基本情况!K6="上海银行","其他处置费用","")</f>
        <v/>
      </c>
      <c r="L56" s="3157"/>
      <c r="M56" s="1747" t="str">
        <f>IF(项目基本情况!K6="上海银行",M69,"")</f>
        <v/>
      </c>
      <c r="N56" s="3159" t="str">
        <f>IF(项目基本情况!K6="上海银行","包含处置中涉及的律师、诉讼、拍卖、评估等费用","")</f>
        <v/>
      </c>
      <c r="O56" s="3160"/>
    </row>
    <row r="57" spans="1:35" ht="12.75">
      <c r="A57" s="182" t="s">
        <v>2191</v>
      </c>
      <c r="B57" s="3204" t="s">
        <v>2219</v>
      </c>
      <c r="C57" s="3205"/>
      <c r="D57" s="186">
        <v>0</v>
      </c>
      <c r="E57" s="23" t="s">
        <v>2193</v>
      </c>
      <c r="F57" s="154"/>
      <c r="G57" s="2475"/>
      <c r="H57" s="2479"/>
      <c r="I57" s="2479"/>
      <c r="J57" s="3173">
        <f>IF(AND(J55="",J56=""),4,IF(项目基本情况!K6="上海银行",结果表办!J56+1,结果表办!J55+1))</f>
        <v>4</v>
      </c>
      <c r="K57" s="3173" t="s">
        <v>2220</v>
      </c>
      <c r="L57" s="2480" t="s">
        <v>2221</v>
      </c>
      <c r="M57" s="1752"/>
      <c r="N57" s="1753">
        <f ca="1">SUMIF(M52:M56,"&lt;9e307")</f>
        <v>150121</v>
      </c>
      <c r="O57" s="2481"/>
      <c r="P57" s="1746">
        <f ca="1">N57/M49</f>
        <v>0.56649861508388744</v>
      </c>
    </row>
    <row r="58" spans="1:35" ht="24.75">
      <c r="A58" s="182" t="s">
        <v>2202</v>
      </c>
      <c r="B58" s="3204" t="s">
        <v>2222</v>
      </c>
      <c r="C58" s="3217"/>
      <c r="D58" s="184">
        <f ca="1">IF(H58="转让取得",C81,C97)</f>
        <v>149989</v>
      </c>
      <c r="E58" s="11" t="s">
        <v>2217</v>
      </c>
      <c r="F58" s="24" t="s">
        <v>34</v>
      </c>
      <c r="G58" s="2475"/>
      <c r="H58" s="2478" t="s">
        <v>2223</v>
      </c>
      <c r="I58" s="2479"/>
      <c r="J58" s="3173"/>
      <c r="K58" s="3173"/>
      <c r="L58" s="2480" t="s">
        <v>2224</v>
      </c>
      <c r="M58" s="1754"/>
      <c r="N58" s="2482" t="str">
        <f ca="1">NUMBERSTRING(INT(N57*10000),2)&amp;"元整"</f>
        <v>壹拾伍亿零壹佰贰拾壹万元整</v>
      </c>
      <c r="O58" s="2483"/>
    </row>
    <row r="59" spans="1:35" ht="24.75" thickBot="1">
      <c r="A59" s="3177" t="s">
        <v>2225</v>
      </c>
      <c r="B59" s="3178"/>
      <c r="C59" s="3178"/>
      <c r="D59" s="187" t="str">
        <f>IF(H59="非个人房产","——",IF(H59="个人住宅",0,ROUND(D45*I59,0)))</f>
        <v>——</v>
      </c>
      <c r="E59" s="188" t="str">
        <f>IF(H59="非个人房产","——","销售额×税（费）率")</f>
        <v>——</v>
      </c>
      <c r="F59" s="189" t="str">
        <f>IF(H59="非个人房产","——",IF(H59="个人住宅","免征",I59))</f>
        <v>——</v>
      </c>
      <c r="G59" s="2484" t="s">
        <v>2218</v>
      </c>
      <c r="H59" s="2478" t="s">
        <v>2226</v>
      </c>
      <c r="I59" s="190">
        <v>0.01</v>
      </c>
      <c r="J59" s="3175">
        <f>J57+1</f>
        <v>5</v>
      </c>
      <c r="K59" s="3173" t="s">
        <v>2227</v>
      </c>
      <c r="L59" s="1805" t="s">
        <v>2221</v>
      </c>
      <c r="M59" s="1755"/>
      <c r="N59" s="1756">
        <f ca="1">M49-N57</f>
        <v>114877</v>
      </c>
      <c r="O59" s="2485"/>
    </row>
    <row r="60" spans="1:35" ht="12" customHeight="1">
      <c r="A60" s="2486"/>
      <c r="B60" s="2408"/>
      <c r="C60" s="2408"/>
      <c r="D60" s="2408"/>
      <c r="E60" s="2161"/>
      <c r="F60" s="2479"/>
      <c r="G60" s="2479"/>
      <c r="H60" s="2487"/>
      <c r="I60" s="137"/>
      <c r="J60" s="3176"/>
      <c r="K60" s="3173"/>
      <c r="L60" s="2480" t="s">
        <v>2224</v>
      </c>
      <c r="M60" s="1754"/>
      <c r="N60" s="2482" t="str">
        <f ca="1">NUMBERSTRING(INT(N59*10000),2)&amp;"元整"</f>
        <v>壹拾壹亿肆仟捌佰柒拾柒万元整</v>
      </c>
      <c r="O60" s="2483"/>
    </row>
    <row r="61" spans="1:35" ht="13.5" thickBot="1">
      <c r="A61" s="3236" t="s">
        <v>2228</v>
      </c>
      <c r="B61" s="3236"/>
      <c r="C61" s="3236"/>
      <c r="D61" s="3236"/>
      <c r="E61" s="3236"/>
      <c r="F61" s="2479"/>
      <c r="G61" s="2479"/>
      <c r="H61" s="2487"/>
      <c r="I61" s="137"/>
      <c r="J61" s="1805">
        <f>J59+1</f>
        <v>6</v>
      </c>
      <c r="K61" s="3173" t="s">
        <v>2229</v>
      </c>
      <c r="L61" s="3173"/>
      <c r="M61" s="1757"/>
      <c r="N61" s="1758">
        <f ca="1">ROUND(N59*10000/'数据-汇总表'!E3,0)</f>
        <v>22016</v>
      </c>
      <c r="O61" s="2488"/>
    </row>
    <row r="62" spans="1:35" ht="12.75">
      <c r="A62" s="3193" t="s">
        <v>2230</v>
      </c>
      <c r="B62" s="3194"/>
      <c r="C62" s="1797"/>
      <c r="D62" s="1797" t="s">
        <v>2231</v>
      </c>
      <c r="E62" s="191" t="s">
        <v>2232</v>
      </c>
      <c r="F62" s="2479"/>
      <c r="G62" s="2479"/>
      <c r="H62" s="2487"/>
      <c r="I62" s="137"/>
    </row>
    <row r="63" spans="1:35" ht="12.75">
      <c r="A63" s="202" t="s">
        <v>775</v>
      </c>
      <c r="B63" s="192" t="s">
        <v>2233</v>
      </c>
      <c r="C63" s="193">
        <f ca="1">ROUND((C64+C65)/(1+'数据-取费表'!C42),0)</f>
        <v>252379</v>
      </c>
      <c r="D63" s="194"/>
      <c r="E63" s="195"/>
      <c r="F63" s="2479"/>
      <c r="G63" s="2479"/>
      <c r="H63" s="2487"/>
      <c r="I63" s="137"/>
      <c r="J63" s="3158" t="s">
        <v>2234</v>
      </c>
      <c r="K63" s="2489" t="s">
        <v>2235</v>
      </c>
      <c r="L63" s="1745">
        <f ca="1">IF(M49&gt;10000,M49*0.5%,IF(AND(M49&gt;1000,M49&lt;=10000),M49*1%,IF(AND(M49&gt;100,M49&lt;=1000),M49*3%,IF(AND(M49&gt;10,M49&lt;=100),M49*5%,M49*8%))))</f>
        <v>1324.99</v>
      </c>
      <c r="M63" s="24">
        <f ca="1">ROUND(L63,1)</f>
        <v>1325</v>
      </c>
      <c r="Z63" s="2413"/>
      <c r="AI63" s="2414"/>
    </row>
    <row r="64" spans="1:35" ht="14.25" customHeight="1">
      <c r="A64" s="196" t="s">
        <v>770</v>
      </c>
      <c r="B64" s="197" t="s">
        <v>2236</v>
      </c>
      <c r="C64" s="198">
        <f ca="1">D45</f>
        <v>264998</v>
      </c>
      <c r="D64" s="199" t="s">
        <v>32</v>
      </c>
      <c r="E64" s="200"/>
      <c r="F64" s="2479"/>
      <c r="G64" s="2479"/>
      <c r="H64" s="2487"/>
      <c r="I64" s="137"/>
      <c r="J64" s="3158"/>
      <c r="K64" s="2489" t="s">
        <v>2237</v>
      </c>
      <c r="L64" s="1745">
        <f ca="1">IF(M49&gt;2000,M49*0.5%,IF(AND(M49&gt;1000,M49&lt;=2000),M49*0.6%,IF(AND(M49&gt;500,M49&lt;=1000),M49*0.7%,IF(AND(M49&gt;200,M49&lt;=500),M49*0.8%,IF(AND(M49&gt;100,M49&lt;=200),M49*0.9%,IF(AND(M49&gt;50,M49&lt;=100),M49*1%,IF(AND(M49&gt;20,M49&lt;=50),M49*1.5%,IF(AND(M49&gt;10,M49&lt;=20),M49*2%,IF(AND(M49&gt;1,M49&lt;=10),M49*2.5%)))))))))</f>
        <v>1324.99</v>
      </c>
      <c r="M64" s="24">
        <f t="shared" ref="M64:M65" ca="1" si="1">ROUND(L64,1)</f>
        <v>1325</v>
      </c>
      <c r="N64" s="137" t="s">
        <v>2238</v>
      </c>
      <c r="Z64" s="2413"/>
      <c r="AI64" s="2414"/>
    </row>
    <row r="65" spans="1:35" ht="14.25" customHeight="1">
      <c r="A65" s="196" t="s">
        <v>771</v>
      </c>
      <c r="B65" s="197" t="s">
        <v>2239</v>
      </c>
      <c r="C65" s="201"/>
      <c r="D65" s="199"/>
      <c r="E65" s="200"/>
      <c r="F65" s="2479"/>
      <c r="G65" s="2479"/>
      <c r="H65" s="2487"/>
      <c r="I65" s="137"/>
      <c r="J65" s="3158"/>
      <c r="K65" s="2489" t="s">
        <v>2240</v>
      </c>
      <c r="L65" s="1745">
        <f ca="1">IF(M49&gt;1000,M49*0.1%,IF(AND(M49&gt;500,M49&lt;=1000),M49*0.5%,IF(AND(M49&gt;50,M49&lt;=500),M49*1%,IF(AND(M49&gt;1,M49&lt;=50),M49*1.5%))))</f>
        <v>264.99799999999999</v>
      </c>
      <c r="M65" s="24">
        <f t="shared" ca="1" si="1"/>
        <v>265</v>
      </c>
      <c r="N65" s="137" t="s">
        <v>2238</v>
      </c>
      <c r="Z65" s="2413"/>
      <c r="AI65" s="2414"/>
    </row>
    <row r="66" spans="1:35" ht="14.25" customHeight="1">
      <c r="A66" s="202" t="s">
        <v>772</v>
      </c>
      <c r="B66" s="203" t="s">
        <v>2241</v>
      </c>
      <c r="C66" s="204"/>
      <c r="D66" s="205" t="s">
        <v>32</v>
      </c>
      <c r="E66" s="1769" t="s">
        <v>1369</v>
      </c>
      <c r="F66" s="2479"/>
      <c r="G66" s="2479"/>
      <c r="H66" s="2487"/>
      <c r="I66" s="137"/>
      <c r="J66" s="3158"/>
      <c r="K66" s="2489" t="s">
        <v>2242</v>
      </c>
      <c r="L66" s="1745">
        <f ca="1">M49*0.5%</f>
        <v>1324.99</v>
      </c>
      <c r="M66" s="24">
        <f ca="1">IF(L66&gt;0.5,0.5,ROUND(L66,0))</f>
        <v>0.5</v>
      </c>
      <c r="N66" s="137" t="s">
        <v>2243</v>
      </c>
      <c r="Z66" s="2413"/>
      <c r="AI66" s="2414"/>
    </row>
    <row r="67" spans="1:35" ht="14.25" customHeight="1">
      <c r="A67" s="202" t="s">
        <v>773</v>
      </c>
      <c r="B67" s="203" t="s">
        <v>2244</v>
      </c>
      <c r="C67" s="206">
        <f ca="1">C63-C66</f>
        <v>252379</v>
      </c>
      <c r="D67" s="199" t="s">
        <v>32</v>
      </c>
      <c r="E67" s="200"/>
      <c r="F67" s="2479"/>
      <c r="G67" s="2479"/>
      <c r="H67" s="2487"/>
      <c r="I67" s="137"/>
      <c r="J67" s="3158"/>
      <c r="K67" s="2489" t="s">
        <v>2245</v>
      </c>
      <c r="L67" s="1745">
        <f ca="1">IF(M49&gt;=10000,(8.25+(M49-10000)*0.01%),IF(AND(M49&gt;=8000,M49&lt;10000),(7.85+(M49-8000)*0.02%),IF(AND(M49&gt;=5000,M49&lt;8000),(6.65+(M49-5000)*0.04%),IF(AND(M49&gt;=2000,M49&lt;5000),(4.25+(PM49-2000)*0.08%),IF(AND(M49&gt;=1000,M49&lt;2000),(2.75+(M49-1000)*0.15%),IF(AND(M49&gt;=100,M49&lt;1000),(0.5+(M49-100)*0.25%),IF(AND(M49&gt;0,M49&lt;100),M49*0.5%)))))))</f>
        <v>33.7498</v>
      </c>
      <c r="M67" s="24">
        <f ca="1">ROUND(L67*0.9,1)</f>
        <v>30.4</v>
      </c>
      <c r="Z67" s="2413"/>
      <c r="AI67" s="2414"/>
    </row>
    <row r="68" spans="1:35" ht="14.25" customHeight="1" thickBot="1">
      <c r="A68" s="207" t="s">
        <v>774</v>
      </c>
      <c r="B68" s="208" t="s">
        <v>2246</v>
      </c>
      <c r="C68" s="209">
        <f ca="1">IF(C67&lt;=0,0,ROUND(C67*D68,0))</f>
        <v>14133</v>
      </c>
      <c r="D68" s="210">
        <f>'数据-取费表'!B41</f>
        <v>5.6000000000000001E-2</v>
      </c>
      <c r="E68" s="211"/>
      <c r="F68" s="2479"/>
      <c r="G68" s="2479"/>
      <c r="H68" s="2487"/>
      <c r="I68" s="137"/>
      <c r="J68" s="3158"/>
      <c r="K68" s="2489" t="s">
        <v>2247</v>
      </c>
      <c r="L68" s="1745">
        <f ca="1">IF(M49&gt;10000,M49*0.5%,IF(AND(M49&gt;5000,M49&lt;=10000),M49*1%,IF(AND(M49&gt;1000,M49&lt;=5000),M49*2%,IF(AND(M49&gt;200,M49&lt;=1000),M49*3%,M49*5%))))</f>
        <v>1324.99</v>
      </c>
      <c r="M68" s="24">
        <f ca="1">ROUND(L68,1)</f>
        <v>1325</v>
      </c>
      <c r="Z68" s="2413"/>
      <c r="AI68" s="2414"/>
    </row>
    <row r="69" spans="1:35" s="2436" customFormat="1" ht="16.5" customHeight="1">
      <c r="A69" s="2490"/>
      <c r="B69" s="2491"/>
      <c r="C69" s="2492"/>
      <c r="D69" s="2493"/>
      <c r="E69" s="2494"/>
      <c r="F69" s="2161"/>
      <c r="G69" s="2161"/>
      <c r="H69" s="2160"/>
      <c r="I69" s="2408"/>
      <c r="J69" s="3158"/>
      <c r="K69" s="2489" t="s">
        <v>2248</v>
      </c>
      <c r="L69" s="2495"/>
      <c r="M69" s="24">
        <f ca="1">ROUND(SUM(M63:M68),0)</f>
        <v>4271</v>
      </c>
      <c r="N69" s="1746">
        <f ca="1">M69/M49</f>
        <v>1.6117102770586946E-2</v>
      </c>
      <c r="O69" s="793"/>
      <c r="P69" s="793"/>
      <c r="Q69" s="793"/>
      <c r="R69" s="793"/>
      <c r="S69" s="793"/>
      <c r="T69" s="793"/>
      <c r="U69" s="793"/>
      <c r="V69" s="793"/>
      <c r="W69" s="793"/>
      <c r="X69" s="793"/>
      <c r="Y69" s="793"/>
      <c r="Z69" s="2413"/>
      <c r="AA69" s="2413"/>
      <c r="AB69" s="2413"/>
      <c r="AC69" s="2413"/>
      <c r="AD69" s="2413"/>
      <c r="AE69" s="2413"/>
      <c r="AF69" s="2413"/>
      <c r="AG69" s="2413"/>
      <c r="AH69" s="2413"/>
    </row>
    <row r="70" spans="1:35" s="2497" customFormat="1" ht="15" thickBot="1">
      <c r="A70" s="3202" t="s">
        <v>2249</v>
      </c>
      <c r="B70" s="3203"/>
      <c r="C70" s="3203"/>
      <c r="D70" s="3203"/>
      <c r="E70" s="3203"/>
      <c r="F70" s="3203"/>
      <c r="G70" s="3203"/>
      <c r="H70" s="3203"/>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93" t="s">
        <v>2230</v>
      </c>
      <c r="B71" s="3194"/>
      <c r="C71" s="1797"/>
      <c r="D71" s="1797" t="s">
        <v>2231</v>
      </c>
      <c r="E71" s="212" t="s">
        <v>2232</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2" t="s">
        <v>775</v>
      </c>
      <c r="B72" s="203" t="s">
        <v>2250</v>
      </c>
      <c r="C72" s="206">
        <f ca="1">ROUND(D45/(1+'数据-取费表'!C42),0)</f>
        <v>252379</v>
      </c>
      <c r="D72" s="199" t="s">
        <v>32</v>
      </c>
      <c r="E72" s="1796"/>
      <c r="F72" s="1790"/>
      <c r="G72" s="1790"/>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2" t="s">
        <v>772</v>
      </c>
      <c r="B73" s="172" t="s">
        <v>2251</v>
      </c>
      <c r="C73" s="206">
        <f ca="1">C74+C78</f>
        <v>1514</v>
      </c>
      <c r="D73" s="199" t="s">
        <v>32</v>
      </c>
      <c r="E73" s="1796"/>
      <c r="F73" s="1790"/>
      <c r="G73" s="1790"/>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6" t="s">
        <v>770</v>
      </c>
      <c r="B74" s="197" t="s">
        <v>2252</v>
      </c>
      <c r="C74" s="199">
        <f>ROUND(IF(G77="2016年5月1日后购买",C75/(1+'数据-取费表'!C42)+C76+C77,C75+C76+C77),0)</f>
        <v>0</v>
      </c>
      <c r="D74" s="199" t="s">
        <v>32</v>
      </c>
      <c r="E74" s="1796"/>
      <c r="F74" s="1790"/>
      <c r="G74" s="1790"/>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6" t="s">
        <v>776</v>
      </c>
      <c r="B75" s="197" t="s">
        <v>2253</v>
      </c>
      <c r="C75" s="217"/>
      <c r="D75" s="199" t="s">
        <v>32</v>
      </c>
      <c r="E75" s="218" t="s">
        <v>2254</v>
      </c>
      <c r="F75" s="2501" t="s">
        <v>2255</v>
      </c>
      <c r="G75" s="218" t="s">
        <v>2256</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6" t="s">
        <v>777</v>
      </c>
      <c r="B76" s="220" t="s">
        <v>2257</v>
      </c>
      <c r="C76" s="199">
        <f>IF(F75="购房发票",ROUND(C75*H75*D76,0),0)</f>
        <v>0</v>
      </c>
      <c r="D76" s="221">
        <v>0.05</v>
      </c>
      <c r="E76" s="3199" t="s">
        <v>2258</v>
      </c>
      <c r="F76" s="3198"/>
      <c r="G76" s="3198"/>
      <c r="H76" s="3201"/>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6" t="s">
        <v>778</v>
      </c>
      <c r="B77" s="197" t="s">
        <v>2259</v>
      </c>
      <c r="C77" s="199">
        <f>ROUND(IF(G77="个人住宅",0,IF(G77="2016年5月1日前购买",C75*D77,C75*D77/(1+'数据-取费表'!C42))),0)</f>
        <v>0</v>
      </c>
      <c r="D77" s="222">
        <f>'数据-取费表'!B48+'数据-取费表'!B49</f>
        <v>3.0499999999999999E-2</v>
      </c>
      <c r="E77" s="15" t="s">
        <v>2260</v>
      </c>
      <c r="F77" s="223"/>
      <c r="G77" s="2503" t="s">
        <v>2261</v>
      </c>
      <c r="H77" s="1801"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6" t="s">
        <v>771</v>
      </c>
      <c r="B78" s="197" t="s">
        <v>2262</v>
      </c>
      <c r="C78" s="224">
        <f ca="1">ROUND(D45*D78/(1+'数据-取费表'!C42),0)</f>
        <v>1514</v>
      </c>
      <c r="D78" s="225">
        <f>'数据-取费表'!B43</f>
        <v>6.000000000000001E-3</v>
      </c>
      <c r="E78" s="3190" t="s">
        <v>2263</v>
      </c>
      <c r="F78" s="3191"/>
      <c r="G78" s="3191"/>
      <c r="H78" s="3192"/>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3" t="s">
        <v>2264</v>
      </c>
      <c r="C79" s="206">
        <f ca="1">C72-C73</f>
        <v>250865</v>
      </c>
      <c r="D79" s="199" t="s">
        <v>32</v>
      </c>
      <c r="E79" s="1796"/>
      <c r="F79" s="1790"/>
      <c r="G79" s="1790"/>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3" t="s">
        <v>2265</v>
      </c>
      <c r="C80" s="226">
        <f ca="1">IF(C79&lt;=0,0,C79/C73)</f>
        <v>165.69682959048876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8" t="s">
        <v>2266</v>
      </c>
      <c r="C81" s="227">
        <f ca="1">ROUND(IF(C79&lt;=0,0,IF(C80&gt;=200%,C79*60%-C73*35%,IF(C80&gt;=100%,C79*50%-C73*15%,IF(C80&gt;=50%,C79*40%-C73*5%,IF(C80&lt;50%,C79*30%,0))))),0)</f>
        <v>149989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1"/>
      <c r="B82" s="732"/>
      <c r="C82" s="7"/>
      <c r="D82" s="7"/>
      <c r="E82" s="732"/>
      <c r="F82" s="732"/>
      <c r="G82" s="732"/>
      <c r="H82" s="733"/>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202" t="s">
        <v>2267</v>
      </c>
      <c r="B83" s="3203"/>
      <c r="C83" s="3203"/>
      <c r="D83" s="3203"/>
      <c r="E83" s="3203"/>
      <c r="F83" s="3203"/>
      <c r="G83" s="3203"/>
      <c r="H83" s="3203"/>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93" t="s">
        <v>2230</v>
      </c>
      <c r="B84" s="3194"/>
      <c r="C84" s="1797"/>
      <c r="D84" s="1797" t="s">
        <v>2231</v>
      </c>
      <c r="E84" s="212" t="s">
        <v>2232</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2" t="s">
        <v>775</v>
      </c>
      <c r="B85" s="203" t="s">
        <v>2250</v>
      </c>
      <c r="C85" s="206">
        <f ca="1">ROUND(D45/(1+'数据-取费表'!C42),0)</f>
        <v>252379</v>
      </c>
      <c r="D85" s="199" t="s">
        <v>32</v>
      </c>
      <c r="E85" s="1796"/>
      <c r="F85" s="1790"/>
      <c r="G85" s="1790"/>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2" t="s">
        <v>772</v>
      </c>
      <c r="B86" s="172" t="s">
        <v>2251</v>
      </c>
      <c r="C86" s="206">
        <f ca="1">IF(H88="仅含出让金",C87+C90+C91+C92+C93+C94,C87+C91+C92+C93+C94)</f>
        <v>1514</v>
      </c>
      <c r="D86" s="234"/>
      <c r="E86" s="1796"/>
      <c r="F86" s="1790"/>
      <c r="G86" s="1790"/>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6" t="s">
        <v>770</v>
      </c>
      <c r="B87" s="197" t="s">
        <v>2268</v>
      </c>
      <c r="C87" s="224">
        <f>C88+C89</f>
        <v>0</v>
      </c>
      <c r="D87" s="225"/>
      <c r="E87" s="1792"/>
      <c r="F87" s="1793"/>
      <c r="G87" s="1793"/>
      <c r="H87" s="179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6" t="s">
        <v>776</v>
      </c>
      <c r="B88" s="197" t="s">
        <v>2269</v>
      </c>
      <c r="C88" s="235"/>
      <c r="D88" s="225"/>
      <c r="E88" s="236" t="s">
        <v>2270</v>
      </c>
      <c r="F88" s="1793"/>
      <c r="G88" s="237" t="s">
        <v>2271</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6" t="s">
        <v>777</v>
      </c>
      <c r="B89" s="197" t="s">
        <v>2259</v>
      </c>
      <c r="C89" s="224">
        <f>ROUND(C88*D89,0)</f>
        <v>0</v>
      </c>
      <c r="D89" s="225">
        <f>'数据-取费表'!B48+'数据-取费表'!B49</f>
        <v>3.0499999999999999E-2</v>
      </c>
      <c r="E89" s="236" t="s">
        <v>2272</v>
      </c>
      <c r="F89" s="1793"/>
      <c r="G89" s="1793"/>
      <c r="H89" s="179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6" t="s">
        <v>771</v>
      </c>
      <c r="B90" s="197" t="s">
        <v>2273</v>
      </c>
      <c r="C90" s="235"/>
      <c r="D90" s="225"/>
      <c r="E90" s="236" t="str">
        <f>IF(H88="-","土地取得成本中已包含该笔费用"," ")</f>
        <v xml:space="preserve"> </v>
      </c>
      <c r="F90" s="1793"/>
      <c r="G90" s="1793"/>
      <c r="H90" s="179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6" t="s">
        <v>2274</v>
      </c>
      <c r="B91" s="197" t="s">
        <v>2275</v>
      </c>
      <c r="C91" s="224">
        <f>IF(H91="——",成本法!C33,I91)</f>
        <v>0</v>
      </c>
      <c r="D91" s="225"/>
      <c r="E91" s="3190" t="s">
        <v>2276</v>
      </c>
      <c r="F91" s="3191"/>
      <c r="G91" s="3191"/>
      <c r="H91" s="2508" t="s">
        <v>2277</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6" t="s">
        <v>2278</v>
      </c>
      <c r="B92" s="197" t="s">
        <v>2279</v>
      </c>
      <c r="C92" s="224">
        <f>ROUND((C87+C90+C91)*D92,0)</f>
        <v>0</v>
      </c>
      <c r="D92" s="225">
        <v>0.1</v>
      </c>
      <c r="E92" s="3190" t="s">
        <v>2280</v>
      </c>
      <c r="F92" s="3191"/>
      <c r="G92" s="3191"/>
      <c r="H92" s="3192"/>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6" t="s">
        <v>2281</v>
      </c>
      <c r="B93" s="197" t="s">
        <v>2262</v>
      </c>
      <c r="C93" s="224">
        <f ca="1">ROUND(D45*D93/(1+'数据-取费表'!C42),0)</f>
        <v>1514</v>
      </c>
      <c r="D93" s="225">
        <f>'数据-取费表'!B43</f>
        <v>6.000000000000001E-3</v>
      </c>
      <c r="E93" s="3190" t="s">
        <v>2263</v>
      </c>
      <c r="F93" s="3191"/>
      <c r="G93" s="3191"/>
      <c r="H93" s="3192"/>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6" t="s">
        <v>2282</v>
      </c>
      <c r="B94" s="197" t="s">
        <v>2283</v>
      </c>
      <c r="C94" s="235">
        <f>ROUND((C87+C90+C91)*D94,0)</f>
        <v>0</v>
      </c>
      <c r="D94" s="225">
        <v>0.2</v>
      </c>
      <c r="E94" s="3238" t="s">
        <v>2284</v>
      </c>
      <c r="F94" s="3239"/>
      <c r="G94" s="3239"/>
      <c r="H94" s="3240"/>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3" t="s">
        <v>2264</v>
      </c>
      <c r="C95" s="206">
        <f ca="1">ROUND(C85-C86,0)</f>
        <v>250865</v>
      </c>
      <c r="D95" s="199" t="s">
        <v>32</v>
      </c>
      <c r="E95" s="1796"/>
      <c r="F95" s="1790"/>
      <c r="G95" s="1790"/>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3" t="s">
        <v>2265</v>
      </c>
      <c r="C96" s="226">
        <f ca="1">IF(C95&lt;=0,0,C95/C86)</f>
        <v>165.69682959048876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8" t="s">
        <v>2266</v>
      </c>
      <c r="C97" s="227">
        <f ca="1">ROUND(IF(C95&lt;=0,0,IF(C96&gt;=200%,C95*60%-C86*35%,IF(C96&gt;=100%,C95*50%-C86*15%,IF(C96&gt;=50%,C95*40%-C86*5%,IF(C96&lt;50%,C95*30%,0))))),0)</f>
        <v>149989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61"/>
      <c r="F98" s="2161"/>
      <c r="G98" s="2161"/>
      <c r="H98" s="2160"/>
      <c r="I98" s="137"/>
    </row>
    <row r="99" spans="1:35" ht="21.75" customHeight="1" thickBot="1">
      <c r="A99" s="2464" t="s">
        <v>2285</v>
      </c>
      <c r="B99" s="2408"/>
      <c r="C99" s="2408"/>
      <c r="D99" s="2408"/>
      <c r="E99" s="2161"/>
      <c r="F99" s="2161"/>
      <c r="G99" s="2161"/>
      <c r="H99" s="2160"/>
      <c r="I99" s="137"/>
    </row>
    <row r="100" spans="1:35" ht="18.75" customHeight="1">
      <c r="A100" s="3122" t="s">
        <v>2286</v>
      </c>
      <c r="B100" s="3123"/>
      <c r="C100" s="3123"/>
      <c r="D100" s="3174"/>
      <c r="E100" s="3123" t="s">
        <v>2287</v>
      </c>
      <c r="F100" s="3123"/>
      <c r="G100" s="3123"/>
      <c r="H100" s="3174"/>
      <c r="I100" s="137"/>
    </row>
    <row r="101" spans="1:35" ht="18.75" customHeight="1">
      <c r="A101" s="3182" t="s">
        <v>2288</v>
      </c>
      <c r="B101" s="3183"/>
      <c r="C101" s="734" t="str">
        <f>C4</f>
        <v>典型户型修正</v>
      </c>
      <c r="D101" s="735" t="str">
        <f>D4</f>
        <v>收益法（汇总）</v>
      </c>
      <c r="E101" s="3154" t="s">
        <v>2289</v>
      </c>
      <c r="F101" s="3155"/>
      <c r="G101" s="2510" t="s">
        <v>2290</v>
      </c>
      <c r="H101" s="1041">
        <f ca="1">H118</f>
        <v>264998</v>
      </c>
      <c r="I101" s="137"/>
    </row>
    <row r="102" spans="1:35" ht="18.75" customHeight="1">
      <c r="A102" s="3184" t="s">
        <v>2291</v>
      </c>
      <c r="B102" s="2510" t="s">
        <v>2290</v>
      </c>
      <c r="C102" s="734">
        <f ca="1">C19</f>
        <v>252461</v>
      </c>
      <c r="D102" s="735">
        <f ca="1">D19</f>
        <v>277535</v>
      </c>
      <c r="E102" s="3154"/>
      <c r="F102" s="3155"/>
      <c r="G102" s="2510" t="s">
        <v>2292</v>
      </c>
      <c r="H102" s="370">
        <f ca="1">I118</f>
        <v>50788</v>
      </c>
      <c r="I102" s="137"/>
    </row>
    <row r="103" spans="1:35" ht="42.75" customHeight="1">
      <c r="A103" s="3184"/>
      <c r="B103" s="2510" t="s">
        <v>2292</v>
      </c>
      <c r="C103" s="736">
        <f ca="1">C20</f>
        <v>61906</v>
      </c>
      <c r="D103" s="737">
        <f ca="1">D20</f>
        <v>63241</v>
      </c>
      <c r="E103" s="3148" t="s">
        <v>2293</v>
      </c>
      <c r="F103" s="3149"/>
      <c r="G103" s="2511" t="s">
        <v>2294</v>
      </c>
      <c r="H103" s="1041">
        <f>IF(D36="正常操作",H104+H105+H106,H105+H106)</f>
        <v>0</v>
      </c>
      <c r="I103" s="137"/>
    </row>
    <row r="104" spans="1:35" ht="18.75" customHeight="1">
      <c r="A104" s="3184" t="s">
        <v>2295</v>
      </c>
      <c r="B104" s="2512" t="s">
        <v>2290</v>
      </c>
      <c r="C104" s="738">
        <f ca="1">H118</f>
        <v>264998</v>
      </c>
      <c r="D104" s="739"/>
      <c r="E104" s="2260" t="s">
        <v>2296</v>
      </c>
      <c r="F104" s="2252"/>
      <c r="G104" s="2511" t="s">
        <v>2294</v>
      </c>
      <c r="H104" s="1042">
        <f>IF(D36="同一抵押权人同一抵押物续贷",C36&amp;"（未扣减，详见特别提示）",C36)</f>
        <v>0</v>
      </c>
      <c r="I104" s="137"/>
    </row>
    <row r="105" spans="1:35" ht="18.75" customHeight="1" thickBot="1">
      <c r="A105" s="3196"/>
      <c r="B105" s="2513" t="s">
        <v>2292</v>
      </c>
      <c r="C105" s="740">
        <f ca="1">I118</f>
        <v>50788</v>
      </c>
      <c r="D105" s="741"/>
      <c r="E105" s="2260" t="s">
        <v>2297</v>
      </c>
      <c r="F105" s="2252"/>
      <c r="G105" s="2511" t="s">
        <v>2294</v>
      </c>
      <c r="H105" s="1042">
        <f>C37</f>
        <v>0</v>
      </c>
      <c r="I105" s="137"/>
    </row>
    <row r="106" spans="1:35" ht="18.75" customHeight="1">
      <c r="A106" s="2408" t="s">
        <v>2298</v>
      </c>
      <c r="B106" s="2408"/>
      <c r="C106" s="2408"/>
      <c r="D106" s="2408"/>
      <c r="E106" s="2514" t="s">
        <v>2299</v>
      </c>
      <c r="F106" s="2252"/>
      <c r="G106" s="2511" t="s">
        <v>2294</v>
      </c>
      <c r="H106" s="1042">
        <f>C38</f>
        <v>0</v>
      </c>
      <c r="I106" s="137"/>
    </row>
    <row r="107" spans="1:35" ht="18.75" customHeight="1">
      <c r="A107" s="137"/>
      <c r="B107" s="137"/>
      <c r="C107" s="137"/>
      <c r="D107" s="137"/>
      <c r="E107" s="3185" t="str">
        <f>IF(项目基本情况!E8="已注销","——","3.房地产抵押价值")</f>
        <v>3.房地产抵押价值</v>
      </c>
      <c r="F107" s="3155"/>
      <c r="G107" s="2510" t="s">
        <v>2290</v>
      </c>
      <c r="H107" s="1041">
        <f ca="1">IF(E107="——","——",H101-H103)</f>
        <v>264998</v>
      </c>
      <c r="I107" s="137"/>
    </row>
    <row r="108" spans="1:35" ht="18.75" customHeight="1">
      <c r="A108" s="137"/>
      <c r="B108" s="137"/>
      <c r="C108" s="137"/>
      <c r="D108" s="137"/>
      <c r="E108" s="3185"/>
      <c r="F108" s="3155"/>
      <c r="G108" s="2510" t="s">
        <v>2292</v>
      </c>
      <c r="H108" s="370">
        <f ca="1">ROUND(H107*10000/'数据-汇总表'!E3,0)</f>
        <v>50788</v>
      </c>
      <c r="I108" s="137"/>
    </row>
    <row r="109" spans="1:35" ht="18.75" customHeight="1">
      <c r="A109" s="137"/>
      <c r="B109" s="137"/>
      <c r="C109" s="137"/>
      <c r="D109" s="137"/>
      <c r="E109" s="3185" t="str">
        <f>IF(项目基本情况!E8="已注销及未注销","4.抵押担保权已注销时的房地产抵押价值",IF(项目基本情况!E8="已注销","3.抵押担保权已注销时的房地产抵押价值","——"))</f>
        <v>——</v>
      </c>
      <c r="F109" s="3155"/>
      <c r="G109" s="2510" t="s">
        <v>2290</v>
      </c>
      <c r="H109" s="347" t="str">
        <f>IF(E109="——","——",H101-H105-H106)</f>
        <v>——</v>
      </c>
      <c r="I109" s="137"/>
    </row>
    <row r="110" spans="1:35" ht="18.75" customHeight="1">
      <c r="A110" s="137"/>
      <c r="B110" s="137"/>
      <c r="C110" s="137"/>
      <c r="D110" s="137"/>
      <c r="E110" s="3185"/>
      <c r="F110" s="3155"/>
      <c r="G110" s="2510" t="s">
        <v>2292</v>
      </c>
      <c r="H110" s="370" t="str">
        <f>IF(H109="——","——",ROUND(H109*10000/'数据-汇总表'!E3,0))</f>
        <v>——</v>
      </c>
      <c r="I110" s="137"/>
    </row>
    <row r="111" spans="1:35" ht="18.75" customHeight="1">
      <c r="A111" s="137"/>
      <c r="B111" s="137"/>
      <c r="C111" s="137"/>
      <c r="D111" s="137"/>
      <c r="E111" s="3186" t="str">
        <f>IF(项目基本情况!E9="抵押净值",IF(OR(项目基本情况!E8="已注销",项目基本情况!E8="房地产抵押价值"),"4.抵押净值","5.抵押净值"),"——")</f>
        <v>——</v>
      </c>
      <c r="F111" s="3187"/>
      <c r="G111" s="2510" t="s">
        <v>2290</v>
      </c>
      <c r="H111" s="1041" t="str">
        <f>IF(E111="——","——",N59)</f>
        <v>——</v>
      </c>
      <c r="I111" s="137"/>
    </row>
    <row r="112" spans="1:35" ht="18.75" customHeight="1" thickBot="1">
      <c r="A112" s="137"/>
      <c r="B112" s="137"/>
      <c r="C112" s="137"/>
      <c r="D112" s="137"/>
      <c r="E112" s="3188"/>
      <c r="F112" s="3189"/>
      <c r="G112" s="2515" t="s">
        <v>2292</v>
      </c>
      <c r="H112" s="788" t="str">
        <f>IF(E111="——","——",N61)</f>
        <v>——</v>
      </c>
      <c r="I112" s="137"/>
    </row>
    <row r="113" spans="1:11" ht="18.75" customHeight="1">
      <c r="A113" s="137"/>
      <c r="B113" s="137"/>
      <c r="C113" s="137"/>
      <c r="D113" s="137"/>
      <c r="E113" s="3197" t="s">
        <v>2298</v>
      </c>
      <c r="F113" s="3197"/>
      <c r="G113" s="3197"/>
      <c r="H113" s="3197"/>
      <c r="I113" s="137"/>
    </row>
    <row r="114" spans="1:11" ht="3.75" customHeight="1">
      <c r="A114" s="2408"/>
      <c r="B114" s="2408"/>
      <c r="C114" s="2408"/>
      <c r="D114" s="2408"/>
      <c r="E114" s="2486"/>
      <c r="F114" s="2486"/>
      <c r="G114" s="2486"/>
      <c r="H114" s="2486"/>
      <c r="I114" s="2408"/>
    </row>
    <row r="115" spans="1:11" ht="18.75" customHeight="1">
      <c r="A115" s="3210" t="s">
        <v>2300</v>
      </c>
      <c r="B115" s="3211"/>
      <c r="C115" s="3211"/>
      <c r="D115" s="3211"/>
      <c r="E115" s="3211"/>
      <c r="F115" s="3211"/>
      <c r="G115" s="3211"/>
      <c r="H115" s="3211"/>
      <c r="I115" s="3212"/>
    </row>
    <row r="116" spans="1:11" ht="27" customHeight="1">
      <c r="A116" s="3101" t="s">
        <v>2301</v>
      </c>
      <c r="B116" s="3164" t="s">
        <v>2302</v>
      </c>
      <c r="C116" s="3164" t="s">
        <v>2303</v>
      </c>
      <c r="D116" s="3170" t="s">
        <v>2304</v>
      </c>
      <c r="E116" s="3171"/>
      <c r="F116" s="3206" t="s">
        <v>2305</v>
      </c>
      <c r="G116" s="3206"/>
      <c r="H116" s="3101" t="s">
        <v>2306</v>
      </c>
      <c r="I116" s="3101"/>
    </row>
    <row r="117" spans="1:11" ht="18.75" customHeight="1">
      <c r="A117" s="3101"/>
      <c r="B117" s="3165"/>
      <c r="C117" s="3165"/>
      <c r="D117" s="1791" t="s">
        <v>2307</v>
      </c>
      <c r="E117" s="1791" t="s">
        <v>2308</v>
      </c>
      <c r="F117" s="1791" t="s">
        <v>2307</v>
      </c>
      <c r="G117" s="1791" t="s">
        <v>2309</v>
      </c>
      <c r="H117" s="1791" t="s">
        <v>2307</v>
      </c>
      <c r="I117" s="1791" t="s">
        <v>2309</v>
      </c>
    </row>
    <row r="118" spans="1:11" ht="69.75" customHeight="1">
      <c r="A118" s="2516" t="str">
        <f>项目基本情况!S2</f>
        <v>北京市东城区东直门南大街甲3号办公楼、车库用房房地产出让国有建设用地使用权及在建建筑物房地产</v>
      </c>
      <c r="B118" s="1791">
        <f>M18</f>
        <v>52177.779999999992</v>
      </c>
      <c r="C118" s="1791">
        <f>M19</f>
        <v>8406.27</v>
      </c>
      <c r="D118" s="1791">
        <f ca="1">ROUND(IF(D32="总价",C34,E118*B118/10000),0)</f>
        <v>215178</v>
      </c>
      <c r="E118" s="1791">
        <f ca="1">ROUND(IF(C33="自定义",IF(D32="楼面单价",C34,D118*10000/B118),I118-G118),0)</f>
        <v>41240</v>
      </c>
      <c r="F118" s="1791">
        <f ca="1">ROUND(IF(D32="总价",C35,G118*B118/10000),0)</f>
        <v>49820</v>
      </c>
      <c r="G118" s="1791">
        <f ca="1">ROUND(IF(D32="楼面单价",C35,F118*10000/B118),0)</f>
        <v>9548</v>
      </c>
      <c r="H118" s="1791">
        <f ca="1">ROUND(IF(D32="总价",C32,I118*B118/10000),0)</f>
        <v>264998</v>
      </c>
      <c r="I118" s="1791">
        <f ca="1">ROUND(IF(D32="楼面单价",C32,H118*10000/B118),0)</f>
        <v>50788</v>
      </c>
    </row>
    <row r="119" spans="1:11" ht="36" customHeight="1">
      <c r="A119" s="3101" t="s">
        <v>2310</v>
      </c>
      <c r="B119" s="3101"/>
      <c r="C119" s="3101"/>
      <c r="D119" s="3166" t="str">
        <f ca="1">NUMBERSTRING(INT(D118*10000),2)&amp;"元整"</f>
        <v>贰拾壹亿伍仟壹佰柒拾捌万元整</v>
      </c>
      <c r="E119" s="3167"/>
      <c r="F119" s="3166" t="str">
        <f ca="1">NUMBERSTRING(INT(F118*10000),2)&amp;"元整"</f>
        <v>肆亿玖仟捌佰贰拾万元整</v>
      </c>
      <c r="G119" s="3167"/>
      <c r="H119" s="3166" t="str">
        <f ca="1">NUMBERSTRING(INT(H118*10000),2)&amp;"元整"</f>
        <v>贰拾陆亿肆仟玖佰玖拾捌万元整</v>
      </c>
      <c r="I119" s="3167"/>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13" t="str">
        <f>IF(D120=0,"故，本次评估不存在"&amp;A120,"故，本次评估"&amp;A120&amp;"为人民币"&amp;D120&amp;"万元整。")</f>
        <v>故，本次评估不存在估价师知悉的法定优先受偿款</v>
      </c>
    </row>
    <row r="121" spans="1:11" ht="18.75" customHeight="1">
      <c r="A121" s="3207" t="s">
        <v>2310</v>
      </c>
      <c r="B121" s="3208"/>
      <c r="C121" s="3209"/>
      <c r="D121" s="3166" t="str">
        <f>IF(D120=0,"零元整",NUMBERSTRING(INT(D120*10000),2)&amp;"元整")</f>
        <v>零元整</v>
      </c>
      <c r="E121" s="3168"/>
      <c r="F121" s="3168"/>
      <c r="G121" s="3168"/>
      <c r="H121" s="3168"/>
      <c r="I121" s="3167"/>
    </row>
    <row r="122" spans="1:11" ht="18.75" customHeight="1">
      <c r="A122" s="3172" t="str">
        <f>IF(项目基本情况!B9="房地产市场价值","",MID(E107,3,LEN(E107)-2))</f>
        <v>房地产抵押价值</v>
      </c>
      <c r="B122" s="3172"/>
      <c r="C122" s="3172"/>
      <c r="D122" s="3161">
        <f ca="1">H107</f>
        <v>264998</v>
      </c>
      <c r="E122" s="3162"/>
      <c r="F122" s="3162"/>
      <c r="G122" s="3162"/>
      <c r="H122" s="3162"/>
      <c r="I122" s="3163"/>
    </row>
    <row r="123" spans="1:11" ht="18.75" customHeight="1">
      <c r="A123" s="3101" t="s">
        <v>2310</v>
      </c>
      <c r="B123" s="3101"/>
      <c r="C123" s="3101"/>
      <c r="D123" s="3166" t="str">
        <f ca="1">NUMBERSTRING(INT(D122*10000),2)&amp;"元整"</f>
        <v>贰拾陆亿肆仟玖佰玖拾捌万元整</v>
      </c>
      <c r="E123" s="3168"/>
      <c r="F123" s="3168"/>
      <c r="G123" s="3168"/>
      <c r="H123" s="3168"/>
      <c r="I123" s="3167"/>
    </row>
    <row r="124" spans="1:11" ht="18.75" customHeight="1">
      <c r="A124" s="3172" t="str">
        <f>IF(项目基本情况!B9="房地产市场价值","",MID(E109,3,LEN(E109)-2))</f>
        <v/>
      </c>
      <c r="B124" s="3172"/>
      <c r="C124" s="3172"/>
      <c r="D124" s="3161" t="str">
        <f>H109</f>
        <v>——</v>
      </c>
      <c r="E124" s="3162"/>
      <c r="F124" s="3162"/>
      <c r="G124" s="3162"/>
      <c r="H124" s="3162"/>
      <c r="I124" s="3163"/>
    </row>
    <row r="125" spans="1:11" ht="18.75" customHeight="1">
      <c r="A125" s="3101" t="s">
        <v>2310</v>
      </c>
      <c r="B125" s="3101"/>
      <c r="C125" s="3101"/>
      <c r="D125" s="3166" t="e">
        <f>NUMBERSTRING(INT(D124*10000),2)&amp;"元整"</f>
        <v>#VALUE!</v>
      </c>
      <c r="E125" s="3168"/>
      <c r="F125" s="3168"/>
      <c r="G125" s="3168"/>
      <c r="H125" s="3168"/>
      <c r="I125" s="3167"/>
    </row>
    <row r="126" spans="1:11" ht="18.75" customHeight="1">
      <c r="A126" s="3172" t="str">
        <f>IF(项目基本情况!B9="房地产市场价值","",MID(E111,3,LEN(E111)-2))</f>
        <v/>
      </c>
      <c r="B126" s="3172"/>
      <c r="C126" s="3172"/>
      <c r="D126" s="3161" t="str">
        <f>H111</f>
        <v>——</v>
      </c>
      <c r="E126" s="3162"/>
      <c r="F126" s="3162"/>
      <c r="G126" s="3162"/>
      <c r="H126" s="3162"/>
      <c r="I126" s="3163"/>
    </row>
    <row r="127" spans="1:11" ht="18.75" customHeight="1">
      <c r="A127" s="3101" t="s">
        <v>2310</v>
      </c>
      <c r="B127" s="3101"/>
      <c r="C127" s="3101"/>
      <c r="D127" s="3166" t="e">
        <f>NUMBERSTRING(INT(D126*10000),2)&amp;"元整"</f>
        <v>#VALUE!</v>
      </c>
      <c r="E127" s="3168"/>
      <c r="F127" s="3168"/>
      <c r="G127" s="3168"/>
      <c r="H127" s="3168"/>
      <c r="I127" s="3167"/>
    </row>
    <row r="128" spans="1:11" ht="21.75" customHeight="1">
      <c r="A128" s="3169" t="s">
        <v>2311</v>
      </c>
      <c r="B128" s="3169"/>
      <c r="C128" s="3169"/>
      <c r="D128" s="3169"/>
      <c r="E128" s="3169"/>
      <c r="F128" s="3169"/>
      <c r="G128" s="3169"/>
      <c r="H128" s="3169"/>
      <c r="I128" s="3169"/>
    </row>
    <row r="129" spans="1:35" ht="21.75" customHeight="1">
      <c r="A129" s="2517" t="s">
        <v>2312</v>
      </c>
      <c r="B129" s="2518"/>
      <c r="C129" s="2519" t="s">
        <v>2313</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3"/>
    </row>
    <row r="135" spans="1:35" ht="21.75" customHeight="1">
      <c r="A135" s="793"/>
      <c r="B135" s="793"/>
      <c r="C135" s="793"/>
      <c r="D135" s="793"/>
      <c r="E135" s="793"/>
      <c r="F135" s="2533" t="s">
        <v>2314</v>
      </c>
      <c r="G135" s="2534"/>
      <c r="H135" s="2534"/>
      <c r="I135" s="2535" t="s">
        <v>2315</v>
      </c>
    </row>
    <row r="136" spans="1:35" ht="21.75" customHeight="1">
      <c r="A136" s="793"/>
      <c r="B136" s="2536" t="s">
        <v>2316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4"/>
      <c r="C138" s="2534"/>
      <c r="D138" s="2534"/>
      <c r="E138" s="2534"/>
      <c r="F138" s="2534"/>
      <c r="G138" s="2534"/>
      <c r="H138" s="2534"/>
      <c r="I138" s="2535" t="s">
        <v>2317</v>
      </c>
    </row>
    <row r="139" spans="1:35" ht="21.75" customHeight="1">
      <c r="A139" s="793"/>
      <c r="B139" s="2536" t="s">
        <v>2318</v>
      </c>
      <c r="C139" s="793"/>
      <c r="D139" s="793"/>
      <c r="E139" s="793"/>
      <c r="F139" s="793"/>
      <c r="G139" s="793"/>
      <c r="H139" s="793"/>
      <c r="I139" s="793"/>
    </row>
    <row r="140" spans="1:35" ht="21.75" customHeight="1">
      <c r="A140" s="793"/>
      <c r="B140" s="2536"/>
      <c r="C140" s="793"/>
      <c r="D140" s="793"/>
      <c r="E140" s="793"/>
      <c r="F140" s="793"/>
      <c r="G140" s="793"/>
      <c r="H140" s="793"/>
      <c r="I140" s="793"/>
    </row>
    <row r="141" spans="1:35" ht="21.75" customHeight="1">
      <c r="A141" s="793"/>
      <c r="B141" s="2534"/>
      <c r="C141" s="2534"/>
      <c r="D141" s="2534"/>
      <c r="E141" s="2534"/>
      <c r="F141" s="2534"/>
      <c r="G141" s="2534"/>
      <c r="H141" s="2534"/>
      <c r="I141" s="2535" t="s">
        <v>2317</v>
      </c>
    </row>
    <row r="142" spans="1:35" ht="21.75" customHeight="1">
      <c r="A142" s="793"/>
      <c r="B142" s="2536"/>
      <c r="C142" s="2537"/>
      <c r="D142" s="2538"/>
      <c r="E142" s="2538"/>
      <c r="F142" s="2333"/>
      <c r="G142" s="793"/>
      <c r="H142" s="793"/>
      <c r="I142" s="793"/>
    </row>
    <row r="143" spans="1:35" s="138" customFormat="1" ht="21.75" customHeight="1">
      <c r="A143" s="793"/>
      <c r="B143" s="2536"/>
      <c r="C143" s="2537"/>
      <c r="D143" s="2538"/>
      <c r="E143" s="2538"/>
      <c r="F143" s="233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35" t="str">
        <f>项目基本情况!B1</f>
        <v>北京市东城区东直门南大街甲3号办公楼、车库用房房地产出让国有建设用地使用权及在建建筑物房地产抵押价值预评估</v>
      </c>
      <c r="C37" s="3035"/>
      <c r="D37" s="3035"/>
      <c r="E37" s="3035"/>
      <c r="F37" s="3035"/>
      <c r="G37" s="3035"/>
      <c r="H37" s="3035"/>
      <c r="I37" s="3035"/>
    </row>
    <row r="38" spans="1:9">
      <c r="A38" s="1012"/>
      <c r="B38" s="1012"/>
    </row>
    <row r="39" spans="1:9">
      <c r="A39" s="1010" t="s">
        <v>818</v>
      </c>
      <c r="B39" s="1010" t="s">
        <v>820</v>
      </c>
    </row>
    <row r="40" spans="1:9">
      <c r="A40" s="1010"/>
      <c r="B40" s="1938" t="str">
        <f>项目基本情况!B5</f>
        <v>北京居然之家投资控股集团有限公司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 xml:space="preserve"> （注册号：0)、欧红伟（注册号：1120000080)</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8" sqref="C3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2319</v>
      </c>
      <c r="B1" s="1933"/>
      <c r="C1" s="241"/>
      <c r="D1" s="241"/>
      <c r="E1" s="241"/>
      <c r="F1" s="241"/>
      <c r="G1" s="1375">
        <f>MATCH(B1,'数据-取费表'!A6:A16,0)+5</f>
        <v>9</v>
      </c>
    </row>
    <row r="2" spans="1:9" s="243" customFormat="1" ht="18" customHeight="1">
      <c r="A2" s="244" t="s">
        <v>2320</v>
      </c>
      <c r="B2" s="245">
        <f ca="1">IF(D2="——",C52,C52-E2)</f>
        <v>32185</v>
      </c>
      <c r="C2" s="242" t="s">
        <v>2321</v>
      </c>
      <c r="D2" s="2539" t="s">
        <v>70</v>
      </c>
      <c r="E2" s="1436" t="e">
        <f ca="1">SUMIF(INDIRECT("'"&amp;G2&amp;"'"&amp;"!A:A"),"承租人权益价值",INDIRECT("'"&amp;G2&amp;"'"&amp;"!c:c"))</f>
        <v>#REF!</v>
      </c>
      <c r="F2" s="2540" t="s">
        <v>2321</v>
      </c>
      <c r="G2" s="2541"/>
    </row>
    <row r="3" spans="1:9" s="243" customFormat="1" ht="18" customHeight="1" thickBot="1">
      <c r="A3" s="246" t="s">
        <v>2322</v>
      </c>
      <c r="B3" s="247">
        <f ca="1">ROUND(B2*10000/(IF(B1="",'数据-汇总表'!E3,INDIRECT("'数据-取费表'!k"&amp;$G$1))),0)</f>
        <v>6168</v>
      </c>
      <c r="C3" s="242" t="s">
        <v>2323</v>
      </c>
      <c r="D3" s="242"/>
      <c r="E3" s="242"/>
      <c r="F3" s="242"/>
      <c r="G3" s="242"/>
    </row>
    <row r="4" spans="1:9" s="251" customFormat="1" ht="15.75">
      <c r="A4" s="248" t="s">
        <v>2324</v>
      </c>
      <c r="B4" s="249"/>
      <c r="C4" s="249"/>
      <c r="D4" s="249"/>
      <c r="E4" s="249"/>
      <c r="F4" s="249"/>
      <c r="G4" s="250"/>
    </row>
    <row r="5" spans="1:9" s="257" customFormat="1" ht="13.5" customHeight="1">
      <c r="A5" s="298" t="s">
        <v>2325</v>
      </c>
      <c r="B5" s="253" t="s">
        <v>2326</v>
      </c>
      <c r="C5" s="254">
        <f>C6+C7+C8</f>
        <v>1044</v>
      </c>
      <c r="D5" s="254" t="s">
        <v>2327</v>
      </c>
      <c r="E5" s="255" t="s">
        <v>2328</v>
      </c>
      <c r="F5" s="255" t="s">
        <v>2329</v>
      </c>
      <c r="G5" s="256"/>
    </row>
    <row r="6" spans="1:9" s="257" customFormat="1" ht="13.5" customHeight="1">
      <c r="A6" s="945" t="s">
        <v>2330</v>
      </c>
      <c r="B6" s="258" t="s">
        <v>2331</v>
      </c>
      <c r="C6" s="259"/>
      <c r="D6" s="260"/>
      <c r="E6" s="261"/>
      <c r="F6" s="261"/>
      <c r="G6" s="262"/>
    </row>
    <row r="7" spans="1:9" s="257" customFormat="1" ht="13.5" customHeight="1">
      <c r="A7" s="945" t="s">
        <v>2332</v>
      </c>
      <c r="B7" s="258" t="s">
        <v>2333</v>
      </c>
      <c r="C7" s="263">
        <f>ROUND(C6*F7,0)</f>
        <v>0</v>
      </c>
      <c r="D7" s="263"/>
      <c r="E7" s="261"/>
      <c r="F7" s="264">
        <f>'数据-取费表'!B48+'数据-取费表'!B49</f>
        <v>3.0499999999999999E-2</v>
      </c>
      <c r="G7" s="262"/>
    </row>
    <row r="8" spans="1:9" s="266" customFormat="1">
      <c r="A8" s="945" t="s">
        <v>2334</v>
      </c>
      <c r="B8" s="258" t="s">
        <v>2335</v>
      </c>
      <c r="C8" s="263">
        <f>IF(G8="已包含在土地购买价格中","0",IF(B1="",'数据-取费表'!B29,IF(G9="全部缴纳",C9+C10,H9)))</f>
        <v>1044</v>
      </c>
      <c r="D8" s="265"/>
      <c r="E8" s="263"/>
      <c r="F8" s="264"/>
      <c r="G8" s="2542"/>
    </row>
    <row r="9" spans="1:9" s="257" customFormat="1" ht="13.5" customHeight="1">
      <c r="A9" s="946" t="s">
        <v>800</v>
      </c>
      <c r="B9" s="267" t="s">
        <v>2336</v>
      </c>
      <c r="C9" s="268">
        <f ca="1">ROUND(D9*E9/10000,0)</f>
        <v>0</v>
      </c>
      <c r="D9" s="1028">
        <f ca="1">IF(B1="",'数据-汇总表'!E5,IF(INDIRECT("'数据-取费表'!c"&amp;$G$1)="住宅",INDIRECT("'数据-取费表'!k"&amp;$G$1),0))</f>
        <v>0</v>
      </c>
      <c r="E9" s="268">
        <f>'数据-取费表'!B27</f>
        <v>0</v>
      </c>
      <c r="F9" s="264"/>
      <c r="G9" s="2543"/>
      <c r="H9" s="1386"/>
      <c r="I9" s="2544" t="s">
        <v>2337</v>
      </c>
    </row>
    <row r="10" spans="1:9" s="257" customFormat="1" ht="13.5" customHeight="1">
      <c r="A10" s="946" t="s">
        <v>801</v>
      </c>
      <c r="B10" s="267" t="s">
        <v>2338</v>
      </c>
      <c r="C10" s="268">
        <f ca="1">ROUND(D10*E10/10000,0)</f>
        <v>1044</v>
      </c>
      <c r="D10" s="1028">
        <f ca="1">IF(B1="",'数据-汇总表'!E6,IF(INDIRECT("'数据-取费表'!c"&amp;$G$1)="住宅",INDIRECT("'数据-取费表'!s"&amp;$G$1),INDIRECT("'数据-取费表'!k"&amp;$G$1)+INDIRECT("'数据-取费表'!s"&amp;$G$1)))</f>
        <v>52177.779999999992</v>
      </c>
      <c r="E10" s="268">
        <f>'数据-取费表'!B28</f>
        <v>200</v>
      </c>
      <c r="F10" s="264"/>
      <c r="G10" s="269"/>
    </row>
    <row r="11" spans="1:9" s="257" customFormat="1" ht="13.5" hidden="1" customHeight="1">
      <c r="A11" s="270" t="s">
        <v>7</v>
      </c>
      <c r="B11" s="258" t="s">
        <v>2339</v>
      </c>
      <c r="C11" s="254"/>
      <c r="D11" s="1030"/>
      <c r="E11" s="261"/>
      <c r="F11" s="261"/>
      <c r="G11" s="262"/>
    </row>
    <row r="12" spans="1:9" s="257" customFormat="1" ht="13.5" hidden="1" customHeight="1">
      <c r="A12" s="270" t="s">
        <v>8</v>
      </c>
      <c r="B12" s="258" t="s">
        <v>2340</v>
      </c>
      <c r="C12" s="254">
        <v>0</v>
      </c>
      <c r="D12" s="1030"/>
      <c r="E12" s="271"/>
      <c r="F12" s="264">
        <v>3.0499999999999999E-2</v>
      </c>
      <c r="G12" s="262"/>
    </row>
    <row r="13" spans="1:9" s="257" customFormat="1" ht="13.5" hidden="1" customHeight="1">
      <c r="A13" s="270" t="s">
        <v>9</v>
      </c>
      <c r="B13" s="258" t="s">
        <v>2341</v>
      </c>
      <c r="C13" s="254"/>
      <c r="D13" s="1030"/>
      <c r="E13" s="261"/>
      <c r="F13" s="261"/>
      <c r="G13" s="262"/>
    </row>
    <row r="14" spans="1:9" s="257" customFormat="1" ht="13.5" hidden="1" customHeight="1">
      <c r="A14" s="270" t="s">
        <v>10</v>
      </c>
      <c r="B14" s="258" t="s">
        <v>2342</v>
      </c>
      <c r="C14" s="254"/>
      <c r="D14" s="1030"/>
      <c r="E14" s="261"/>
      <c r="F14" s="261"/>
      <c r="G14" s="262" t="s">
        <v>2343</v>
      </c>
    </row>
    <row r="15" spans="1:9" s="257" customFormat="1" ht="13.5" hidden="1" customHeight="1">
      <c r="A15" s="270" t="s">
        <v>11</v>
      </c>
      <c r="B15" s="258" t="s">
        <v>2344</v>
      </c>
      <c r="C15" s="263"/>
      <c r="D15" s="1030"/>
      <c r="E15" s="261"/>
      <c r="F15" s="261"/>
      <c r="G15" s="262" t="s">
        <v>2345</v>
      </c>
    </row>
    <row r="16" spans="1:9" s="257" customFormat="1" ht="13.5" hidden="1" customHeight="1">
      <c r="A16" s="270" t="s">
        <v>12</v>
      </c>
      <c r="B16" s="258" t="s">
        <v>2342</v>
      </c>
      <c r="C16" s="263"/>
      <c r="D16" s="1030"/>
      <c r="E16" s="261"/>
      <c r="F16" s="261"/>
      <c r="G16" s="262"/>
    </row>
    <row r="17" spans="1:7" s="257" customFormat="1" ht="13.5" hidden="1" customHeight="1">
      <c r="A17" s="270" t="s">
        <v>13</v>
      </c>
      <c r="B17" s="258" t="s">
        <v>2346</v>
      </c>
      <c r="C17" s="272"/>
      <c r="D17" s="1031"/>
      <c r="E17" s="272"/>
      <c r="F17" s="272"/>
      <c r="G17" s="262" t="s">
        <v>2345</v>
      </c>
    </row>
    <row r="18" spans="1:7" s="257" customFormat="1" ht="13.5" hidden="1" customHeight="1">
      <c r="A18" s="270" t="s">
        <v>14</v>
      </c>
      <c r="B18" s="258" t="s">
        <v>2347</v>
      </c>
      <c r="C18" s="263">
        <v>0</v>
      </c>
      <c r="D18" s="1030"/>
      <c r="E18" s="261"/>
      <c r="F18" s="264">
        <v>3.0499999999999999E-2</v>
      </c>
      <c r="G18" s="262" t="s">
        <v>2348</v>
      </c>
    </row>
    <row r="19" spans="1:7" s="266" customFormat="1" ht="13.5" customHeight="1">
      <c r="A19" s="298" t="s">
        <v>2349</v>
      </c>
      <c r="B19" s="253" t="s">
        <v>2350</v>
      </c>
      <c r="C19" s="254">
        <f ca="1">IF(G19="已包含在土地取得成本中","0",ROUND(D19*E19/10000,0))</f>
        <v>1044</v>
      </c>
      <c r="D19" s="1032">
        <f ca="1">D9+D10</f>
        <v>52177.779999999992</v>
      </c>
      <c r="E19" s="254">
        <f>'数据-取费表'!B31</f>
        <v>200</v>
      </c>
      <c r="F19" s="274"/>
      <c r="G19" s="2542"/>
    </row>
    <row r="20" spans="1:7" s="257" customFormat="1" ht="13.5" customHeight="1">
      <c r="A20" s="298" t="s">
        <v>2351</v>
      </c>
      <c r="B20" s="253" t="s">
        <v>2352</v>
      </c>
      <c r="C20" s="275">
        <f ca="1">ROUND((C5+C19)*F20,0)</f>
        <v>42</v>
      </c>
      <c r="D20" s="275"/>
      <c r="E20" s="275"/>
      <c r="F20" s="276">
        <f>'数据-取费表'!B37</f>
        <v>0.02</v>
      </c>
      <c r="G20" s="277" t="s">
        <v>2353</v>
      </c>
    </row>
    <row r="21" spans="1:7" s="257" customFormat="1" ht="13.5" customHeight="1">
      <c r="A21" s="298" t="s">
        <v>2354</v>
      </c>
      <c r="B21" s="253" t="s">
        <v>2355</v>
      </c>
      <c r="C21" s="278">
        <f>F21</f>
        <v>0.02</v>
      </c>
      <c r="D21" s="279" t="s">
        <v>2356</v>
      </c>
      <c r="E21" s="275"/>
      <c r="F21" s="276">
        <f>'数据-取费表'!B38</f>
        <v>0.02</v>
      </c>
      <c r="G21" s="277" t="s">
        <v>2357</v>
      </c>
    </row>
    <row r="22" spans="1:7" s="257" customFormat="1" ht="13.5" customHeight="1">
      <c r="A22" s="298" t="s">
        <v>2358</v>
      </c>
      <c r="B22" s="253" t="s">
        <v>2359</v>
      </c>
      <c r="C22" s="1350">
        <f ca="1">ROUND(SUM(C23:C25),0)</f>
        <v>206</v>
      </c>
      <c r="D22" s="278">
        <f ca="1">C26</f>
        <v>1E-3</v>
      </c>
      <c r="E22" s="279" t="s">
        <v>2356</v>
      </c>
      <c r="F22" s="280">
        <f ca="1">'数据-取费表'!B40</f>
        <v>4.7500000000000001E-2</v>
      </c>
      <c r="G22" s="277" t="str">
        <f>IF('数据-取费表'!B22&lt;=1,"单利计息","复利计息")</f>
        <v>复利计息</v>
      </c>
    </row>
    <row r="23" spans="1:7" s="257" customFormat="1" ht="13.5" customHeight="1">
      <c r="A23" s="947" t="s">
        <v>2360</v>
      </c>
      <c r="B23" s="258" t="s">
        <v>2361</v>
      </c>
      <c r="C23" s="1351">
        <f ca="1">ROUND(IF('数据-取费表'!B22&lt;=1,C5*F22*'数据-取费表'!B23,C5*(POWER((1+F22),'数据-取费表'!B23)-1)),0)</f>
        <v>102</v>
      </c>
      <c r="D23" s="281"/>
      <c r="E23" s="281"/>
      <c r="F23" s="282"/>
      <c r="G23" s="283" t="s">
        <v>2362</v>
      </c>
    </row>
    <row r="24" spans="1:7" s="257" customFormat="1" ht="13.5" customHeight="1">
      <c r="A24" s="947" t="s">
        <v>2363</v>
      </c>
      <c r="B24" s="258" t="s">
        <v>2364</v>
      </c>
      <c r="C24" s="1351">
        <f ca="1">ROUND(IF('数据-取费表'!B22&lt;=1,C19*F22*('数据-取费表'!B19/2+'数据-取费表'!B21),C19*(POWER((1+F22),('数据-取费表'!B19/2+'数据-取费表'!B21))-1)),0)</f>
        <v>102</v>
      </c>
      <c r="D24" s="281"/>
      <c r="E24" s="281"/>
      <c r="F24" s="282"/>
      <c r="G24" s="283" t="s">
        <v>2365</v>
      </c>
    </row>
    <row r="25" spans="1:7" s="257" customFormat="1" ht="24">
      <c r="A25" s="947" t="s">
        <v>2366</v>
      </c>
      <c r="B25" s="258" t="s">
        <v>2367</v>
      </c>
      <c r="C25" s="1351">
        <f ca="1">ROUND(IF('数据-取费表'!B22&lt;=1,C20*F22*'数据-取费表'!B23/2,C20*(POWER((1+F22),'数据-取费表'!B23/2)-1)),0)</f>
        <v>2</v>
      </c>
      <c r="D25" s="281"/>
      <c r="E25" s="284"/>
      <c r="F25" s="282"/>
      <c r="G25" s="285" t="s">
        <v>2368</v>
      </c>
    </row>
    <row r="26" spans="1:7" s="257" customFormat="1">
      <c r="A26" s="947" t="s">
        <v>795</v>
      </c>
      <c r="B26" s="258" t="s">
        <v>2369</v>
      </c>
      <c r="C26" s="281">
        <f ca="1">ROUND(IF('数据-取费表'!B22&lt;=1,F21*F22*'数据-取费表'!B23/2,F21*(POWER((1+F22),'数据-取费表'!B23/2)-1)),4)</f>
        <v>1E-3</v>
      </c>
      <c r="D26" s="281"/>
      <c r="E26" s="284"/>
      <c r="F26" s="282"/>
      <c r="G26" s="286"/>
    </row>
    <row r="27" spans="1:7" s="257" customFormat="1" ht="24.75">
      <c r="A27" s="298" t="s">
        <v>2370</v>
      </c>
      <c r="B27" s="287" t="s">
        <v>2371</v>
      </c>
      <c r="C27" s="288">
        <f ca="1">C28</f>
        <v>490</v>
      </c>
      <c r="D27" s="278">
        <f ca="1">C29</f>
        <v>4.5999999999999999E-3</v>
      </c>
      <c r="E27" s="279" t="s">
        <v>2372</v>
      </c>
      <c r="F27" s="289">
        <f ca="1">IF(B1="",'数据-取费表'!Q16,INDIRECT("'数据-取费表'!q"&amp;$G$1))</f>
        <v>0.23</v>
      </c>
      <c r="G27" s="290" t="s">
        <v>2373</v>
      </c>
    </row>
    <row r="28" spans="1:7" s="257" customFormat="1" ht="13.5" customHeight="1">
      <c r="A28" s="947" t="s">
        <v>791</v>
      </c>
      <c r="B28" s="291" t="s">
        <v>2374</v>
      </c>
      <c r="C28" s="292">
        <f ca="1">ROUND((C5+C19+C20)*F27*'数据-取费表'!B21/'数据-取费表'!B20,0)</f>
        <v>490</v>
      </c>
      <c r="D28" s="278"/>
      <c r="E28" s="279"/>
      <c r="F28" s="289"/>
      <c r="G28" s="290"/>
    </row>
    <row r="29" spans="1:7" s="257" customFormat="1" ht="13.5" customHeight="1">
      <c r="A29" s="947" t="s">
        <v>792</v>
      </c>
      <c r="B29" s="291" t="s">
        <v>2375</v>
      </c>
      <c r="C29" s="281">
        <f ca="1">ROUND(C21*F27*'数据-取费表'!B21/'数据-取费表'!B20,4)</f>
        <v>4.5999999999999999E-3</v>
      </c>
      <c r="D29" s="278"/>
      <c r="E29" s="279"/>
      <c r="F29" s="289"/>
      <c r="G29" s="290"/>
    </row>
    <row r="30" spans="1:7" s="257" customFormat="1" ht="13.5" customHeight="1">
      <c r="A30" s="298" t="s">
        <v>2376</v>
      </c>
      <c r="B30" s="253" t="s">
        <v>2377</v>
      </c>
      <c r="C30" s="278">
        <f>ROUND(F30/(1+'数据-取费表'!C42),4)</f>
        <v>5.33E-2</v>
      </c>
      <c r="D30" s="279" t="s">
        <v>2372</v>
      </c>
      <c r="E30" s="284"/>
      <c r="F30" s="280">
        <f>'数据-取费表'!B41</f>
        <v>5.6000000000000001E-2</v>
      </c>
      <c r="G30" s="277" t="s">
        <v>2378</v>
      </c>
    </row>
    <row r="31" spans="1:7" ht="16.5" customHeight="1">
      <c r="A31" s="252">
        <v>1</v>
      </c>
      <c r="B31" s="253" t="s">
        <v>2379</v>
      </c>
      <c r="C31" s="254">
        <f ca="1">ROUND((C5+C19+C20+C22+C27)/(1-C21-D22-D27-C30),0)</f>
        <v>3068</v>
      </c>
      <c r="D31" s="273"/>
      <c r="E31" s="254"/>
      <c r="F31" s="293"/>
      <c r="G31" s="277" t="s">
        <v>2380</v>
      </c>
    </row>
    <row r="32" spans="1:7" s="251" customFormat="1" ht="15.75">
      <c r="A32" s="295" t="s">
        <v>2381</v>
      </c>
      <c r="B32" s="296"/>
      <c r="C32" s="296"/>
      <c r="D32" s="296"/>
      <c r="E32" s="296"/>
      <c r="F32" s="296"/>
      <c r="G32" s="297"/>
    </row>
    <row r="33" spans="1:7" s="257" customFormat="1" ht="13.5" customHeight="1">
      <c r="A33" s="298" t="s">
        <v>782</v>
      </c>
      <c r="B33" s="253" t="s">
        <v>2382</v>
      </c>
      <c r="C33" s="299">
        <f ca="1">SUM(C34:C38)</f>
        <v>23794</v>
      </c>
      <c r="D33" s="275"/>
      <c r="E33" s="255"/>
      <c r="F33" s="284"/>
      <c r="G33" s="277"/>
    </row>
    <row r="34" spans="1:7" s="301" customFormat="1" ht="13.5" customHeight="1">
      <c r="A34" s="947" t="s">
        <v>791</v>
      </c>
      <c r="B34" s="258" t="s">
        <v>2383</v>
      </c>
      <c r="C34" s="263">
        <f ca="1">IF(B1="",IF(F34=100%,'数据-取费表'!M16,'数据-取费表'!O16),IF(F34=100%,INDIRECT("'数据-取费表'!m"&amp;$G$1)+INDIRECT("'数据-取费表'!t"&amp;$G$1),INDIRECT("'数据-取费表'!o"&amp;$G$1)+INDIRECT("'数据-取费表'!aq"&amp;$G$1)))</f>
        <v>21770</v>
      </c>
      <c r="D34" s="260"/>
      <c r="E34" s="263"/>
      <c r="F34" s="300">
        <f ca="1">IF('数据-取费表'!B24=0,1,IF(B1="",'数据-取费表'!N16,INDIRECT("'数据-取费表'!n"&amp;$G$1)))</f>
        <v>1</v>
      </c>
      <c r="G34" s="262" t="s">
        <v>2384</v>
      </c>
    </row>
    <row r="35" spans="1:7" ht="13.5" customHeight="1">
      <c r="A35" s="947" t="s">
        <v>796</v>
      </c>
      <c r="B35" s="258" t="s">
        <v>2385</v>
      </c>
      <c r="C35" s="263">
        <f ca="1">ROUND(C34*F35,0)</f>
        <v>653</v>
      </c>
      <c r="D35" s="263"/>
      <c r="E35" s="263"/>
      <c r="F35" s="302">
        <f>'数据-取费表'!B33</f>
        <v>0.03</v>
      </c>
      <c r="G35" s="262" t="s">
        <v>2386</v>
      </c>
    </row>
    <row r="36" spans="1:7" ht="24">
      <c r="A36" s="947" t="s">
        <v>797</v>
      </c>
      <c r="B36" s="258" t="s">
        <v>2387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2388</v>
      </c>
    </row>
    <row r="37" spans="1:7" s="301" customFormat="1" ht="13.5" customHeight="1">
      <c r="A37" s="947" t="s">
        <v>798</v>
      </c>
      <c r="B37" s="258" t="s">
        <v>2389</v>
      </c>
      <c r="C37" s="292">
        <f ca="1">ROUND(E37*D37*F34/10000,0)</f>
        <v>1044</v>
      </c>
      <c r="D37" s="260">
        <f ca="1">D19</f>
        <v>52177.779999999992</v>
      </c>
      <c r="E37" s="292">
        <f>'数据-取费表'!B35</f>
        <v>200</v>
      </c>
      <c r="F37" s="302"/>
      <c r="G37" s="304" t="s">
        <v>2390</v>
      </c>
    </row>
    <row r="38" spans="1:7" ht="13.5" customHeight="1">
      <c r="A38" s="947" t="s">
        <v>799</v>
      </c>
      <c r="B38" s="258" t="s">
        <v>2391</v>
      </c>
      <c r="C38" s="263">
        <f ca="1">ROUND(C34*F38,0)</f>
        <v>327</v>
      </c>
      <c r="D38" s="263"/>
      <c r="E38" s="263"/>
      <c r="F38" s="302">
        <f>'数据-取费表'!B36</f>
        <v>1.4999999999999999E-2</v>
      </c>
      <c r="G38" s="262" t="s">
        <v>2386</v>
      </c>
    </row>
    <row r="39" spans="1:7" s="257" customFormat="1" ht="13.5" customHeight="1">
      <c r="A39" s="298" t="s">
        <v>2392</v>
      </c>
      <c r="B39" s="253" t="s">
        <v>2393</v>
      </c>
      <c r="C39" s="275">
        <f ca="1">ROUND(C33*F20,0)</f>
        <v>476</v>
      </c>
      <c r="D39" s="275"/>
      <c r="E39" s="275"/>
      <c r="F39" s="276"/>
      <c r="G39" s="277" t="s">
        <v>2394</v>
      </c>
    </row>
    <row r="40" spans="1:7" s="257" customFormat="1" ht="13.5" customHeight="1">
      <c r="A40" s="298" t="s">
        <v>2395</v>
      </c>
      <c r="B40" s="253" t="s">
        <v>2396</v>
      </c>
      <c r="C40" s="1724">
        <f>F21</f>
        <v>0.02</v>
      </c>
      <c r="D40" s="279" t="s">
        <v>2397</v>
      </c>
      <c r="E40" s="275"/>
      <c r="F40" s="276"/>
      <c r="G40" s="277" t="s">
        <v>2398</v>
      </c>
    </row>
    <row r="41" spans="1:7" s="257" customFormat="1" ht="13.5" customHeight="1">
      <c r="A41" s="298" t="s">
        <v>2399</v>
      </c>
      <c r="B41" s="253" t="s">
        <v>2400</v>
      </c>
      <c r="C41" s="275">
        <f ca="1">ROUND(SUM(C42:C43),0)</f>
        <v>1153</v>
      </c>
      <c r="D41" s="278">
        <f ca="1">C44</f>
        <v>1E-3</v>
      </c>
      <c r="E41" s="279" t="s">
        <v>2397</v>
      </c>
      <c r="F41" s="280"/>
      <c r="G41" s="277" t="str">
        <f>IF('数据-取费表'!B22&lt;=1,"单利计息","复利计息")</f>
        <v>复利计息</v>
      </c>
    </row>
    <row r="42" spans="1:7" ht="13.5" customHeight="1">
      <c r="A42" s="947" t="s">
        <v>791</v>
      </c>
      <c r="B42" s="258" t="s">
        <v>2401</v>
      </c>
      <c r="C42" s="281">
        <f ca="1">ROUND(IF('数据-取费表'!B22&lt;=1,C33*F22*'数据-取费表'!B21/2,C33*(POWER((1+F22),'数据-取费表'!B21/2)-1)),0)</f>
        <v>1130</v>
      </c>
      <c r="D42" s="281"/>
      <c r="E42" s="281"/>
      <c r="F42" s="282"/>
      <c r="G42" s="3241" t="s">
        <v>2402</v>
      </c>
    </row>
    <row r="43" spans="1:7" ht="13.5" customHeight="1">
      <c r="A43" s="947" t="s">
        <v>792</v>
      </c>
      <c r="B43" s="258" t="s">
        <v>2403</v>
      </c>
      <c r="C43" s="281">
        <f ca="1">ROUND(IF('数据-取费表'!B22&lt;=1,C39*F22*'数据-取费表'!B21/2,C39*(POWER((1+F22),'数据-取费表'!B21/2)-1)),0)</f>
        <v>23</v>
      </c>
      <c r="D43" s="281"/>
      <c r="E43" s="281"/>
      <c r="F43" s="282"/>
      <c r="G43" s="3242"/>
    </row>
    <row r="44" spans="1:7" ht="13.5" customHeight="1">
      <c r="A44" s="947" t="s">
        <v>793</v>
      </c>
      <c r="B44" s="258" t="s">
        <v>2404</v>
      </c>
      <c r="C44" s="281">
        <f ca="1">ROUND(IF('数据-取费表'!B22&lt;=1,C40*F22*'数据-取费表'!B21/2,C40*(POWER((1+F22),'数据-取费表'!B21/2)-1)),4)</f>
        <v>1E-3</v>
      </c>
      <c r="D44" s="281"/>
      <c r="E44" s="281"/>
      <c r="F44" s="282"/>
      <c r="G44" s="3243"/>
    </row>
    <row r="45" spans="1:7" s="257" customFormat="1" ht="13.5" customHeight="1">
      <c r="A45" s="298" t="s">
        <v>2405</v>
      </c>
      <c r="B45" s="287" t="s">
        <v>2371</v>
      </c>
      <c r="C45" s="288">
        <f ca="1">C46</f>
        <v>5582</v>
      </c>
      <c r="D45" s="278">
        <f ca="1">C47</f>
        <v>4.5999999999999999E-3</v>
      </c>
      <c r="E45" s="279" t="s">
        <v>2397</v>
      </c>
      <c r="F45" s="289"/>
      <c r="G45" s="290" t="s">
        <v>2406</v>
      </c>
    </row>
    <row r="46" spans="1:7" s="257" customFormat="1" ht="13.5" customHeight="1">
      <c r="A46" s="947" t="s">
        <v>791</v>
      </c>
      <c r="B46" s="291" t="s">
        <v>2407</v>
      </c>
      <c r="C46" s="292">
        <f ca="1">ROUND((C33+C39)*F27,0)</f>
        <v>5582</v>
      </c>
      <c r="D46" s="306"/>
      <c r="E46" s="279"/>
      <c r="F46" s="289"/>
      <c r="G46" s="290"/>
    </row>
    <row r="47" spans="1:7" s="257" customFormat="1" ht="13.5" customHeight="1">
      <c r="A47" s="947" t="s">
        <v>792</v>
      </c>
      <c r="B47" s="291" t="s">
        <v>2408</v>
      </c>
      <c r="C47" s="281">
        <f ca="1">ROUND(C40*F27,4)</f>
        <v>4.5999999999999999E-3</v>
      </c>
      <c r="D47" s="306"/>
      <c r="E47" s="279"/>
      <c r="F47" s="289"/>
      <c r="G47" s="290"/>
    </row>
    <row r="48" spans="1:7" s="257" customFormat="1" ht="13.5" customHeight="1">
      <c r="A48" s="298" t="s">
        <v>2370</v>
      </c>
      <c r="B48" s="253" t="s">
        <v>2409</v>
      </c>
      <c r="C48" s="1724">
        <f>ROUND(F30/(1+'数据-取费表'!C42),4)</f>
        <v>5.33E-2</v>
      </c>
      <c r="D48" s="279" t="s">
        <v>2397</v>
      </c>
      <c r="E48" s="275"/>
      <c r="F48" s="280"/>
      <c r="G48" s="277" t="s">
        <v>2410</v>
      </c>
    </row>
    <row r="49" spans="1:7" ht="16.5" customHeight="1">
      <c r="A49" s="298" t="s">
        <v>2376</v>
      </c>
      <c r="B49" s="253" t="s">
        <v>2411</v>
      </c>
      <c r="C49" s="275">
        <f ca="1">ROUND((C33+C39+C41+C45)/(1-C40-D41-D45-C48),0)</f>
        <v>33661</v>
      </c>
      <c r="D49" s="275"/>
      <c r="E49" s="275"/>
      <c r="F49" s="307"/>
      <c r="G49" s="277" t="s">
        <v>2412</v>
      </c>
    </row>
    <row r="50" spans="1:7" s="301" customFormat="1" ht="24">
      <c r="A50" s="298" t="s">
        <v>2413</v>
      </c>
      <c r="B50" s="253" t="s">
        <v>2414</v>
      </c>
      <c r="C50" s="275"/>
      <c r="D50" s="275"/>
      <c r="E50" s="275"/>
      <c r="F50" s="307">
        <f>IF('数据-取费表'!B24=0,'数据-取费表'!N16,1)</f>
        <v>0.86499999999999999</v>
      </c>
      <c r="G50" s="290" t="s">
        <v>2415</v>
      </c>
    </row>
    <row r="51" spans="1:7" ht="16.5" customHeight="1">
      <c r="A51" s="298" t="s">
        <v>2416</v>
      </c>
      <c r="B51" s="253" t="s">
        <v>2417</v>
      </c>
      <c r="C51" s="275">
        <f ca="1">ROUND(C49*F50,0)</f>
        <v>29117</v>
      </c>
      <c r="D51" s="275"/>
      <c r="E51" s="275"/>
      <c r="F51" s="307"/>
      <c r="G51" s="277" t="s">
        <v>2418</v>
      </c>
    </row>
    <row r="52" spans="1:7" s="251" customFormat="1" ht="16.5" thickBot="1">
      <c r="A52" s="308" t="s">
        <v>2419</v>
      </c>
      <c r="B52" s="309"/>
      <c r="C52" s="310">
        <f ca="1">C31+C51</f>
        <v>32185</v>
      </c>
      <c r="D52" s="309"/>
      <c r="E52" s="309"/>
      <c r="F52" s="309"/>
      <c r="G52" s="311"/>
    </row>
    <row r="55" spans="1:7" ht="15">
      <c r="B55" s="313" t="s">
        <v>2420</v>
      </c>
      <c r="C55" s="314"/>
    </row>
    <row r="56" spans="1:7">
      <c r="B56" s="316" t="s">
        <v>1512</v>
      </c>
      <c r="C56" s="318">
        <f ca="1">1-C57</f>
        <v>9.4999999999999973E-2</v>
      </c>
    </row>
    <row r="57" spans="1:7">
      <c r="B57" s="316" t="s">
        <v>1513</v>
      </c>
      <c r="C57" s="317">
        <f ca="1">ROUND(C51/C52,3)</f>
        <v>0.90500000000000003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2319</v>
      </c>
      <c r="B1" s="1933"/>
      <c r="C1" s="2545" t="s">
        <v>2421</v>
      </c>
      <c r="D1" s="241"/>
      <c r="E1" s="241"/>
      <c r="F1" s="241"/>
      <c r="G1" s="1375">
        <f>MATCH(B1,'数据-取费表'!A6:A16,0)+5</f>
        <v>9</v>
      </c>
      <c r="H1" s="1278" t="str">
        <f>IF(ISERROR(FIND("住宅",B1)),"非住宅","住宅")</f>
        <v>非住宅</v>
      </c>
    </row>
    <row r="2" spans="1:8" s="243" customFormat="1" ht="18" customHeight="1">
      <c r="A2" s="244" t="s">
        <v>2320</v>
      </c>
      <c r="B2" s="245">
        <f ca="1">ROUND(IF(D2="——",C52/10000,C52/10000-E2),0)</f>
        <v>32181</v>
      </c>
      <c r="C2" s="242" t="s">
        <v>2321</v>
      </c>
      <c r="D2" s="2539" t="s">
        <v>70</v>
      </c>
      <c r="E2" s="1436" t="e">
        <f ca="1">SUMIF(INDIRECT("'"&amp;G2&amp;"'"&amp;"!A:A"),"承租人权益价值",INDIRECT("'"&amp;G2&amp;"'"&amp;"!c:c"))</f>
        <v>#REF!</v>
      </c>
      <c r="F2" s="2540" t="s">
        <v>2321</v>
      </c>
      <c r="G2" s="2541"/>
    </row>
    <row r="3" spans="1:8" s="243" customFormat="1" ht="18" customHeight="1" thickBot="1">
      <c r="A3" s="246" t="s">
        <v>2322</v>
      </c>
      <c r="B3" s="247">
        <f ca="1">ROUND(B2*10000/(IF(B1="",'数据-汇总表'!E3,INDIRECT("'数据-取费表'!k"&amp;$G$1))),0)</f>
        <v>6168</v>
      </c>
      <c r="C3" s="242" t="s">
        <v>2323</v>
      </c>
      <c r="D3" s="242"/>
      <c r="E3" s="242"/>
      <c r="F3" s="242"/>
      <c r="G3" s="242"/>
    </row>
    <row r="4" spans="1:8" s="251" customFormat="1" ht="15.75">
      <c r="A4" s="248" t="s">
        <v>2324</v>
      </c>
      <c r="B4" s="249"/>
      <c r="C4" s="249"/>
      <c r="D4" s="249"/>
      <c r="E4" s="249"/>
      <c r="F4" s="249"/>
      <c r="G4" s="250"/>
    </row>
    <row r="5" spans="1:8" s="257" customFormat="1" ht="13.5" customHeight="1">
      <c r="A5" s="298" t="s">
        <v>2325</v>
      </c>
      <c r="B5" s="253" t="s">
        <v>2326</v>
      </c>
      <c r="C5" s="254">
        <f ca="1">C6+C7+C8</f>
        <v>10435556</v>
      </c>
      <c r="D5" s="254" t="s">
        <v>2327</v>
      </c>
      <c r="E5" s="255" t="s">
        <v>2328</v>
      </c>
      <c r="F5" s="255" t="s">
        <v>2329</v>
      </c>
      <c r="G5" s="256"/>
    </row>
    <row r="6" spans="1:8" s="257" customFormat="1" ht="13.5" customHeight="1">
      <c r="A6" s="945" t="s">
        <v>2330</v>
      </c>
      <c r="B6" s="258" t="s">
        <v>2331</v>
      </c>
      <c r="C6" s="259"/>
      <c r="D6" s="260"/>
      <c r="E6" s="261"/>
      <c r="F6" s="261"/>
      <c r="G6" s="262"/>
    </row>
    <row r="7" spans="1:8" s="257" customFormat="1" ht="13.5" customHeight="1">
      <c r="A7" s="945" t="s">
        <v>2332</v>
      </c>
      <c r="B7" s="258" t="s">
        <v>2333</v>
      </c>
      <c r="C7" s="263">
        <f>ROUND(C6*F7,0)</f>
        <v>0</v>
      </c>
      <c r="D7" s="263"/>
      <c r="E7" s="261"/>
      <c r="F7" s="264">
        <f>'数据-取费表'!B48+'数据-取费表'!B49</f>
        <v>3.0499999999999999E-2</v>
      </c>
      <c r="G7" s="262"/>
    </row>
    <row r="8" spans="1:8" s="266" customFormat="1">
      <c r="A8" s="945" t="s">
        <v>2334</v>
      </c>
      <c r="B8" s="258" t="s">
        <v>2335</v>
      </c>
      <c r="C8" s="263">
        <f ca="1">IF(G8="已包含在土地购买价格中",0,C9+C10)</f>
        <v>10435556</v>
      </c>
      <c r="D8" s="265"/>
      <c r="E8" s="263"/>
      <c r="F8" s="264"/>
      <c r="G8" s="2542"/>
    </row>
    <row r="9" spans="1:8" s="257" customFormat="1" ht="13.5" customHeight="1">
      <c r="A9" s="946" t="s">
        <v>800</v>
      </c>
      <c r="B9" s="267" t="s">
        <v>2336</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2338</v>
      </c>
      <c r="C10" s="268">
        <f ca="1">ROUND(D10*E10,0)</f>
        <v>10435556</v>
      </c>
      <c r="D10" s="1028">
        <f ca="1">IF(B1="",'数据-汇总表'!E6,IF(INDIRECT("'数据-取费表'!c"&amp;$G$1)="住宅",INDIRECT("'数据-取费表'!s"&amp;$G$1),INDIRECT("'数据-取费表'!k"&amp;$G$1)+INDIRECT("'数据-取费表'!s"&amp;$G$1)))</f>
        <v>52177.779999999992</v>
      </c>
      <c r="E10" s="268">
        <f>'数据-取费表'!B28</f>
        <v>200</v>
      </c>
      <c r="F10" s="264"/>
      <c r="G10" s="269"/>
    </row>
    <row r="11" spans="1:8" s="257" customFormat="1" ht="13.5" hidden="1" customHeight="1">
      <c r="A11" s="270" t="s">
        <v>7</v>
      </c>
      <c r="B11" s="258" t="s">
        <v>2339</v>
      </c>
      <c r="C11" s="254"/>
      <c r="D11" s="1030"/>
      <c r="E11" s="261"/>
      <c r="F11" s="261"/>
      <c r="G11" s="262"/>
    </row>
    <row r="12" spans="1:8" s="257" customFormat="1" ht="13.5" hidden="1" customHeight="1">
      <c r="A12" s="270" t="s">
        <v>8</v>
      </c>
      <c r="B12" s="258" t="s">
        <v>2422</v>
      </c>
      <c r="C12" s="254">
        <v>0</v>
      </c>
      <c r="D12" s="1030"/>
      <c r="E12" s="271"/>
      <c r="F12" s="264">
        <v>3.0499999999999999E-2</v>
      </c>
      <c r="G12" s="262"/>
    </row>
    <row r="13" spans="1:8" s="257" customFormat="1" ht="13.5" hidden="1" customHeight="1">
      <c r="A13" s="270" t="s">
        <v>9</v>
      </c>
      <c r="B13" s="258" t="s">
        <v>2423</v>
      </c>
      <c r="C13" s="254"/>
      <c r="D13" s="1030"/>
      <c r="E13" s="261"/>
      <c r="F13" s="261"/>
      <c r="G13" s="262"/>
    </row>
    <row r="14" spans="1:8" s="257" customFormat="1" ht="13.5" hidden="1" customHeight="1">
      <c r="A14" s="270" t="s">
        <v>10</v>
      </c>
      <c r="B14" s="258" t="s">
        <v>2335</v>
      </c>
      <c r="C14" s="254"/>
      <c r="D14" s="1030"/>
      <c r="E14" s="261"/>
      <c r="F14" s="261"/>
      <c r="G14" s="262" t="s">
        <v>2424</v>
      </c>
    </row>
    <row r="15" spans="1:8" s="257" customFormat="1" ht="13.5" hidden="1" customHeight="1">
      <c r="A15" s="270" t="s">
        <v>11</v>
      </c>
      <c r="B15" s="258" t="s">
        <v>2425</v>
      </c>
      <c r="C15" s="263"/>
      <c r="D15" s="1030"/>
      <c r="E15" s="261"/>
      <c r="F15" s="261"/>
      <c r="G15" s="262" t="s">
        <v>2426</v>
      </c>
    </row>
    <row r="16" spans="1:8" s="257" customFormat="1" ht="13.5" hidden="1" customHeight="1">
      <c r="A16" s="270" t="s">
        <v>12</v>
      </c>
      <c r="B16" s="258" t="s">
        <v>2335</v>
      </c>
      <c r="C16" s="263"/>
      <c r="D16" s="1030"/>
      <c r="E16" s="261"/>
      <c r="F16" s="261"/>
      <c r="G16" s="262"/>
    </row>
    <row r="17" spans="1:7" s="257" customFormat="1" ht="13.5" hidden="1" customHeight="1">
      <c r="A17" s="270" t="s">
        <v>13</v>
      </c>
      <c r="B17" s="258" t="s">
        <v>2427</v>
      </c>
      <c r="C17" s="272"/>
      <c r="D17" s="1031"/>
      <c r="E17" s="272"/>
      <c r="F17" s="272"/>
      <c r="G17" s="262" t="s">
        <v>2426</v>
      </c>
    </row>
    <row r="18" spans="1:7" s="257" customFormat="1" ht="13.5" hidden="1" customHeight="1">
      <c r="A18" s="270" t="s">
        <v>14</v>
      </c>
      <c r="B18" s="258" t="s">
        <v>2428</v>
      </c>
      <c r="C18" s="263">
        <v>0</v>
      </c>
      <c r="D18" s="1030"/>
      <c r="E18" s="261"/>
      <c r="F18" s="264">
        <v>3.0499999999999999E-2</v>
      </c>
      <c r="G18" s="262" t="s">
        <v>2429</v>
      </c>
    </row>
    <row r="19" spans="1:7" s="266" customFormat="1" ht="13.5" customHeight="1">
      <c r="A19" s="298" t="s">
        <v>2430</v>
      </c>
      <c r="B19" s="253" t="s">
        <v>2431</v>
      </c>
      <c r="C19" s="254">
        <f ca="1">IF(G19="已包含在土地取得成本中","0",ROUND(D19*E19,0))</f>
        <v>10435556</v>
      </c>
      <c r="D19" s="1032">
        <f ca="1">D9+D10</f>
        <v>52177.779999999992</v>
      </c>
      <c r="E19" s="254">
        <f>'数据-取费表'!B31</f>
        <v>200</v>
      </c>
      <c r="F19" s="274"/>
      <c r="G19" s="2542"/>
    </row>
    <row r="20" spans="1:7" s="257" customFormat="1" ht="13.5" customHeight="1">
      <c r="A20" s="298" t="s">
        <v>2432</v>
      </c>
      <c r="B20" s="253" t="s">
        <v>2433</v>
      </c>
      <c r="C20" s="275">
        <f ca="1">ROUND((C5+C19)*F20,0)</f>
        <v>417422</v>
      </c>
      <c r="D20" s="275"/>
      <c r="E20" s="275"/>
      <c r="F20" s="276">
        <f>'数据-取费表'!B37</f>
        <v>0.02</v>
      </c>
      <c r="G20" s="277" t="s">
        <v>2434</v>
      </c>
    </row>
    <row r="21" spans="1:7" s="257" customFormat="1" ht="13.5" customHeight="1">
      <c r="A21" s="298" t="s">
        <v>2435</v>
      </c>
      <c r="B21" s="253" t="s">
        <v>2436</v>
      </c>
      <c r="C21" s="278">
        <f>F21</f>
        <v>0.02</v>
      </c>
      <c r="D21" s="279" t="s">
        <v>2437</v>
      </c>
      <c r="E21" s="275"/>
      <c r="F21" s="276">
        <f>'数据-取费表'!B38</f>
        <v>0.02</v>
      </c>
      <c r="G21" s="277" t="s">
        <v>2438</v>
      </c>
    </row>
    <row r="22" spans="1:7" s="257" customFormat="1" ht="13.5" customHeight="1">
      <c r="A22" s="298" t="s">
        <v>2439</v>
      </c>
      <c r="B22" s="253" t="s">
        <v>2440</v>
      </c>
      <c r="C22" s="1376">
        <f ca="1">ROUND(SUM(C23:C25),0)</f>
        <v>2049674</v>
      </c>
      <c r="D22" s="278">
        <f ca="1">C26</f>
        <v>1E-3</v>
      </c>
      <c r="E22" s="279" t="s">
        <v>2437</v>
      </c>
      <c r="F22" s="280">
        <f ca="1">'数据-取费表'!B40</f>
        <v>4.7500000000000001E-2</v>
      </c>
      <c r="G22" s="277" t="str">
        <f>IF('数据-取费表'!B22&lt;=1,"单利计息","复利计息")</f>
        <v>复利计息</v>
      </c>
    </row>
    <row r="23" spans="1:7" s="257" customFormat="1" ht="13.5" customHeight="1">
      <c r="A23" s="947" t="s">
        <v>2330</v>
      </c>
      <c r="B23" s="258" t="s">
        <v>2441</v>
      </c>
      <c r="C23" s="1377">
        <f ca="1">ROUND(IF('数据-取费表'!B22&lt;=1,C5*F22*'数据-取费表'!B22,C5*(POWER((1+F22),'数据-取费表'!B22)-1)),0)</f>
        <v>1014923</v>
      </c>
      <c r="D23" s="281"/>
      <c r="E23" s="281"/>
      <c r="F23" s="282"/>
      <c r="G23" s="283" t="s">
        <v>2442</v>
      </c>
    </row>
    <row r="24" spans="1:7" s="257" customFormat="1" ht="13.5" customHeight="1">
      <c r="A24" s="947" t="s">
        <v>2332</v>
      </c>
      <c r="B24" s="258" t="s">
        <v>2443</v>
      </c>
      <c r="C24" s="1377">
        <f ca="1">ROUND(IF('数据-取费表'!B22&lt;=1,C19*F22*('数据-取费表'!B19/2+'数据-取费表'!B20),C19*(POWER((1+F22),('数据-取费表'!B19/2+'数据-取费表'!B20))-1)),0)</f>
        <v>1014923</v>
      </c>
      <c r="D24" s="281"/>
      <c r="E24" s="281"/>
      <c r="F24" s="282"/>
      <c r="G24" s="283" t="s">
        <v>2444</v>
      </c>
    </row>
    <row r="25" spans="1:7" s="257" customFormat="1" ht="24">
      <c r="A25" s="947" t="s">
        <v>2334</v>
      </c>
      <c r="B25" s="258" t="s">
        <v>2445</v>
      </c>
      <c r="C25" s="1377">
        <f ca="1">ROUND(IF('数据-取费表'!B22&lt;=1,C20*F22*'数据-取费表'!B22/2,C20*(POWER((1+F22),'数据-取费表'!B22/2)-1)),0)</f>
        <v>19828</v>
      </c>
      <c r="D25" s="281"/>
      <c r="E25" s="284"/>
      <c r="F25" s="282"/>
      <c r="G25" s="285" t="s">
        <v>2446</v>
      </c>
    </row>
    <row r="26" spans="1:7" s="257" customFormat="1">
      <c r="A26" s="947" t="s">
        <v>795</v>
      </c>
      <c r="B26" s="258" t="s">
        <v>2369</v>
      </c>
      <c r="C26" s="281">
        <f ca="1">ROUND(IF('数据-取费表'!B22&lt;=1,F21*F22*'数据-取费表'!B22/2,F21*(POWER((1+F22),'数据-取费表'!B22/2)-1)),4)</f>
        <v>1E-3</v>
      </c>
      <c r="D26" s="281"/>
      <c r="E26" s="284"/>
      <c r="F26" s="282"/>
      <c r="G26" s="286"/>
    </row>
    <row r="27" spans="1:7" s="257" customFormat="1" ht="24.75">
      <c r="A27" s="298" t="s">
        <v>2370</v>
      </c>
      <c r="B27" s="287" t="s">
        <v>2371</v>
      </c>
      <c r="C27" s="288">
        <f ca="1">C28</f>
        <v>4896363</v>
      </c>
      <c r="D27" s="278">
        <f ca="1">C29</f>
        <v>4.5999999999999999E-3</v>
      </c>
      <c r="E27" s="279" t="s">
        <v>2372</v>
      </c>
      <c r="F27" s="289">
        <f ca="1">IF(B1="",'数据-取费表'!Q16,INDIRECT("'数据-取费表'!q"&amp;$G$1))</f>
        <v>0.23</v>
      </c>
      <c r="G27" s="290" t="s">
        <v>2373</v>
      </c>
    </row>
    <row r="28" spans="1:7" s="257" customFormat="1" ht="13.5" customHeight="1">
      <c r="A28" s="947" t="s">
        <v>791</v>
      </c>
      <c r="B28" s="291" t="s">
        <v>2374</v>
      </c>
      <c r="C28" s="292">
        <f ca="1">ROUND((C5+C19+C20)*F27,0)</f>
        <v>4896363</v>
      </c>
      <c r="D28" s="278"/>
      <c r="E28" s="279"/>
      <c r="F28" s="289"/>
      <c r="G28" s="290"/>
    </row>
    <row r="29" spans="1:7" s="257" customFormat="1" ht="13.5" customHeight="1">
      <c r="A29" s="947" t="s">
        <v>792</v>
      </c>
      <c r="B29" s="291" t="s">
        <v>2375</v>
      </c>
      <c r="C29" s="281">
        <f ca="1">ROUND(C21*F27,4)</f>
        <v>4.5999999999999999E-3</v>
      </c>
      <c r="D29" s="278"/>
      <c r="E29" s="279"/>
      <c r="F29" s="289"/>
      <c r="G29" s="290"/>
    </row>
    <row r="30" spans="1:7" s="257" customFormat="1" ht="13.5" customHeight="1">
      <c r="A30" s="298" t="s">
        <v>2376</v>
      </c>
      <c r="B30" s="253" t="s">
        <v>2377</v>
      </c>
      <c r="C30" s="278">
        <f>ROUND(F30/(1+'数据-取费表'!C42),4)</f>
        <v>5.33E-2</v>
      </c>
      <c r="D30" s="279" t="s">
        <v>2372</v>
      </c>
      <c r="E30" s="284"/>
      <c r="F30" s="280">
        <f>'数据-取费表'!B41</f>
        <v>5.6000000000000001E-2</v>
      </c>
      <c r="G30" s="277" t="s">
        <v>2378</v>
      </c>
    </row>
    <row r="31" spans="1:7" ht="16.5" customHeight="1">
      <c r="A31" s="252">
        <v>1</v>
      </c>
      <c r="B31" s="253" t="s">
        <v>2379</v>
      </c>
      <c r="C31" s="254">
        <f ca="1">ROUND((C5+C19+C20+C22+C27)/(1-C21-D22-D27-C30),0)</f>
        <v>30653101</v>
      </c>
      <c r="D31" s="273"/>
      <c r="E31" s="254"/>
      <c r="F31" s="293"/>
      <c r="G31" s="277" t="s">
        <v>2380</v>
      </c>
    </row>
    <row r="32" spans="1:7" s="251" customFormat="1" ht="15.75">
      <c r="A32" s="295" t="s">
        <v>2447</v>
      </c>
      <c r="B32" s="296"/>
      <c r="C32" s="296"/>
      <c r="D32" s="296"/>
      <c r="E32" s="296"/>
      <c r="F32" s="296"/>
      <c r="G32" s="297"/>
    </row>
    <row r="33" spans="1:7" s="257" customFormat="1" ht="13.5" customHeight="1">
      <c r="A33" s="298" t="s">
        <v>782</v>
      </c>
      <c r="B33" s="253" t="s">
        <v>2448</v>
      </c>
      <c r="C33" s="299">
        <f ca="1">SUM(C34:C38)</f>
        <v>237937772</v>
      </c>
      <c r="D33" s="275"/>
      <c r="E33" s="255"/>
      <c r="F33" s="284"/>
      <c r="G33" s="277"/>
    </row>
    <row r="34" spans="1:7" s="301" customFormat="1" ht="13.5" customHeight="1">
      <c r="A34" s="947" t="s">
        <v>791</v>
      </c>
      <c r="B34" s="258" t="s">
        <v>2383</v>
      </c>
      <c r="C34" s="263">
        <f ca="1">ROUND(IF(B1="",SUMPRODUCT('数据-取费表'!K6:K14,'数据-取费表'!L6:L14),INDIRECT("'数据-取费表'!l"&amp;$G$1)*INDIRECT("'数据-取费表'!k"&amp;$G$1)+'数据-取费表'!L14*INDIRECT("'数据-取费表'!S"&amp;$G$1)),0)</f>
        <v>217705470</v>
      </c>
      <c r="D34" s="260"/>
      <c r="E34" s="263"/>
      <c r="F34" s="300"/>
      <c r="G34" s="262"/>
    </row>
    <row r="35" spans="1:7" ht="13.5" customHeight="1">
      <c r="A35" s="947" t="s">
        <v>796</v>
      </c>
      <c r="B35" s="258" t="s">
        <v>2385</v>
      </c>
      <c r="C35" s="263">
        <f ca="1">ROUND(C34*F35,0)</f>
        <v>6531164</v>
      </c>
      <c r="D35" s="263"/>
      <c r="E35" s="263"/>
      <c r="F35" s="302">
        <f>'数据-取费表'!B33</f>
        <v>0.03</v>
      </c>
      <c r="G35" s="262" t="s">
        <v>2386</v>
      </c>
    </row>
    <row r="36" spans="1:7" ht="24">
      <c r="A36" s="947" t="s">
        <v>797</v>
      </c>
      <c r="B36" s="258" t="s">
        <v>2387</v>
      </c>
      <c r="C36" s="263">
        <f ca="1">ROUND(IF(B1="",SUM('数据-取费表'!AP6:AP13)*F36,IF(INDIRECT("'数据-取费表'!c"&amp;$G$1)="住宅",INDIRECT("'数据-取费表'!k"&amp;$G$1)*INDIRECT("'数据-取费表'!l"&amp;$G$1)*F36,0)),0)</f>
        <v>0</v>
      </c>
      <c r="D36" s="263"/>
      <c r="E36" s="263"/>
      <c r="F36" s="302">
        <f>'数据-取费表'!B34</f>
        <v>0</v>
      </c>
      <c r="G36" s="303" t="s">
        <v>2388</v>
      </c>
    </row>
    <row r="37" spans="1:7" s="301" customFormat="1" ht="13.5" customHeight="1">
      <c r="A37" s="947" t="s">
        <v>798</v>
      </c>
      <c r="B37" s="258" t="s">
        <v>2389</v>
      </c>
      <c r="C37" s="292">
        <f ca="1">ROUND(E37*D37,0)</f>
        <v>10435556</v>
      </c>
      <c r="D37" s="260">
        <f ca="1">D19</f>
        <v>52177.779999999992</v>
      </c>
      <c r="E37" s="292">
        <f>'数据-取费表'!B35</f>
        <v>200</v>
      </c>
      <c r="F37" s="302"/>
      <c r="G37" s="304"/>
    </row>
    <row r="38" spans="1:7" ht="13.5" customHeight="1">
      <c r="A38" s="947" t="s">
        <v>799</v>
      </c>
      <c r="B38" s="258" t="s">
        <v>2391</v>
      </c>
      <c r="C38" s="263">
        <f ca="1">ROUND(C34*F38,0)</f>
        <v>3265582</v>
      </c>
      <c r="D38" s="263"/>
      <c r="E38" s="263"/>
      <c r="F38" s="302">
        <f>'数据-取费表'!B36</f>
        <v>1.4999999999999999E-2</v>
      </c>
      <c r="G38" s="262" t="s">
        <v>2386</v>
      </c>
    </row>
    <row r="39" spans="1:7" s="257" customFormat="1" ht="13.5" customHeight="1">
      <c r="A39" s="298" t="s">
        <v>2392</v>
      </c>
      <c r="B39" s="253" t="s">
        <v>2393</v>
      </c>
      <c r="C39" s="275">
        <f ca="1">ROUND(C33*F20,0)</f>
        <v>4758755</v>
      </c>
      <c r="D39" s="275"/>
      <c r="E39" s="275"/>
      <c r="F39" s="276"/>
      <c r="G39" s="277" t="s">
        <v>2394</v>
      </c>
    </row>
    <row r="40" spans="1:7" s="257" customFormat="1" ht="13.5" customHeight="1">
      <c r="A40" s="298" t="s">
        <v>2395</v>
      </c>
      <c r="B40" s="253" t="s">
        <v>2396</v>
      </c>
      <c r="C40" s="1724">
        <f>F21</f>
        <v>0.02</v>
      </c>
      <c r="D40" s="279" t="s">
        <v>2397</v>
      </c>
      <c r="E40" s="275"/>
      <c r="F40" s="276"/>
      <c r="G40" s="277" t="s">
        <v>2398</v>
      </c>
    </row>
    <row r="41" spans="1:7" s="257" customFormat="1" ht="13.5" customHeight="1">
      <c r="A41" s="298" t="s">
        <v>2399</v>
      </c>
      <c r="B41" s="253" t="s">
        <v>2400</v>
      </c>
      <c r="C41" s="275">
        <f ca="1">ROUND(SUM(C42:C43),0)</f>
        <v>11528085</v>
      </c>
      <c r="D41" s="278">
        <f ca="1">C44</f>
        <v>1E-3</v>
      </c>
      <c r="E41" s="279" t="s">
        <v>2397</v>
      </c>
      <c r="F41" s="280"/>
      <c r="G41" s="277" t="str">
        <f>IF('数据-取费表'!B22&lt;=1,"单利计息","复利计息")</f>
        <v>复利计息</v>
      </c>
    </row>
    <row r="42" spans="1:7" ht="13.5" customHeight="1">
      <c r="A42" s="947" t="s">
        <v>791</v>
      </c>
      <c r="B42" s="258" t="s">
        <v>2401</v>
      </c>
      <c r="C42" s="281">
        <f ca="1">ROUND(IF('数据-取费表'!B22&lt;=1,C33*F22*'数据-取费表'!B20/2,C33*(POWER((1+F22),'数据-取费表'!B20/2)-1)),0)</f>
        <v>11302044</v>
      </c>
      <c r="D42" s="281"/>
      <c r="E42" s="281"/>
      <c r="F42" s="282"/>
      <c r="G42" s="3241" t="s">
        <v>2449</v>
      </c>
    </row>
    <row r="43" spans="1:7" ht="13.5" customHeight="1">
      <c r="A43" s="947" t="s">
        <v>792</v>
      </c>
      <c r="B43" s="258" t="s">
        <v>2403</v>
      </c>
      <c r="C43" s="281">
        <f ca="1">ROUND(IF('数据-取费表'!B22&lt;=1,C39*F22*'数据-取费表'!B20/2,C39*(POWER((1+F22),'数据-取费表'!B20/2)-1)),0)</f>
        <v>226041</v>
      </c>
      <c r="D43" s="281"/>
      <c r="E43" s="281"/>
      <c r="F43" s="282"/>
      <c r="G43" s="3242"/>
    </row>
    <row r="44" spans="1:7" ht="13.5" customHeight="1">
      <c r="A44" s="947" t="s">
        <v>793</v>
      </c>
      <c r="B44" s="258" t="s">
        <v>2404</v>
      </c>
      <c r="C44" s="281">
        <f ca="1">ROUND(IF('数据-取费表'!B22&lt;=1,C40*F22*'数据-取费表'!B20/2,C40*(POWER((1+F22),'数据-取费表'!B20/2)-1)),4)</f>
        <v>1E-3</v>
      </c>
      <c r="D44" s="281"/>
      <c r="E44" s="281"/>
      <c r="F44" s="282"/>
      <c r="G44" s="3243"/>
    </row>
    <row r="45" spans="1:7" s="257" customFormat="1" ht="13.5" customHeight="1">
      <c r="A45" s="298" t="s">
        <v>2405</v>
      </c>
      <c r="B45" s="287" t="s">
        <v>2371</v>
      </c>
      <c r="C45" s="288">
        <f ca="1">C46</f>
        <v>55820201</v>
      </c>
      <c r="D45" s="278">
        <f ca="1">C47</f>
        <v>4.5999999999999999E-3</v>
      </c>
      <c r="E45" s="279" t="s">
        <v>2397</v>
      </c>
      <c r="F45" s="289"/>
      <c r="G45" s="290" t="s">
        <v>2406</v>
      </c>
    </row>
    <row r="46" spans="1:7" s="257" customFormat="1" ht="13.5" customHeight="1">
      <c r="A46" s="947" t="s">
        <v>791</v>
      </c>
      <c r="B46" s="291" t="s">
        <v>2407</v>
      </c>
      <c r="C46" s="292">
        <f ca="1">ROUND((C33+C39)*F27,0)</f>
        <v>55820201</v>
      </c>
      <c r="D46" s="306"/>
      <c r="E46" s="279"/>
      <c r="F46" s="289"/>
      <c r="G46" s="290"/>
    </row>
    <row r="47" spans="1:7" s="257" customFormat="1" ht="13.5" customHeight="1">
      <c r="A47" s="947" t="s">
        <v>792</v>
      </c>
      <c r="B47" s="291" t="s">
        <v>2408</v>
      </c>
      <c r="C47" s="281">
        <f ca="1">ROUND(C40*F27,4)</f>
        <v>4.5999999999999999E-3</v>
      </c>
      <c r="D47" s="306"/>
      <c r="E47" s="279"/>
      <c r="F47" s="289"/>
      <c r="G47" s="290"/>
    </row>
    <row r="48" spans="1:7" s="257" customFormat="1" ht="13.5" customHeight="1">
      <c r="A48" s="298" t="s">
        <v>2370</v>
      </c>
      <c r="B48" s="253" t="s">
        <v>2409</v>
      </c>
      <c r="C48" s="305">
        <f>ROUND(F30/(1+'数据-取费表'!C42),4)</f>
        <v>5.33E-2</v>
      </c>
      <c r="D48" s="279" t="s">
        <v>2397</v>
      </c>
      <c r="E48" s="275"/>
      <c r="F48" s="280"/>
      <c r="G48" s="277" t="s">
        <v>2410</v>
      </c>
    </row>
    <row r="49" spans="1:7" ht="16.5" customHeight="1">
      <c r="A49" s="298" t="s">
        <v>2376</v>
      </c>
      <c r="B49" s="253" t="s">
        <v>2450</v>
      </c>
      <c r="C49" s="275">
        <f ca="1">ROUND((C33+C39+C41+C45)/(1-C40-D41-D45-C48),0)</f>
        <v>336602772</v>
      </c>
      <c r="D49" s="275"/>
      <c r="E49" s="275"/>
      <c r="F49" s="307"/>
      <c r="G49" s="277" t="s">
        <v>2412</v>
      </c>
    </row>
    <row r="50" spans="1:7" s="301" customFormat="1">
      <c r="A50" s="298" t="s">
        <v>2413</v>
      </c>
      <c r="B50" s="253" t="s">
        <v>2414</v>
      </c>
      <c r="C50" s="275"/>
      <c r="D50" s="275"/>
      <c r="E50" s="275"/>
      <c r="F50" s="307">
        <f>IF('数据-取费表'!B24=0,'数据-取费表'!N16,1)</f>
        <v>0.86499999999999999</v>
      </c>
      <c r="G50" s="290"/>
    </row>
    <row r="51" spans="1:7" ht="16.5" customHeight="1">
      <c r="A51" s="298" t="s">
        <v>2416</v>
      </c>
      <c r="B51" s="253" t="s">
        <v>2451</v>
      </c>
      <c r="C51" s="275">
        <f ca="1">ROUND(C49*F50,0)</f>
        <v>291161398</v>
      </c>
      <c r="D51" s="275"/>
      <c r="E51" s="275"/>
      <c r="F51" s="307"/>
      <c r="G51" s="277" t="s">
        <v>2418</v>
      </c>
    </row>
    <row r="52" spans="1:7" s="251" customFormat="1" ht="16.5" thickBot="1">
      <c r="A52" s="308" t="s">
        <v>2419</v>
      </c>
      <c r="B52" s="309"/>
      <c r="C52" s="310">
        <f ca="1">C31+C51</f>
        <v>321814499</v>
      </c>
      <c r="D52" s="309"/>
      <c r="E52" s="309"/>
      <c r="F52" s="309"/>
      <c r="G52" s="311"/>
    </row>
    <row r="55" spans="1:7" ht="15">
      <c r="B55" s="313" t="s">
        <v>2420</v>
      </c>
      <c r="C55" s="314"/>
    </row>
    <row r="56" spans="1:7">
      <c r="B56" s="316" t="s">
        <v>1512</v>
      </c>
      <c r="C56" s="318">
        <f ca="1">1-C57</f>
        <v>9.4999999999999973E-2</v>
      </c>
    </row>
    <row r="57" spans="1:7">
      <c r="B57" s="316" t="s">
        <v>1513</v>
      </c>
      <c r="C57" s="317">
        <f ca="1">ROUND(C51/C52,3)</f>
        <v>0.90500000000000003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2452</v>
      </c>
      <c r="B1" s="1577"/>
      <c r="C1" s="1578"/>
      <c r="D1" s="1576"/>
      <c r="E1" s="319"/>
      <c r="F1" s="319"/>
      <c r="G1" s="1577"/>
      <c r="H1" s="319"/>
      <c r="I1" s="319"/>
      <c r="J1" s="319"/>
      <c r="K1" s="319">
        <f>MATCH(C1,'数据-取费表'!A6:A16,0)+5</f>
        <v>9</v>
      </c>
    </row>
    <row r="2" spans="1:33" ht="18" customHeight="1">
      <c r="A2" s="244" t="s">
        <v>2320</v>
      </c>
      <c r="B2" s="247">
        <f ca="1">C32</f>
        <v>-3742</v>
      </c>
      <c r="C2" s="319" t="s">
        <v>2453</v>
      </c>
      <c r="D2" s="319"/>
      <c r="E2" s="319"/>
      <c r="F2" s="319"/>
      <c r="G2" s="319"/>
      <c r="H2" s="319"/>
      <c r="I2" s="319"/>
      <c r="J2" s="319"/>
      <c r="K2" s="319"/>
    </row>
    <row r="3" spans="1:33" ht="18" customHeight="1" thickBot="1">
      <c r="A3" s="246" t="s">
        <v>2322</v>
      </c>
      <c r="B3" s="247">
        <f ca="1">ROUND(B2*10000/IF(C1="",'数据-汇总表'!E3,INDIRECT("'数据-取费表'!K"&amp;$K$1)),0)</f>
        <v>-717</v>
      </c>
      <c r="C3" s="319" t="s">
        <v>2454</v>
      </c>
      <c r="D3" s="319"/>
      <c r="E3" s="319"/>
      <c r="F3" s="319"/>
      <c r="G3" s="319"/>
      <c r="H3" s="319"/>
      <c r="I3" s="319"/>
      <c r="J3" s="319"/>
      <c r="K3" s="319"/>
    </row>
    <row r="4" spans="1:33" s="952" customFormat="1" ht="16.5" customHeight="1">
      <c r="A4" s="949" t="s">
        <v>2455</v>
      </c>
      <c r="B4" s="950"/>
      <c r="C4" s="992">
        <f>SUM(C8:K8)</f>
        <v>0</v>
      </c>
      <c r="D4" s="950"/>
      <c r="E4" s="950"/>
      <c r="F4" s="950"/>
      <c r="G4" s="950"/>
      <c r="H4" s="950"/>
      <c r="I4" s="950"/>
      <c r="J4" s="950"/>
      <c r="K4" s="951"/>
    </row>
    <row r="5" spans="1:33" s="956" customFormat="1" ht="24.75">
      <c r="A5" s="953" t="s">
        <v>2456</v>
      </c>
      <c r="B5" s="954" t="s">
        <v>2457</v>
      </c>
      <c r="C5" s="2546" t="s">
        <v>2458</v>
      </c>
      <c r="D5" s="2546" t="s">
        <v>2459</v>
      </c>
      <c r="E5" s="2546" t="s">
        <v>2460</v>
      </c>
      <c r="F5" s="2546"/>
      <c r="G5" s="2546"/>
      <c r="H5" s="2546"/>
      <c r="I5" s="2546"/>
      <c r="J5" s="2546"/>
      <c r="K5" s="2546"/>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2462</v>
      </c>
      <c r="B7" s="139" t="s">
        <v>2463</v>
      </c>
      <c r="C7" s="320">
        <f>SUMIF('数据-汇总表'!$C19:$C33,假设开发法!C5,'数据-汇总表'!$E19:$E33)</f>
        <v>0</v>
      </c>
      <c r="D7" s="320">
        <f>SUMIF('数据-汇总表'!$C19:$C33,假设开发法!D5,'数据-汇总表'!$E19:$E33)</f>
        <v>0</v>
      </c>
      <c r="E7" s="320">
        <f>SUMIF('数据-汇总表'!$C19:$C33,假设开发法!E5,'数据-汇总表'!$E19:$E33)</f>
        <v>7705.92</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7" t="s">
        <v>2464</v>
      </c>
      <c r="B8" s="176" t="s">
        <v>2465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2466</v>
      </c>
      <c r="B9" s="950"/>
      <c r="C9" s="950"/>
      <c r="D9" s="950"/>
      <c r="E9" s="950"/>
      <c r="F9" s="950"/>
      <c r="G9" s="950"/>
      <c r="H9" s="950"/>
      <c r="I9" s="950"/>
      <c r="J9" s="950"/>
      <c r="K9" s="951"/>
    </row>
    <row r="10" spans="1:33" s="966" customFormat="1" ht="13.5" customHeight="1">
      <c r="A10" s="953" t="s">
        <v>2467</v>
      </c>
      <c r="B10" s="8" t="s">
        <v>2468</v>
      </c>
      <c r="C10" s="962" t="s">
        <v>2469</v>
      </c>
      <c r="D10" s="963" t="s">
        <v>2470</v>
      </c>
      <c r="E10" s="963" t="s">
        <v>2471</v>
      </c>
      <c r="F10" s="963" t="s">
        <v>2472</v>
      </c>
      <c r="G10" s="8"/>
      <c r="H10" s="964"/>
      <c r="I10" s="964"/>
      <c r="J10" s="964"/>
      <c r="K10" s="965"/>
    </row>
    <row r="11" spans="1:33" s="971" customFormat="1" ht="13.5" customHeight="1">
      <c r="A11" s="967" t="s">
        <v>1332</v>
      </c>
      <c r="B11" s="968" t="s">
        <v>2473</v>
      </c>
      <c r="C11" s="322">
        <f ca="1">IF(C1="",'数据-取费表'!P16,INDIRECT("'数据-取费表'!p"&amp;$K$1)+INDIRECT("'数据-取费表'!ar"&amp;$K$1))</f>
        <v>2938</v>
      </c>
      <c r="D11" s="969"/>
      <c r="E11" s="374"/>
      <c r="F11" s="970">
        <f ca="1">1-IF('数据-取费表'!B24=0,1,IF(C1="",'数据-取费表'!N16,INDIRECT("'数据-取费表'!n"&amp;$K$1)))</f>
        <v>0</v>
      </c>
      <c r="G11" s="8"/>
      <c r="H11" s="964"/>
      <c r="I11" s="964"/>
      <c r="J11" s="964"/>
      <c r="K11" s="965"/>
    </row>
    <row r="12" spans="1:33" s="971" customFormat="1" ht="13.5" customHeight="1">
      <c r="A12" s="967" t="s">
        <v>1333</v>
      </c>
      <c r="B12" s="968" t="s">
        <v>2474</v>
      </c>
      <c r="C12" s="24">
        <f ca="1">ROUND(C11*F12,0)</f>
        <v>88</v>
      </c>
      <c r="D12" s="969"/>
      <c r="E12" s="374"/>
      <c r="F12" s="972">
        <f>'数据-取费表'!B33</f>
        <v>0.03</v>
      </c>
      <c r="G12" s="8" t="s">
        <v>2475</v>
      </c>
      <c r="H12" s="964"/>
      <c r="I12" s="964"/>
      <c r="J12" s="964"/>
      <c r="K12" s="965"/>
    </row>
    <row r="13" spans="1:33" s="971" customFormat="1" ht="13.5" customHeight="1">
      <c r="A13" s="967" t="s">
        <v>1334</v>
      </c>
      <c r="B13" s="968" t="s">
        <v>2476</v>
      </c>
      <c r="C13" s="24">
        <f ca="1">ROUND(IF(C1="",SUMIF('数据-取费表'!C:C,"住宅",'数据-取费表'!P:P)*F13,IF(INDIRECT("'数据-取费表'!c"&amp;$K$1)="住宅",INDIRECT("'数据-取费表'!P"&amp;$K$1)*F13,0)),0)</f>
        <v>0</v>
      </c>
      <c r="D13" s="1029"/>
      <c r="E13" s="374"/>
      <c r="F13" s="972">
        <f>'数据-取费表'!B34</f>
        <v>0</v>
      </c>
      <c r="G13" s="8" t="s">
        <v>2477</v>
      </c>
      <c r="H13" s="964"/>
      <c r="I13" s="964"/>
      <c r="J13" s="964"/>
      <c r="K13" s="965"/>
    </row>
    <row r="14" spans="1:33" s="973" customFormat="1" ht="13.5" customHeight="1">
      <c r="A14" s="967" t="s">
        <v>1335</v>
      </c>
      <c r="B14" s="968" t="s">
        <v>2478</v>
      </c>
      <c r="C14" s="24">
        <f ca="1">ROUND(D14*E14*F11/10000,0)</f>
        <v>0</v>
      </c>
      <c r="D14" s="1029">
        <f ca="1">IF(C1="",'数据-汇总表'!E3,INDIRECT("'数据-取费表'!K"&amp;$K$1)+INDIRECT("'数据-取费表'!S"&amp;$K$1))</f>
        <v>52177.779999999992</v>
      </c>
      <c r="E14" s="24">
        <f>'数据-取费表'!B35</f>
        <v>200</v>
      </c>
      <c r="F14" s="972"/>
      <c r="G14" s="8" t="s">
        <v>2479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1336</v>
      </c>
      <c r="B15" s="968" t="s">
        <v>2480</v>
      </c>
      <c r="C15" s="979">
        <f ca="1">ROUND(C11*F15,0)</f>
        <v>44</v>
      </c>
      <c r="D15" s="974"/>
      <c r="E15" s="979"/>
      <c r="F15" s="980">
        <f>'数据-取费表'!B36</f>
        <v>1.4999999999999999E-2</v>
      </c>
      <c r="G15" s="139" t="s">
        <v>2481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2482</v>
      </c>
      <c r="C16" s="979">
        <f ca="1">SUM(C11:C15)</f>
        <v>3070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2483</v>
      </c>
      <c r="C17" s="24">
        <f ca="1">ROUND(D17*E17/10000,0)</f>
        <v>0</v>
      </c>
      <c r="D17" s="1029">
        <f ca="1">D14</f>
        <v>52177.779999999992</v>
      </c>
      <c r="E17" s="24">
        <f>'数据-取费表'!B32</f>
        <v>0</v>
      </c>
      <c r="F17" s="974"/>
      <c r="G17" s="139" t="s">
        <v>2484</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1337</v>
      </c>
      <c r="B18" s="968" t="s">
        <v>2485</v>
      </c>
      <c r="C18" s="24">
        <f ca="1">C19+C20-IF(C1="",'数据-取费表'!B29,IF(G18="已全部缴纳",C19+C20,H18))</f>
        <v>0</v>
      </c>
      <c r="D18" s="1029"/>
      <c r="E18" s="24"/>
      <c r="F18" s="972"/>
      <c r="G18" s="2548"/>
      <c r="H18" s="1573"/>
      <c r="I18" s="2549" t="s">
        <v>2486</v>
      </c>
      <c r="J18" s="975"/>
      <c r="K18" s="976"/>
    </row>
    <row r="19" spans="1:33" s="971" customFormat="1" ht="13.5" customHeight="1">
      <c r="A19" s="967" t="s">
        <v>805</v>
      </c>
      <c r="B19" s="968" t="s">
        <v>2487</v>
      </c>
      <c r="C19" s="24">
        <f ca="1">ROUND(D19*E19/10000,0)</f>
        <v>0</v>
      </c>
      <c r="D19" s="1029">
        <f ca="1">IF(C1="",'数据-汇总表'!E5,IF(INDIRECT("'数据-取费表'!c"&amp;$K$1)="住宅",INDIRECT("'数据-取费表'!k"&amp;$K$1),0))</f>
        <v>0</v>
      </c>
      <c r="E19" s="24">
        <f>'数据-取费表'!B27</f>
        <v>0</v>
      </c>
      <c r="F19" s="972"/>
      <c r="G19" s="15"/>
      <c r="H19" s="1575"/>
      <c r="I19" s="977"/>
      <c r="J19" s="977"/>
      <c r="K19" s="978"/>
    </row>
    <row r="20" spans="1:33" s="971" customFormat="1" ht="13.5" customHeight="1">
      <c r="A20" s="967" t="s">
        <v>806</v>
      </c>
      <c r="B20" s="968" t="s">
        <v>2488</v>
      </c>
      <c r="C20" s="24">
        <f ca="1">ROUND(D20*E20/10000,0)</f>
        <v>1044</v>
      </c>
      <c r="D20" s="1029">
        <f ca="1">IF(C1="",'数据-汇总表'!E6,IF(INDIRECT("'数据-取费表'!c"&amp;$K$1)="住宅",INDIRECT("'数据-取费表'!s"&amp;$K$1),INDIRECT("'数据-取费表'!k"&amp;$K$1)+INDIRECT("'数据-取费表'!s"&amp;$K$1)))</f>
        <v>52177.779999999992</v>
      </c>
      <c r="E20" s="24">
        <f>'数据-取费表'!B28</f>
        <v>200</v>
      </c>
      <c r="F20" s="972"/>
      <c r="G20" s="15"/>
      <c r="H20" s="977"/>
      <c r="I20" s="977"/>
      <c r="J20" s="977"/>
      <c r="K20" s="978"/>
    </row>
    <row r="21" spans="1:33" s="971" customFormat="1" ht="13.5" customHeight="1">
      <c r="A21" s="957" t="s">
        <v>802</v>
      </c>
      <c r="B21" s="981" t="s">
        <v>2489</v>
      </c>
      <c r="C21" s="982">
        <f ca="1">C16+C17+C18</f>
        <v>3070</v>
      </c>
      <c r="D21" s="983"/>
      <c r="E21" s="324"/>
      <c r="F21" s="324"/>
      <c r="G21" s="139" t="s">
        <v>2490</v>
      </c>
      <c r="H21" s="975"/>
      <c r="I21" s="975"/>
      <c r="J21" s="975"/>
      <c r="K21" s="976"/>
    </row>
    <row r="22" spans="1:33" s="971" customFormat="1" ht="13.5" customHeight="1">
      <c r="A22" s="957" t="s">
        <v>2462</v>
      </c>
      <c r="B22" s="981" t="s">
        <v>2491</v>
      </c>
      <c r="C22" s="982">
        <f ca="1">ROUND(C21*F22,0)</f>
        <v>61</v>
      </c>
      <c r="D22" s="324"/>
      <c r="E22" s="324"/>
      <c r="F22" s="984">
        <f>'数据-取费表'!B37</f>
        <v>0.02</v>
      </c>
      <c r="G22" s="8" t="s">
        <v>2492</v>
      </c>
      <c r="H22" s="964"/>
      <c r="I22" s="964"/>
      <c r="J22" s="964"/>
      <c r="K22" s="965"/>
    </row>
    <row r="23" spans="1:33" s="971" customFormat="1" ht="13.5" customHeight="1">
      <c r="A23" s="957" t="s">
        <v>2464</v>
      </c>
      <c r="B23" s="981" t="s">
        <v>2493</v>
      </c>
      <c r="C23" s="982">
        <f ca="1">ROUND(C4*F23*F11,0)</f>
        <v>0</v>
      </c>
      <c r="D23" s="324"/>
      <c r="E23" s="324"/>
      <c r="F23" s="984">
        <f>'数据-取费表'!B38</f>
        <v>0.02</v>
      </c>
      <c r="G23" s="8" t="s">
        <v>2494</v>
      </c>
      <c r="H23" s="964"/>
      <c r="I23" s="964"/>
      <c r="J23" s="964"/>
      <c r="K23" s="965"/>
    </row>
    <row r="24" spans="1:33" s="971" customFormat="1" ht="13.5" customHeight="1">
      <c r="A24" s="957" t="s">
        <v>2495</v>
      </c>
      <c r="B24" s="981" t="s">
        <v>2496</v>
      </c>
      <c r="C24" s="323">
        <f>ROUND(F24/(1+'数据-取费表'!C42),4)</f>
        <v>2.9000000000000001E-2</v>
      </c>
      <c r="D24" s="324" t="s">
        <v>15</v>
      </c>
      <c r="E24" s="324"/>
      <c r="F24" s="984">
        <f>'数据-取费表'!B48+'数据-取费表'!B49</f>
        <v>3.0499999999999999E-2</v>
      </c>
      <c r="G24" s="8" t="s">
        <v>2497</v>
      </c>
      <c r="H24" s="986"/>
      <c r="I24" s="986"/>
      <c r="J24" s="986"/>
      <c r="K24" s="987"/>
    </row>
    <row r="25" spans="1:33" s="971" customFormat="1" ht="13.5" customHeight="1">
      <c r="A25" s="957" t="s">
        <v>2498</v>
      </c>
      <c r="B25" s="983" t="s">
        <v>2499</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2500</v>
      </c>
      <c r="C26" s="1353">
        <f ca="1">ROUND(IF('数据-取费表'!B22&lt;=1,(1+C24)*F25*'数据-取费表'!B24,(1+C24)*(POWER((1+F25),'数据-取费表'!B24)-1)),4)</f>
        <v>0</v>
      </c>
      <c r="D26" s="327"/>
      <c r="E26" s="328"/>
      <c r="F26" s="329"/>
      <c r="G26" s="2550"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2501</v>
      </c>
      <c r="C27" s="1354">
        <f ca="1">ROUND(IF('数据-取费表'!B22&lt;=1,(C21+C22+C23)*F25*'数据-取费表'!B24/2,(C21+C22+C23)*(POWER((1+F25),'数据-取费表'!B24/2)-1)),0)</f>
        <v>0</v>
      </c>
      <c r="D27" s="327"/>
      <c r="E27" s="328"/>
      <c r="F27" s="329"/>
      <c r="G27" s="2550" t="str">
        <f>IF('数据-取费表'!B22&lt;=1,"（1）-（3）项×年利率×建设期÷2","（1）-（3）项×((1+年利率)^(建设期÷2)-1)")</f>
        <v>（1）-（3）项×((1+年利率)^(建设期÷2)-1)</v>
      </c>
      <c r="H27" s="975"/>
      <c r="I27" s="975"/>
      <c r="J27" s="975"/>
      <c r="K27" s="976"/>
    </row>
    <row r="28" spans="1:33" s="332" customFormat="1" ht="13.5" customHeight="1">
      <c r="A28" s="957" t="s">
        <v>2502</v>
      </c>
      <c r="B28" s="2551" t="s">
        <v>2503</v>
      </c>
      <c r="C28" s="330">
        <f ca="1">C30</f>
        <v>720</v>
      </c>
      <c r="D28" s="323">
        <f ca="1">C29</f>
        <v>0</v>
      </c>
      <c r="E28" s="325" t="s">
        <v>15</v>
      </c>
      <c r="F28" s="331">
        <f ca="1">IF(C1="",'数据-取费表'!Q16,INDIRECT("'数据-取费表'!q"&amp;$K$1))</f>
        <v>0.23</v>
      </c>
      <c r="G28" s="985"/>
      <c r="H28" s="986"/>
      <c r="I28" s="986"/>
      <c r="J28" s="986"/>
      <c r="K28" s="987"/>
    </row>
    <row r="29" spans="1:33" s="334" customFormat="1" ht="13.5" customHeight="1">
      <c r="A29" s="967" t="s">
        <v>803</v>
      </c>
      <c r="B29" s="990" t="s">
        <v>2504</v>
      </c>
      <c r="C29" s="327">
        <f ca="1">ROUND((1+C24)*F28*'数据-取费表'!B24/'数据-取费表'!B20,4)</f>
        <v>0</v>
      </c>
      <c r="D29" s="327"/>
      <c r="E29" s="328"/>
      <c r="F29" s="333"/>
      <c r="G29" s="139" t="s">
        <v>2505</v>
      </c>
      <c r="H29" s="975"/>
      <c r="I29" s="975"/>
      <c r="J29" s="975"/>
      <c r="K29" s="976"/>
    </row>
    <row r="30" spans="1:33" s="334" customFormat="1" ht="13.5" customHeight="1">
      <c r="A30" s="967" t="s">
        <v>804</v>
      </c>
      <c r="B30" s="990" t="s">
        <v>2506</v>
      </c>
      <c r="C30" s="335">
        <f ca="1">ROUND((C21+C22+C23)*F28,0)</f>
        <v>720</v>
      </c>
      <c r="D30" s="327"/>
      <c r="E30" s="328"/>
      <c r="F30" s="333"/>
      <c r="G30" s="139"/>
      <c r="H30" s="975"/>
      <c r="I30" s="975"/>
      <c r="J30" s="975"/>
      <c r="K30" s="976"/>
    </row>
    <row r="31" spans="1:33" s="971" customFormat="1" ht="13.5" customHeight="1" thickBot="1">
      <c r="A31" s="2552" t="s">
        <v>2507</v>
      </c>
      <c r="B31" s="1001" t="s">
        <v>2508</v>
      </c>
      <c r="C31" s="1002">
        <f>ROUND(C4*F31/(1+'数据-取费表'!C42),0)</f>
        <v>0</v>
      </c>
      <c r="D31" s="1003"/>
      <c r="E31" s="1004"/>
      <c r="F31" s="1005">
        <f>'数据-取费表'!B41</f>
        <v>5.6000000000000001E-2</v>
      </c>
      <c r="G31" s="1006" t="s">
        <v>2509</v>
      </c>
      <c r="H31" s="1007"/>
      <c r="I31" s="1007"/>
      <c r="J31" s="1007"/>
      <c r="K31" s="1008"/>
    </row>
    <row r="32" spans="1:33" s="966" customFormat="1" ht="13.5" customHeight="1" thickBot="1">
      <c r="A32" s="996" t="s">
        <v>2510</v>
      </c>
      <c r="B32" s="997"/>
      <c r="C32" s="998">
        <f ca="1">ROUND((C4-C21-C22-C23-C25-C28-C31)/(1+C24+D25+D28),0)</f>
        <v>-3742</v>
      </c>
      <c r="D32" s="997"/>
      <c r="E32" s="997"/>
      <c r="F32" s="997"/>
      <c r="G32" s="999" t="s">
        <v>2511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85" zoomScaleNormal="85" workbookViewId="0">
      <selection activeCell="R49" sqref="R49:W49"/>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2521</v>
      </c>
      <c r="B1" s="2661" t="s">
        <v>2679</v>
      </c>
      <c r="C1" s="1616" t="s">
        <v>2523</v>
      </c>
      <c r="D1" s="1617" t="s">
        <v>3091</v>
      </c>
      <c r="E1" s="1626"/>
      <c r="F1" s="2576" t="s">
        <v>3078</v>
      </c>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f>IF(C2="——",ROUND(C50*D3/10000,0),ROUND(C50*D3/10000,0)-D2)</f>
        <v>83371</v>
      </c>
      <c r="C2" s="2578" t="s">
        <v>70</v>
      </c>
      <c r="D2" s="1361" t="e">
        <f ca="1">SUMIF(INDIRECT("'"&amp;F2&amp;"'"&amp;"!A:A"),"承租人权益价值",INDIRECT("'"&amp;F2&amp;"'"&amp;"!c:c"))</f>
        <v>#REF!</v>
      </c>
      <c r="E2" s="2579" t="s">
        <v>2321</v>
      </c>
      <c r="F2" s="2580"/>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7" customFormat="1" ht="28.5" customHeight="1" thickBot="1">
      <c r="A3" s="246" t="s">
        <v>2322</v>
      </c>
      <c r="B3" s="608">
        <f>IF(C2="——",C50,ROUND(B2*10000/D3,0))</f>
        <v>59133</v>
      </c>
      <c r="C3" s="399" t="s">
        <v>2637</v>
      </c>
      <c r="D3" s="398">
        <f>IF(D1="",'数据-汇总表'!E3,SUMIF('数据-汇总表'!$C19:$C33,D1,'数据-汇总表'!$E19:$E33))</f>
        <v>14098.83</v>
      </c>
      <c r="E3" s="2655"/>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400" t="s">
        <v>2638</v>
      </c>
      <c r="B4" s="401"/>
      <c r="C4" s="3265" t="s">
        <v>2639</v>
      </c>
      <c r="D4" s="3266"/>
      <c r="E4" s="3267" t="s">
        <v>2640</v>
      </c>
      <c r="F4" s="3268"/>
      <c r="G4" s="3265" t="s">
        <v>2641</v>
      </c>
      <c r="H4" s="3266"/>
      <c r="I4" s="3265" t="s">
        <v>2642</v>
      </c>
      <c r="J4" s="3266"/>
      <c r="K4" s="609" t="s">
        <v>2643</v>
      </c>
      <c r="L4" s="1126"/>
      <c r="M4" s="1127"/>
      <c r="N4" s="1127"/>
      <c r="O4" s="1127"/>
      <c r="P4" s="3269" t="s">
        <v>2644</v>
      </c>
      <c r="Q4" s="3270"/>
      <c r="R4" s="3249" t="s">
        <v>2640</v>
      </c>
      <c r="S4" s="3250"/>
      <c r="T4" s="3249" t="s">
        <v>2641</v>
      </c>
      <c r="U4" s="3250"/>
      <c r="V4" s="3277" t="s">
        <v>2642</v>
      </c>
      <c r="W4" s="3277"/>
      <c r="X4" s="2662"/>
      <c r="Y4" s="3249" t="s">
        <v>2644</v>
      </c>
      <c r="Z4" s="3250"/>
      <c r="AA4" s="3244" t="s">
        <v>2640</v>
      </c>
      <c r="AB4" s="3244" t="s">
        <v>2641</v>
      </c>
      <c r="AC4" s="3262" t="s">
        <v>2642</v>
      </c>
    </row>
    <row r="5" spans="1:29" ht="15">
      <c r="A5" s="403"/>
      <c r="B5" s="404"/>
      <c r="C5" s="3255" t="s">
        <v>3092</v>
      </c>
      <c r="D5" s="3256"/>
      <c r="E5" s="3253" t="s">
        <v>3217</v>
      </c>
      <c r="F5" s="3254"/>
      <c r="G5" s="3255" t="s">
        <v>3128</v>
      </c>
      <c r="H5" s="3256"/>
      <c r="I5" s="3255" t="s">
        <v>3093</v>
      </c>
      <c r="J5" s="3256"/>
      <c r="K5" s="609"/>
      <c r="L5" s="1126"/>
      <c r="M5" s="1127"/>
      <c r="N5" s="1127"/>
      <c r="O5" s="1127"/>
      <c r="P5" s="3271"/>
      <c r="Q5" s="3272"/>
      <c r="R5" s="3251"/>
      <c r="S5" s="3252"/>
      <c r="T5" s="3251"/>
      <c r="U5" s="3252"/>
      <c r="V5" s="3278"/>
      <c r="W5" s="3278"/>
      <c r="X5" s="1809"/>
      <c r="Y5" s="3251"/>
      <c r="Z5" s="3252"/>
      <c r="AA5" s="3245"/>
      <c r="AB5" s="3245"/>
      <c r="AC5" s="3263"/>
    </row>
    <row r="6" spans="1:29" ht="15.75" thickBot="1">
      <c r="A6" s="405"/>
      <c r="B6" s="406"/>
      <c r="C6" s="3257" t="s">
        <v>3094</v>
      </c>
      <c r="D6" s="3258"/>
      <c r="E6" s="3259" t="s">
        <v>3129</v>
      </c>
      <c r="F6" s="3260"/>
      <c r="G6" s="3257" t="s">
        <v>3095</v>
      </c>
      <c r="H6" s="3258"/>
      <c r="I6" s="3257" t="s">
        <v>3225</v>
      </c>
      <c r="J6" s="3258"/>
      <c r="K6" s="609" t="s">
        <v>2540</v>
      </c>
      <c r="L6" s="1126"/>
      <c r="M6" s="1127"/>
      <c r="N6" s="1127"/>
      <c r="O6" s="1127"/>
      <c r="P6" s="3273"/>
      <c r="Q6" s="3274"/>
      <c r="R6" s="3251"/>
      <c r="S6" s="3252"/>
      <c r="T6" s="3275"/>
      <c r="U6" s="3276"/>
      <c r="V6" s="3278"/>
      <c r="W6" s="3278"/>
      <c r="X6" s="1809"/>
      <c r="Y6" s="3275"/>
      <c r="Z6" s="3276"/>
      <c r="AA6" s="3246"/>
      <c r="AB6" s="3246"/>
      <c r="AC6" s="3264"/>
    </row>
    <row r="7" spans="1:29" s="116" customFormat="1" ht="15.75" thickBot="1">
      <c r="A7" s="407" t="s">
        <v>2541</v>
      </c>
      <c r="B7" s="408"/>
      <c r="C7" s="409">
        <f>'数据-取费表'!B2</f>
        <v>43165</v>
      </c>
      <c r="D7" s="410">
        <v>100</v>
      </c>
      <c r="E7" s="411">
        <v>43160</v>
      </c>
      <c r="F7" s="412">
        <f>SUMIF(59:59,YEAR(E7)&amp;"-"&amp;MONTH(E7),60:60)</f>
        <v>100</v>
      </c>
      <c r="G7" s="2973">
        <v>43132</v>
      </c>
      <c r="H7" s="410">
        <f>SUMIF(59:59,YEAR(G7)&amp;"-"&amp;MONTH(G7),60:60)</f>
        <v>100</v>
      </c>
      <c r="I7" s="2973">
        <v>43162</v>
      </c>
      <c r="J7" s="410">
        <f>SUMIF(59:59,YEAR(I7)&amp;"-"&amp;MONTH(I7),60:60)</f>
        <v>100</v>
      </c>
      <c r="K7" s="610"/>
      <c r="L7" s="1128"/>
      <c r="M7" s="1129"/>
      <c r="N7" s="1129"/>
      <c r="O7" s="1129"/>
      <c r="P7" s="3279" t="s">
        <v>2542</v>
      </c>
      <c r="Q7" s="3280"/>
      <c r="R7" s="768" t="s">
        <v>17</v>
      </c>
      <c r="S7" s="769">
        <f t="shared" ref="S7:S15" si="0">F7</f>
        <v>100</v>
      </c>
      <c r="T7" s="768" t="s">
        <v>17</v>
      </c>
      <c r="U7" s="769">
        <f t="shared" ref="U7:U15" si="1">H7</f>
        <v>100</v>
      </c>
      <c r="V7" s="768" t="s">
        <v>17</v>
      </c>
      <c r="W7" s="769">
        <f t="shared" ref="W7:W15" si="2">J7</f>
        <v>100</v>
      </c>
      <c r="X7" s="770"/>
      <c r="Y7" s="3247" t="s">
        <v>2542</v>
      </c>
      <c r="Z7" s="3248"/>
      <c r="AA7" s="771">
        <f>D7/F7</f>
        <v>1</v>
      </c>
      <c r="AB7" s="771">
        <f>D7/H7</f>
        <v>1</v>
      </c>
      <c r="AC7" s="2663">
        <f>D7/J7</f>
        <v>1</v>
      </c>
    </row>
    <row r="8" spans="1:29" s="116" customFormat="1" ht="15.75" thickBot="1">
      <c r="A8" s="407" t="s">
        <v>2543</v>
      </c>
      <c r="B8" s="408"/>
      <c r="C8" s="2970" t="s">
        <v>3096</v>
      </c>
      <c r="D8" s="410">
        <v>100</v>
      </c>
      <c r="E8" s="2970" t="s">
        <v>3096</v>
      </c>
      <c r="F8" s="412">
        <f>SUMIF(62:62,E8,63:63)-SUMIF(62:62,C8,63:63)+100</f>
        <v>100</v>
      </c>
      <c r="G8" s="2970" t="s">
        <v>3096</v>
      </c>
      <c r="H8" s="410">
        <f>SUMIF(62:62,G8,63:63)-SUMIF(62:62,C8,63:63)+100</f>
        <v>100</v>
      </c>
      <c r="I8" s="2970" t="s">
        <v>3096</v>
      </c>
      <c r="J8" s="410">
        <f>SUMIF(62:62,I8,63:63)-SUMIF(62:62,C8,63:63)+100</f>
        <v>100</v>
      </c>
      <c r="K8" s="610"/>
      <c r="L8" s="1128"/>
      <c r="M8" s="1129"/>
      <c r="N8" s="1129"/>
      <c r="O8" s="1129"/>
      <c r="P8" s="3279" t="s">
        <v>2545</v>
      </c>
      <c r="Q8" s="3248"/>
      <c r="R8" s="768" t="s">
        <v>17</v>
      </c>
      <c r="S8" s="769">
        <f t="shared" si="0"/>
        <v>100</v>
      </c>
      <c r="T8" s="768" t="s">
        <v>17</v>
      </c>
      <c r="U8" s="769">
        <f t="shared" si="1"/>
        <v>100</v>
      </c>
      <c r="V8" s="768" t="s">
        <v>17</v>
      </c>
      <c r="W8" s="769">
        <f t="shared" si="2"/>
        <v>100</v>
      </c>
      <c r="X8" s="770"/>
      <c r="Y8" s="3247" t="s">
        <v>2545</v>
      </c>
      <c r="Z8" s="3248"/>
      <c r="AA8" s="771">
        <f t="shared" ref="AA8:AA47" si="3">D8/F8</f>
        <v>1</v>
      </c>
      <c r="AB8" s="771">
        <f t="shared" ref="AB8:AB47" si="4">D8/H8</f>
        <v>1</v>
      </c>
      <c r="AC8" s="2663">
        <f t="shared" ref="AC8:AC47" si="5">D8/J8</f>
        <v>1</v>
      </c>
    </row>
    <row r="9" spans="1:29" s="116" customFormat="1">
      <c r="A9" s="414" t="s">
        <v>2546</v>
      </c>
      <c r="B9" s="70" t="s">
        <v>2547</v>
      </c>
      <c r="C9" s="2971" t="s">
        <v>3097</v>
      </c>
      <c r="D9" s="134">
        <v>100</v>
      </c>
      <c r="E9" s="2971" t="s">
        <v>3097</v>
      </c>
      <c r="F9" s="134">
        <f>SUMIF(64:64,E9,65:65)-SUMIF(64:64,C9,65:65)+100</f>
        <v>100</v>
      </c>
      <c r="G9" s="2974" t="s">
        <v>27</v>
      </c>
      <c r="H9" s="134">
        <f>SUMIF(64:64,G9,65:65)-SUMIF(64:64,C9,65:65)+100</f>
        <v>100</v>
      </c>
      <c r="I9" s="2974" t="s">
        <v>27</v>
      </c>
      <c r="J9" s="134">
        <f>SUMIF(64:64,I9,65:65)-SUMIF(64:64,C9,65:65)+100</f>
        <v>100</v>
      </c>
      <c r="K9" s="610"/>
      <c r="L9" s="1128"/>
      <c r="M9" s="1129"/>
      <c r="N9" s="1129"/>
      <c r="O9" s="1129"/>
      <c r="P9" s="3261" t="s">
        <v>2548</v>
      </c>
      <c r="Q9" s="1791" t="str">
        <f t="shared" ref="Q9:Q15" si="6">B9</f>
        <v>用途</v>
      </c>
      <c r="R9" s="768" t="s">
        <v>17</v>
      </c>
      <c r="S9" s="769">
        <f t="shared" si="0"/>
        <v>100</v>
      </c>
      <c r="T9" s="768" t="s">
        <v>17</v>
      </c>
      <c r="U9" s="769">
        <f t="shared" si="1"/>
        <v>100</v>
      </c>
      <c r="V9" s="768" t="s">
        <v>17</v>
      </c>
      <c r="W9" s="769">
        <f t="shared" si="2"/>
        <v>100</v>
      </c>
      <c r="X9" s="770"/>
      <c r="Y9" s="3101" t="s">
        <v>2549</v>
      </c>
      <c r="Z9" s="55" t="str">
        <f t="shared" ref="Z9:Z15" si="7">Q9</f>
        <v>用途</v>
      </c>
      <c r="AA9" s="771">
        <f t="shared" si="3"/>
        <v>1</v>
      </c>
      <c r="AB9" s="771">
        <f t="shared" si="4"/>
        <v>1</v>
      </c>
      <c r="AC9" s="2663">
        <f t="shared" si="5"/>
        <v>1</v>
      </c>
    </row>
    <row r="10" spans="1:29" s="426" customFormat="1" ht="27">
      <c r="A10" s="420"/>
      <c r="B10" s="421" t="s">
        <v>2550</v>
      </c>
      <c r="C10" s="2972" t="s">
        <v>3098</v>
      </c>
      <c r="D10" s="135">
        <v>100</v>
      </c>
      <c r="E10" s="2972" t="s">
        <v>3130</v>
      </c>
      <c r="F10" s="135">
        <f>SUMIF(66:66,E10,67:67)-SUMIF(66:66,C10,67:67)+100</f>
        <v>98</v>
      </c>
      <c r="G10" s="2975" t="s">
        <v>3098</v>
      </c>
      <c r="H10" s="135">
        <f>SUMIF(66:66,G10,67:67)-SUMIF(66:66,C10,67:67)+100</f>
        <v>100</v>
      </c>
      <c r="I10" s="2975" t="s">
        <v>3099</v>
      </c>
      <c r="J10" s="135">
        <f>SUMIF(66:66,I10,67:67)-SUMIF(66:66,C10,67:67)+100</f>
        <v>102</v>
      </c>
      <c r="K10" s="611">
        <v>2</v>
      </c>
      <c r="L10" s="1131"/>
      <c r="M10" s="1132"/>
      <c r="N10" s="1132"/>
      <c r="O10" s="1132"/>
      <c r="P10" s="3261"/>
      <c r="Q10" s="1791" t="str">
        <f t="shared" si="6"/>
        <v>土地使用年限（年）</v>
      </c>
      <c r="R10" s="768" t="s">
        <v>17</v>
      </c>
      <c r="S10" s="769">
        <f t="shared" si="0"/>
        <v>98</v>
      </c>
      <c r="T10" s="768" t="s">
        <v>17</v>
      </c>
      <c r="U10" s="769">
        <f t="shared" si="1"/>
        <v>100</v>
      </c>
      <c r="V10" s="768" t="s">
        <v>17</v>
      </c>
      <c r="W10" s="769">
        <f t="shared" si="2"/>
        <v>102</v>
      </c>
      <c r="X10" s="770"/>
      <c r="Y10" s="3101"/>
      <c r="Z10" s="55" t="str">
        <f t="shared" si="7"/>
        <v>土地使用年限（年）</v>
      </c>
      <c r="AA10" s="771">
        <f t="shared" si="3"/>
        <v>1.0204081632653061</v>
      </c>
      <c r="AB10" s="771">
        <f t="shared" si="4"/>
        <v>1</v>
      </c>
      <c r="AC10" s="2663">
        <f t="shared" si="5"/>
        <v>0.98039215686274506</v>
      </c>
    </row>
    <row r="11" spans="1:29" ht="15">
      <c r="A11" s="427"/>
      <c r="B11" s="421" t="s">
        <v>2551</v>
      </c>
      <c r="C11" s="428">
        <f>'数据-汇总表'!I6</f>
        <v>4.8499999999999996</v>
      </c>
      <c r="D11" s="135">
        <v>100</v>
      </c>
      <c r="E11" s="428">
        <v>4.5</v>
      </c>
      <c r="F11" s="135">
        <f>LOOKUP(E11,69:69,70:70)-LOOKUP(C11,69:69,70:70)+100</f>
        <v>100</v>
      </c>
      <c r="G11" s="428">
        <v>4.5</v>
      </c>
      <c r="H11" s="135">
        <f>LOOKUP(G11,69:69,70:70)-LOOKUP(C11,69:69,70:70)+100</f>
        <v>100</v>
      </c>
      <c r="I11" s="428">
        <v>4.5</v>
      </c>
      <c r="J11" s="135">
        <f>LOOKUP(I11,69:69,70:70)-LOOKUP(C11,69:69,70:70)+100</f>
        <v>100</v>
      </c>
      <c r="K11" s="611">
        <v>1</v>
      </c>
      <c r="L11" s="1134"/>
      <c r="M11" s="1127"/>
      <c r="N11" s="1127"/>
      <c r="O11" s="1127"/>
      <c r="P11" s="3261"/>
      <c r="Q11" s="1791" t="str">
        <f t="shared" si="6"/>
        <v>容积率</v>
      </c>
      <c r="R11" s="768" t="s">
        <v>17</v>
      </c>
      <c r="S11" s="769">
        <f t="shared" si="0"/>
        <v>100</v>
      </c>
      <c r="T11" s="768" t="s">
        <v>17</v>
      </c>
      <c r="U11" s="769">
        <f t="shared" si="1"/>
        <v>100</v>
      </c>
      <c r="V11" s="768" t="s">
        <v>17</v>
      </c>
      <c r="W11" s="769">
        <f t="shared" si="2"/>
        <v>100</v>
      </c>
      <c r="X11" s="770"/>
      <c r="Y11" s="3101"/>
      <c r="Z11" s="55" t="str">
        <f t="shared" si="7"/>
        <v>容积率</v>
      </c>
      <c r="AA11" s="771">
        <f t="shared" si="3"/>
        <v>1</v>
      </c>
      <c r="AB11" s="771">
        <f t="shared" si="4"/>
        <v>1</v>
      </c>
      <c r="AC11" s="2663">
        <f t="shared" si="5"/>
        <v>1</v>
      </c>
    </row>
    <row r="12" spans="1:29" s="116" customFormat="1" ht="15">
      <c r="A12" s="430"/>
      <c r="B12" s="2592">
        <v>111</v>
      </c>
      <c r="C12" s="431"/>
      <c r="D12" s="432">
        <v>100</v>
      </c>
      <c r="E12" s="431"/>
      <c r="F12" s="135">
        <f>SUMIF(71:71,E12,72:72)-SUMIF(71:71,C12,72:72)+100</f>
        <v>100</v>
      </c>
      <c r="G12" s="2976"/>
      <c r="H12" s="135">
        <f>SUMIF(71:71,G12,72:72)-SUMIF(71:71,C12,72:72)+100</f>
        <v>100</v>
      </c>
      <c r="I12" s="2991"/>
      <c r="J12" s="135">
        <f>SUMIF(71:71,I12,72:72)-SUMIF(71:71,C12,72:72)+100</f>
        <v>100</v>
      </c>
      <c r="K12" s="612"/>
      <c r="L12" s="1128"/>
      <c r="M12" s="1129"/>
      <c r="N12" s="1129"/>
      <c r="O12" s="1129"/>
      <c r="P12" s="3261"/>
      <c r="Q12" s="1791">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2663">
        <f>D12/J12</f>
        <v>1</v>
      </c>
    </row>
    <row r="13" spans="1:29" ht="15">
      <c r="A13" s="427"/>
      <c r="B13" s="2592">
        <v>111</v>
      </c>
      <c r="C13" s="433"/>
      <c r="D13" s="434">
        <v>100</v>
      </c>
      <c r="E13" s="431"/>
      <c r="F13" s="135">
        <f>SUMIF(73:73,E13,74:74)-SUMIF(73:73,C13,74:74)+100</f>
        <v>100</v>
      </c>
      <c r="G13" s="2976"/>
      <c r="H13" s="434">
        <f>SUMIF(73:73,G13,74:74)-SUMIF(73:73,C13,74:74)+100</f>
        <v>100</v>
      </c>
      <c r="I13" s="2991"/>
      <c r="J13" s="434">
        <f>SUMIF(73:73,I13,74:74)-SUMIF(73:73,C13,74:74)+100</f>
        <v>100</v>
      </c>
      <c r="K13" s="612"/>
      <c r="L13" s="1136"/>
      <c r="M13" s="1127"/>
      <c r="N13" s="1127"/>
      <c r="O13" s="1127"/>
      <c r="P13" s="3261"/>
      <c r="Q13" s="1791">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2663">
        <f t="shared" si="5"/>
        <v>1</v>
      </c>
    </row>
    <row r="14" spans="1:29" ht="15.75" thickBot="1">
      <c r="A14" s="435"/>
      <c r="B14" s="2594">
        <v>111</v>
      </c>
      <c r="C14" s="436"/>
      <c r="D14" s="437">
        <v>100</v>
      </c>
      <c r="E14" s="627"/>
      <c r="F14" s="437">
        <f>SUMIF(75:75,E14,76:76)-SUMIF(75:75,C14,76:76)+100</f>
        <v>100</v>
      </c>
      <c r="G14" s="2976"/>
      <c r="H14" s="437">
        <f>SUMIF(75:75,G14,76:76)-SUMIF(75:75,C14,76:76)+100</f>
        <v>100</v>
      </c>
      <c r="I14" s="2991"/>
      <c r="J14" s="437">
        <f>SUMIF(75:75,I14,76:76)-SUMIF(75:75,C14,76:76)+100</f>
        <v>100</v>
      </c>
      <c r="K14" s="612"/>
      <c r="L14" s="1136"/>
      <c r="M14" s="1127"/>
      <c r="N14" s="1127"/>
      <c r="O14" s="1127"/>
      <c r="P14" s="3261"/>
      <c r="Q14" s="1791">
        <f t="shared" si="6"/>
        <v>111</v>
      </c>
      <c r="R14" s="768" t="s">
        <v>17</v>
      </c>
      <c r="S14" s="769">
        <f t="shared" si="0"/>
        <v>100</v>
      </c>
      <c r="T14" s="768" t="s">
        <v>17</v>
      </c>
      <c r="U14" s="769">
        <f t="shared" si="1"/>
        <v>100</v>
      </c>
      <c r="V14" s="768" t="s">
        <v>17</v>
      </c>
      <c r="W14" s="769">
        <f t="shared" si="2"/>
        <v>100</v>
      </c>
      <c r="X14" s="770"/>
      <c r="Y14" s="3101"/>
      <c r="Z14" s="55">
        <f t="shared" si="7"/>
        <v>111</v>
      </c>
      <c r="AA14" s="771">
        <f t="shared" si="3"/>
        <v>1</v>
      </c>
      <c r="AB14" s="771">
        <f t="shared" si="4"/>
        <v>1</v>
      </c>
      <c r="AC14" s="2663">
        <f t="shared" si="5"/>
        <v>1</v>
      </c>
    </row>
    <row r="15" spans="1:29" ht="67.5">
      <c r="A15" s="439" t="s">
        <v>2552</v>
      </c>
      <c r="B15" s="628" t="s">
        <v>2680</v>
      </c>
      <c r="C15" s="2664" t="str">
        <f>估价对象房地状况!C5</f>
        <v>周边有东环广场、东方银座等写字楼，办公聚集度较好。</v>
      </c>
      <c r="D15" s="440">
        <v>100</v>
      </c>
      <c r="E15" s="2977" t="s">
        <v>3218</v>
      </c>
      <c r="F15" s="440">
        <f>SUMIF(77:77,E16,78:78)-SUMIF(77:77,C16,78:78)+100</f>
        <v>102</v>
      </c>
      <c r="G15" s="2977" t="s">
        <v>3221</v>
      </c>
      <c r="H15" s="440">
        <f>SUMIF(77:77,G16,78:78)-SUMIF(77:77,C16,78:78)+100</f>
        <v>100</v>
      </c>
      <c r="I15" s="2977" t="s">
        <v>3224</v>
      </c>
      <c r="J15" s="440">
        <f>SUMIF(77:77,I16,78:78)-SUMIF(77:77,C16,78:78)+100</f>
        <v>100</v>
      </c>
      <c r="K15" s="613">
        <v>2</v>
      </c>
      <c r="L15" s="1136"/>
      <c r="M15" s="1127"/>
      <c r="N15" s="1127"/>
      <c r="O15" s="1127"/>
      <c r="P15" s="3281" t="s">
        <v>2553</v>
      </c>
      <c r="Q15" s="1806" t="str">
        <f t="shared" si="6"/>
        <v>办公集聚程度</v>
      </c>
      <c r="R15" s="772" t="s">
        <v>17</v>
      </c>
      <c r="S15" s="773">
        <f t="shared" si="0"/>
        <v>102</v>
      </c>
      <c r="T15" s="772" t="s">
        <v>17</v>
      </c>
      <c r="U15" s="773">
        <f t="shared" si="1"/>
        <v>100</v>
      </c>
      <c r="V15" s="772" t="s">
        <v>17</v>
      </c>
      <c r="W15" s="773">
        <f t="shared" si="2"/>
        <v>100</v>
      </c>
      <c r="X15" s="1809"/>
      <c r="Y15" s="3283" t="s">
        <v>2553</v>
      </c>
      <c r="Z15" s="1810" t="str">
        <f t="shared" si="7"/>
        <v>办公集聚程度</v>
      </c>
      <c r="AA15" s="1807">
        <f t="shared" si="3"/>
        <v>0.98039215686274506</v>
      </c>
      <c r="AB15" s="1807">
        <f t="shared" si="4"/>
        <v>1</v>
      </c>
      <c r="AC15" s="2665">
        <f t="shared" si="5"/>
        <v>1</v>
      </c>
    </row>
    <row r="16" spans="1:29" ht="15">
      <c r="A16" s="427"/>
      <c r="B16" s="629"/>
      <c r="C16" s="2603" t="s">
        <v>3100</v>
      </c>
      <c r="D16" s="447"/>
      <c r="E16" s="446" t="s">
        <v>3101</v>
      </c>
      <c r="F16" s="447"/>
      <c r="G16" s="2978" t="s">
        <v>3100</v>
      </c>
      <c r="H16" s="449"/>
      <c r="I16" s="2983" t="s">
        <v>3100</v>
      </c>
      <c r="J16" s="447"/>
      <c r="K16" s="614"/>
      <c r="L16" s="1136"/>
      <c r="M16" s="1127"/>
      <c r="N16" s="1127"/>
      <c r="O16" s="1127"/>
      <c r="P16" s="3282"/>
      <c r="Q16" s="1806"/>
      <c r="R16" s="772"/>
      <c r="S16" s="773"/>
      <c r="T16" s="772"/>
      <c r="U16" s="773"/>
      <c r="V16" s="772"/>
      <c r="W16" s="773"/>
      <c r="X16" s="1809"/>
      <c r="Y16" s="3284"/>
      <c r="Z16" s="1810"/>
      <c r="AA16" s="1807">
        <v>1</v>
      </c>
      <c r="AB16" s="1807">
        <v>1</v>
      </c>
      <c r="AC16" s="2665">
        <v>1</v>
      </c>
    </row>
    <row r="17" spans="1:29" ht="108">
      <c r="A17" s="427"/>
      <c r="B17" s="630" t="s">
        <v>2091</v>
      </c>
      <c r="C17" s="2666" t="str">
        <f>估价对象房地状况!C6</f>
        <v>估价对象周边道路状况、周边有24、106、117路及地铁2号、13号、机场线，综合评价交通便捷度好</v>
      </c>
      <c r="D17" s="449">
        <v>100</v>
      </c>
      <c r="E17" s="453" t="s">
        <v>3219</v>
      </c>
      <c r="F17" s="449">
        <f>SUMIF(79:79,E18,80:80)-SUMIF(79:79,C18,80:80)+100</f>
        <v>100</v>
      </c>
      <c r="G17" s="2979" t="s">
        <v>3222</v>
      </c>
      <c r="H17" s="454">
        <f>SUMIF(79:79,G18,80:80)-SUMIF(79:79,C18,80:80)+100</f>
        <v>100</v>
      </c>
      <c r="I17" s="2979" t="s">
        <v>3111</v>
      </c>
      <c r="J17" s="454">
        <f>SUMIF(79:79,I18,80:80)-SUMIF(79:79,C18,80:80)+100</f>
        <v>98</v>
      </c>
      <c r="K17" s="613">
        <v>2</v>
      </c>
      <c r="L17" s="1136"/>
      <c r="M17" s="1127"/>
      <c r="N17" s="1127"/>
      <c r="O17" s="1127"/>
      <c r="P17" s="3282"/>
      <c r="Q17" s="1806" t="str">
        <f>B17</f>
        <v>交通便捷度</v>
      </c>
      <c r="R17" s="772" t="s">
        <v>17</v>
      </c>
      <c r="S17" s="773">
        <f>F17</f>
        <v>100</v>
      </c>
      <c r="T17" s="772" t="s">
        <v>17</v>
      </c>
      <c r="U17" s="773">
        <f>H17</f>
        <v>100</v>
      </c>
      <c r="V17" s="772" t="s">
        <v>17</v>
      </c>
      <c r="W17" s="773">
        <f>J17</f>
        <v>98</v>
      </c>
      <c r="X17" s="1809"/>
      <c r="Y17" s="3284"/>
      <c r="Z17" s="1810" t="str">
        <f>Q17</f>
        <v>交通便捷度</v>
      </c>
      <c r="AA17" s="1807">
        <f t="shared" si="3"/>
        <v>1</v>
      </c>
      <c r="AB17" s="1807">
        <f t="shared" si="4"/>
        <v>1</v>
      </c>
      <c r="AC17" s="2665">
        <f t="shared" si="5"/>
        <v>1.0204081632653061</v>
      </c>
    </row>
    <row r="18" spans="1:29" ht="15">
      <c r="A18" s="427"/>
      <c r="B18" s="631"/>
      <c r="C18" s="2980" t="s">
        <v>3101</v>
      </c>
      <c r="D18" s="449"/>
      <c r="E18" s="2601" t="s">
        <v>3101</v>
      </c>
      <c r="F18" s="449"/>
      <c r="G18" s="2980" t="s">
        <v>3101</v>
      </c>
      <c r="H18" s="447"/>
      <c r="I18" s="2980" t="s">
        <v>3100</v>
      </c>
      <c r="J18" s="447"/>
      <c r="K18" s="614"/>
      <c r="L18" s="1136"/>
      <c r="M18" s="1127"/>
      <c r="N18" s="1127"/>
      <c r="O18" s="1127"/>
      <c r="P18" s="3282"/>
      <c r="Q18" s="1806"/>
      <c r="R18" s="772"/>
      <c r="S18" s="773"/>
      <c r="T18" s="772"/>
      <c r="U18" s="773"/>
      <c r="V18" s="772"/>
      <c r="W18" s="773"/>
      <c r="X18" s="1809"/>
      <c r="Y18" s="3284"/>
      <c r="Z18" s="1810"/>
      <c r="AA18" s="1807">
        <v>1</v>
      </c>
      <c r="AB18" s="1807">
        <v>1</v>
      </c>
      <c r="AC18" s="2665">
        <v>1</v>
      </c>
    </row>
    <row r="19" spans="1:29" ht="81">
      <c r="A19" s="427"/>
      <c r="B19" s="630" t="s">
        <v>2681</v>
      </c>
      <c r="C19" s="2666" t="str">
        <f>估价对象房地状况!C7</f>
        <v>周边有银行、购物场所、餐饮等配套设施，公共服务设施状况较好。</v>
      </c>
      <c r="D19" s="454">
        <v>100</v>
      </c>
      <c r="E19" s="2981" t="s">
        <v>3074</v>
      </c>
      <c r="F19" s="454">
        <f>SUMIF(81:81,E20,82:82)-SUMIF(81:81,C20,82:82)+100</f>
        <v>100</v>
      </c>
      <c r="G19" s="2981" t="s">
        <v>3074</v>
      </c>
      <c r="H19" s="449">
        <f>SUMIF(81:81,G20,82:82)-SUMIF(81:81,C20,82:82)+100</f>
        <v>100</v>
      </c>
      <c r="I19" s="2981" t="s">
        <v>3074</v>
      </c>
      <c r="J19" s="449">
        <f>SUMIF(81:81,I20,82:82)-SUMIF(81:81,C20,82:82)+100</f>
        <v>100</v>
      </c>
      <c r="K19" s="613">
        <v>3</v>
      </c>
      <c r="L19" s="1136"/>
      <c r="M19" s="1127"/>
      <c r="N19" s="1127"/>
      <c r="O19" s="1127"/>
      <c r="P19" s="3282"/>
      <c r="Q19" s="1806" t="str">
        <f>B19</f>
        <v>公共配套设施</v>
      </c>
      <c r="R19" s="772" t="s">
        <v>17</v>
      </c>
      <c r="S19" s="773">
        <f>F19</f>
        <v>100</v>
      </c>
      <c r="T19" s="772" t="s">
        <v>17</v>
      </c>
      <c r="U19" s="773">
        <f>H19</f>
        <v>100</v>
      </c>
      <c r="V19" s="772" t="s">
        <v>17</v>
      </c>
      <c r="W19" s="773">
        <f>J19</f>
        <v>100</v>
      </c>
      <c r="X19" s="1809"/>
      <c r="Y19" s="3284"/>
      <c r="Z19" s="1810" t="str">
        <f>Q19</f>
        <v>公共配套设施</v>
      </c>
      <c r="AA19" s="1807">
        <f t="shared" si="3"/>
        <v>1</v>
      </c>
      <c r="AB19" s="1807">
        <f t="shared" si="4"/>
        <v>1</v>
      </c>
      <c r="AC19" s="2665">
        <f t="shared" si="5"/>
        <v>1</v>
      </c>
    </row>
    <row r="20" spans="1:29" ht="15">
      <c r="A20" s="427"/>
      <c r="B20" s="631"/>
      <c r="C20" s="2978" t="s">
        <v>3100</v>
      </c>
      <c r="D20" s="447"/>
      <c r="E20" s="2978" t="s">
        <v>3100</v>
      </c>
      <c r="F20" s="447"/>
      <c r="G20" s="2978" t="s">
        <v>3100</v>
      </c>
      <c r="H20" s="447"/>
      <c r="I20" s="2978" t="s">
        <v>3100</v>
      </c>
      <c r="J20" s="447"/>
      <c r="K20" s="614"/>
      <c r="L20" s="1136"/>
      <c r="M20" s="1127"/>
      <c r="N20" s="1127"/>
      <c r="O20" s="1127"/>
      <c r="P20" s="3282"/>
      <c r="Q20" s="1806"/>
      <c r="R20" s="772"/>
      <c r="S20" s="773"/>
      <c r="T20" s="772"/>
      <c r="U20" s="773"/>
      <c r="V20" s="772"/>
      <c r="W20" s="773"/>
      <c r="X20" s="1809"/>
      <c r="Y20" s="3284"/>
      <c r="Z20" s="1810"/>
      <c r="AA20" s="1807">
        <v>1</v>
      </c>
      <c r="AB20" s="1807">
        <v>1</v>
      </c>
      <c r="AC20" s="2665">
        <v>1</v>
      </c>
    </row>
    <row r="21" spans="1:29" ht="15">
      <c r="A21" s="427"/>
      <c r="B21" s="632" t="s">
        <v>2682</v>
      </c>
      <c r="C21" s="2666" t="str">
        <f>估价对象房地状况!C8</f>
        <v>七通</v>
      </c>
      <c r="D21" s="449">
        <v>100</v>
      </c>
      <c r="E21" s="458"/>
      <c r="F21" s="454">
        <f>SUMIF(83:83,E22,84:84)-SUMIF(83:83,C22,84:84)+100</f>
        <v>100</v>
      </c>
      <c r="G21" s="2982"/>
      <c r="H21" s="449">
        <f>SUMIF(83:83,G22,84:84)-SUMIF(83:83,C22,84:84)+100</f>
        <v>100</v>
      </c>
      <c r="I21" s="2982"/>
      <c r="J21" s="449">
        <f>SUMIF(83:83,I22,84:84)-SUMIF(83:83,C22,84:84)+100</f>
        <v>100</v>
      </c>
      <c r="K21" s="613">
        <v>1</v>
      </c>
      <c r="L21" s="1136"/>
      <c r="M21" s="1127"/>
      <c r="N21" s="1127"/>
      <c r="O21" s="1127"/>
      <c r="P21" s="3282"/>
      <c r="Q21" s="1806" t="str">
        <f>B21</f>
        <v>基础设施水平</v>
      </c>
      <c r="R21" s="772" t="s">
        <v>17</v>
      </c>
      <c r="S21" s="773">
        <f>F21</f>
        <v>100</v>
      </c>
      <c r="T21" s="772" t="s">
        <v>17</v>
      </c>
      <c r="U21" s="773">
        <f>H21</f>
        <v>100</v>
      </c>
      <c r="V21" s="772" t="s">
        <v>17</v>
      </c>
      <c r="W21" s="773">
        <f>J21</f>
        <v>100</v>
      </c>
      <c r="X21" s="1809"/>
      <c r="Y21" s="3284"/>
      <c r="Z21" s="1810" t="str">
        <f>Q21</f>
        <v>基础设施水平</v>
      </c>
      <c r="AA21" s="1807">
        <f t="shared" ref="AA21" si="8">D21/F21</f>
        <v>1</v>
      </c>
      <c r="AB21" s="1807">
        <f t="shared" ref="AB21" si="9">D21/H21</f>
        <v>1</v>
      </c>
      <c r="AC21" s="2665">
        <f t="shared" ref="AC21" si="10">D21/J21</f>
        <v>1</v>
      </c>
    </row>
    <row r="22" spans="1:29" ht="15">
      <c r="A22" s="427"/>
      <c r="B22" s="632"/>
      <c r="C22" s="2983" t="s">
        <v>3075</v>
      </c>
      <c r="D22" s="447"/>
      <c r="E22" s="2983" t="s">
        <v>3075</v>
      </c>
      <c r="F22" s="447"/>
      <c r="G22" s="2983" t="s">
        <v>3075</v>
      </c>
      <c r="H22" s="447"/>
      <c r="I22" s="2983" t="s">
        <v>3075</v>
      </c>
      <c r="J22" s="447"/>
      <c r="K22" s="1379"/>
      <c r="L22" s="1136"/>
      <c r="M22" s="1127"/>
      <c r="N22" s="1127"/>
      <c r="O22" s="1127"/>
      <c r="P22" s="3282"/>
      <c r="Q22" s="1806"/>
      <c r="R22" s="772"/>
      <c r="S22" s="773"/>
      <c r="T22" s="772"/>
      <c r="U22" s="773"/>
      <c r="V22" s="772"/>
      <c r="W22" s="773"/>
      <c r="X22" s="1809"/>
      <c r="Y22" s="3284"/>
      <c r="Z22" s="1810"/>
      <c r="AA22" s="1807">
        <v>1</v>
      </c>
      <c r="AB22" s="1807">
        <v>1</v>
      </c>
      <c r="AC22" s="2665">
        <v>1</v>
      </c>
    </row>
    <row r="23" spans="1:29" ht="121.5">
      <c r="A23" s="427"/>
      <c r="B23" s="630" t="s">
        <v>2683</v>
      </c>
      <c r="C23" s="2666" t="str">
        <f>估价对象房地状况!C9</f>
        <v>区域自然环境：南馆公园、工人体育馆；人文环境：保利艺术博物馆、自来水博物馆；综合评价环境状况较好</v>
      </c>
      <c r="D23" s="449">
        <v>100</v>
      </c>
      <c r="E23" s="2979" t="s">
        <v>3220</v>
      </c>
      <c r="F23" s="449">
        <f>SUMIF(85:85,E24,86:86)-SUMIF(85:85,C24,86:86)+100</f>
        <v>100</v>
      </c>
      <c r="G23" s="2979" t="s">
        <v>3223</v>
      </c>
      <c r="H23" s="449">
        <f>SUMIF(85:85,G24,86:86)-SUMIF(85:85,C24,86:86)+100</f>
        <v>100</v>
      </c>
      <c r="I23" s="2979" t="s">
        <v>3076</v>
      </c>
      <c r="J23" s="449">
        <f>SUMIF(85:85,I24,86:86)-SUMIF(85:85,C24,86:86)+100</f>
        <v>100</v>
      </c>
      <c r="K23" s="613">
        <v>2</v>
      </c>
      <c r="L23" s="1136"/>
      <c r="M23" s="1127"/>
      <c r="N23" s="1127"/>
      <c r="O23" s="1127"/>
      <c r="P23" s="3282"/>
      <c r="Q23" s="1806" t="str">
        <f>B23</f>
        <v>环境质量</v>
      </c>
      <c r="R23" s="772" t="s">
        <v>17</v>
      </c>
      <c r="S23" s="773">
        <f>F23</f>
        <v>100</v>
      </c>
      <c r="T23" s="772" t="s">
        <v>17</v>
      </c>
      <c r="U23" s="773">
        <f>H23</f>
        <v>100</v>
      </c>
      <c r="V23" s="772" t="s">
        <v>17</v>
      </c>
      <c r="W23" s="773">
        <f>J23</f>
        <v>100</v>
      </c>
      <c r="X23" s="1809"/>
      <c r="Y23" s="3284"/>
      <c r="Z23" s="1810" t="str">
        <f>Q23</f>
        <v>环境质量</v>
      </c>
      <c r="AA23" s="1807">
        <f t="shared" si="3"/>
        <v>1</v>
      </c>
      <c r="AB23" s="1807">
        <f t="shared" si="4"/>
        <v>1</v>
      </c>
      <c r="AC23" s="2665">
        <f t="shared" si="5"/>
        <v>1</v>
      </c>
    </row>
    <row r="24" spans="1:29" ht="15">
      <c r="A24" s="427"/>
      <c r="B24" s="632"/>
      <c r="C24" s="2978" t="s">
        <v>3100</v>
      </c>
      <c r="D24" s="447"/>
      <c r="E24" s="2984" t="s">
        <v>3100</v>
      </c>
      <c r="F24" s="447"/>
      <c r="G24" s="2984" t="s">
        <v>3100</v>
      </c>
      <c r="H24" s="447"/>
      <c r="I24" s="2992" t="s">
        <v>3100</v>
      </c>
      <c r="J24" s="447"/>
      <c r="K24" s="614"/>
      <c r="L24" s="1136"/>
      <c r="M24" s="1127"/>
      <c r="N24" s="1127"/>
      <c r="O24" s="1127"/>
      <c r="P24" s="3282"/>
      <c r="Q24" s="1806"/>
      <c r="R24" s="772"/>
      <c r="S24" s="773"/>
      <c r="T24" s="772"/>
      <c r="U24" s="773"/>
      <c r="V24" s="772"/>
      <c r="W24" s="773"/>
      <c r="X24" s="1809"/>
      <c r="Y24" s="3284"/>
      <c r="Z24" s="1810"/>
      <c r="AA24" s="1807">
        <v>1</v>
      </c>
      <c r="AB24" s="1807">
        <v>1</v>
      </c>
      <c r="AC24" s="2665">
        <v>1</v>
      </c>
    </row>
    <row r="25" spans="1:29" ht="27">
      <c r="A25" s="403"/>
      <c r="B25" s="630" t="s">
        <v>2684</v>
      </c>
      <c r="C25" s="2985" t="s">
        <v>3102</v>
      </c>
      <c r="D25" s="434">
        <v>100</v>
      </c>
      <c r="E25" s="2985" t="s">
        <v>3102</v>
      </c>
      <c r="F25" s="434">
        <f>SUMIF(87:87,E26,88:88)-SUMIF(87:87,C26,88:88)+100</f>
        <v>100</v>
      </c>
      <c r="G25" s="2985" t="s">
        <v>3102</v>
      </c>
      <c r="H25" s="434">
        <f>SUMIF(87:87,G26,88:88)-SUMIF(87:87,C26,88:88)+100</f>
        <v>100</v>
      </c>
      <c r="I25" s="2985" t="s">
        <v>3102</v>
      </c>
      <c r="J25" s="434">
        <f>SUMIF(87:87,I26,88:88)-SUMIF(87:87,C26,88:88)+100</f>
        <v>100</v>
      </c>
      <c r="K25" s="613">
        <v>1</v>
      </c>
      <c r="L25" s="1136"/>
      <c r="M25" s="1127"/>
      <c r="N25" s="1127"/>
      <c r="O25" s="1127"/>
      <c r="P25" s="3282"/>
      <c r="Q25" s="1806" t="str">
        <f>B25</f>
        <v>毗邻道路的类型与等级</v>
      </c>
      <c r="R25" s="772" t="s">
        <v>17</v>
      </c>
      <c r="S25" s="773">
        <f>F25</f>
        <v>100</v>
      </c>
      <c r="T25" s="772" t="s">
        <v>17</v>
      </c>
      <c r="U25" s="773">
        <f>H25</f>
        <v>100</v>
      </c>
      <c r="V25" s="772" t="s">
        <v>17</v>
      </c>
      <c r="W25" s="773">
        <f>J25</f>
        <v>100</v>
      </c>
      <c r="X25" s="1809"/>
      <c r="Y25" s="3284"/>
      <c r="Z25" s="1810" t="str">
        <f>Q25</f>
        <v>毗邻道路的类型与等级</v>
      </c>
      <c r="AA25" s="1807">
        <f t="shared" si="3"/>
        <v>1</v>
      </c>
      <c r="AB25" s="1807">
        <f t="shared" si="4"/>
        <v>1</v>
      </c>
      <c r="AC25" s="2665">
        <f t="shared" si="5"/>
        <v>1</v>
      </c>
    </row>
    <row r="26" spans="1:29" ht="15">
      <c r="A26" s="403"/>
      <c r="B26" s="631"/>
      <c r="C26" s="2987" t="s">
        <v>3103</v>
      </c>
      <c r="D26" s="434"/>
      <c r="E26" s="2986" t="s">
        <v>3103</v>
      </c>
      <c r="F26" s="434"/>
      <c r="G26" s="2986" t="s">
        <v>3103</v>
      </c>
      <c r="H26" s="434"/>
      <c r="I26" s="2986" t="s">
        <v>3103</v>
      </c>
      <c r="J26" s="434"/>
      <c r="K26" s="614"/>
      <c r="L26" s="1136"/>
      <c r="M26" s="1127"/>
      <c r="N26" s="1127"/>
      <c r="O26" s="1127"/>
      <c r="P26" s="3282"/>
      <c r="Q26" s="1806"/>
      <c r="R26" s="772"/>
      <c r="S26" s="773"/>
      <c r="T26" s="772"/>
      <c r="U26" s="773"/>
      <c r="V26" s="772"/>
      <c r="W26" s="773"/>
      <c r="X26" s="1809"/>
      <c r="Y26" s="3284"/>
      <c r="Z26" s="1810"/>
      <c r="AA26" s="1807">
        <v>1</v>
      </c>
      <c r="AB26" s="1807">
        <v>1</v>
      </c>
      <c r="AC26" s="2665">
        <v>1</v>
      </c>
    </row>
    <row r="27" spans="1:29" ht="15">
      <c r="A27" s="427"/>
      <c r="B27" s="631" t="s">
        <v>2652</v>
      </c>
      <c r="C27" s="2987" t="s">
        <v>3112</v>
      </c>
      <c r="D27" s="434">
        <v>100</v>
      </c>
      <c r="E27" s="2987" t="s">
        <v>3172</v>
      </c>
      <c r="F27" s="434">
        <f>SUMIF(89:89,E27,90:90)-SUMIF(89:89,C27,90:90)+100</f>
        <v>105</v>
      </c>
      <c r="G27" s="2987" t="s">
        <v>3172</v>
      </c>
      <c r="H27" s="434">
        <f>SUMIF(89:89,G27,90:90)-SUMIF(89:89,C27,90:90)+100</f>
        <v>105</v>
      </c>
      <c r="I27" s="2986" t="s">
        <v>3172</v>
      </c>
      <c r="J27" s="434">
        <f>SUMIF(89:89,I27,90:90)-SUMIF(89:89,C27,90:90)+100</f>
        <v>105</v>
      </c>
      <c r="K27" s="611">
        <v>5</v>
      </c>
      <c r="L27" s="1136"/>
      <c r="M27" s="1127"/>
      <c r="N27" s="1127"/>
      <c r="O27" s="1127"/>
      <c r="P27" s="3282"/>
      <c r="Q27" s="1806" t="str">
        <f t="shared" ref="Q27:Q47" si="11">B27</f>
        <v>楼层</v>
      </c>
      <c r="R27" s="772" t="s">
        <v>17</v>
      </c>
      <c r="S27" s="773">
        <f>F27</f>
        <v>105</v>
      </c>
      <c r="T27" s="772" t="s">
        <v>17</v>
      </c>
      <c r="U27" s="773">
        <f>H27</f>
        <v>105</v>
      </c>
      <c r="V27" s="772" t="s">
        <v>17</v>
      </c>
      <c r="W27" s="773">
        <f>J27</f>
        <v>105</v>
      </c>
      <c r="X27" s="1809"/>
      <c r="Y27" s="3284"/>
      <c r="Z27" s="1810" t="str">
        <f>Q27</f>
        <v>楼层</v>
      </c>
      <c r="AA27" s="1807">
        <f t="shared" si="3"/>
        <v>0.95238095238095233</v>
      </c>
      <c r="AB27" s="1807">
        <f t="shared" si="4"/>
        <v>0.95238095238095233</v>
      </c>
      <c r="AC27" s="2665">
        <f t="shared" si="5"/>
        <v>0.95238095238095233</v>
      </c>
    </row>
    <row r="28" spans="1:29" s="116" customFormat="1" ht="15">
      <c r="A28" s="430"/>
      <c r="B28" s="630" t="s">
        <v>2685</v>
      </c>
      <c r="C28" s="2988" t="s">
        <v>3104</v>
      </c>
      <c r="D28" s="461">
        <v>100</v>
      </c>
      <c r="E28" s="2988" t="s">
        <v>3104</v>
      </c>
      <c r="F28" s="461">
        <f>SUMIF(91:91,E28,92:92)-SUMIF(91:91,C28,92:92)+100</f>
        <v>100</v>
      </c>
      <c r="G28" s="2988" t="s">
        <v>3104</v>
      </c>
      <c r="H28" s="461">
        <f>SUMIF(91:91,G28,92:92)-SUMIF(91:91,C28,92:92)+100</f>
        <v>100</v>
      </c>
      <c r="I28" s="2988" t="s">
        <v>3104</v>
      </c>
      <c r="J28" s="461">
        <f>SUMIF(91:91,I28,92:92)-SUMIF(91:91,C28,92:92)+100</f>
        <v>100</v>
      </c>
      <c r="K28" s="611">
        <v>3</v>
      </c>
      <c r="L28" s="1128"/>
      <c r="M28" s="1129"/>
      <c r="N28" s="1129"/>
      <c r="O28" s="1129"/>
      <c r="P28" s="3282"/>
      <c r="Q28" s="1791" t="str">
        <f t="shared" si="11"/>
        <v>朝向</v>
      </c>
      <c r="R28" s="768" t="s">
        <v>17</v>
      </c>
      <c r="S28" s="769">
        <f>F28</f>
        <v>100</v>
      </c>
      <c r="T28" s="768" t="s">
        <v>17</v>
      </c>
      <c r="U28" s="769">
        <f>H28</f>
        <v>100</v>
      </c>
      <c r="V28" s="768" t="s">
        <v>17</v>
      </c>
      <c r="W28" s="769">
        <f>J28</f>
        <v>100</v>
      </c>
      <c r="X28" s="770"/>
      <c r="Y28" s="3284"/>
      <c r="Z28" s="55" t="str">
        <f>Q28</f>
        <v>朝向</v>
      </c>
      <c r="AA28" s="1807">
        <f>D28/F28</f>
        <v>1</v>
      </c>
      <c r="AB28" s="1807">
        <f>D28/H28</f>
        <v>1</v>
      </c>
      <c r="AC28" s="2665">
        <f>D28/J28</f>
        <v>1</v>
      </c>
    </row>
    <row r="29" spans="1:29" ht="15">
      <c r="A29" s="427"/>
      <c r="B29" s="2667">
        <v>111</v>
      </c>
      <c r="C29" s="2985"/>
      <c r="D29" s="434">
        <v>100</v>
      </c>
      <c r="E29" s="2976"/>
      <c r="F29" s="434">
        <f>SUMIF(93:93,E29,94:94)-SUMIF(93:93,C29,94:94)+100</f>
        <v>100</v>
      </c>
      <c r="G29" s="2976"/>
      <c r="H29" s="434">
        <f>SUMIF(93:93,G29,94:94)-SUMIF(93:93,C29,94:94)+100</f>
        <v>100</v>
      </c>
      <c r="I29" s="2991"/>
      <c r="J29" s="434">
        <f>SUMIF(93:93,I29,94:94)-SUMIF(93:93,C29,94:94)+100</f>
        <v>100</v>
      </c>
      <c r="K29" s="612"/>
      <c r="L29" s="1136"/>
      <c r="M29" s="1127"/>
      <c r="N29" s="1127"/>
      <c r="O29" s="1127"/>
      <c r="P29" s="3282"/>
      <c r="Q29" s="1806">
        <f t="shared" si="11"/>
        <v>111</v>
      </c>
      <c r="R29" s="772" t="s">
        <v>17</v>
      </c>
      <c r="S29" s="773">
        <f t="shared" ref="S29:S47" si="12">F29</f>
        <v>100</v>
      </c>
      <c r="T29" s="772" t="s">
        <v>17</v>
      </c>
      <c r="U29" s="773">
        <f t="shared" ref="U29:U47" si="13">H29</f>
        <v>100</v>
      </c>
      <c r="V29" s="772" t="s">
        <v>17</v>
      </c>
      <c r="W29" s="773">
        <f t="shared" ref="W29:W47" si="14">J29</f>
        <v>100</v>
      </c>
      <c r="X29" s="1809"/>
      <c r="Y29" s="3284"/>
      <c r="Z29" s="1810">
        <f t="shared" ref="Z29:Z47" si="15">Q29</f>
        <v>111</v>
      </c>
      <c r="AA29" s="1807">
        <f t="shared" si="3"/>
        <v>1</v>
      </c>
      <c r="AB29" s="1807">
        <f t="shared" si="4"/>
        <v>1</v>
      </c>
      <c r="AC29" s="2665">
        <f t="shared" si="5"/>
        <v>1</v>
      </c>
    </row>
    <row r="30" spans="1:29" ht="15">
      <c r="A30" s="427"/>
      <c r="B30" s="2667">
        <v>111</v>
      </c>
      <c r="C30" s="2985"/>
      <c r="D30" s="434">
        <v>100</v>
      </c>
      <c r="E30" s="2976"/>
      <c r="F30" s="434">
        <f>SUMIF(95:95,E30,96:96)-SUMIF(95:95,C30,96:96)+100</f>
        <v>100</v>
      </c>
      <c r="G30" s="2976"/>
      <c r="H30" s="434">
        <f>SUMIF(95:95,G30,96:96)-SUMIF(95:95,C30,96:96)+100</f>
        <v>100</v>
      </c>
      <c r="I30" s="2991"/>
      <c r="J30" s="434">
        <f>SUMIF(95:95,I30,96:96)-SUMIF(95:95,C30,96:96)+100</f>
        <v>100</v>
      </c>
      <c r="K30" s="612"/>
      <c r="L30" s="1136"/>
      <c r="M30" s="1127"/>
      <c r="N30" s="1127"/>
      <c r="O30" s="1127"/>
      <c r="P30" s="3282"/>
      <c r="Q30" s="1806">
        <f t="shared" si="11"/>
        <v>111</v>
      </c>
      <c r="R30" s="772" t="s">
        <v>17</v>
      </c>
      <c r="S30" s="773">
        <f t="shared" si="12"/>
        <v>100</v>
      </c>
      <c r="T30" s="772" t="s">
        <v>17</v>
      </c>
      <c r="U30" s="773">
        <f t="shared" si="13"/>
        <v>100</v>
      </c>
      <c r="V30" s="772" t="s">
        <v>17</v>
      </c>
      <c r="W30" s="773">
        <f t="shared" si="14"/>
        <v>100</v>
      </c>
      <c r="X30" s="1809"/>
      <c r="Y30" s="3284"/>
      <c r="Z30" s="1810">
        <f t="shared" si="15"/>
        <v>111</v>
      </c>
      <c r="AA30" s="1807">
        <f t="shared" si="3"/>
        <v>1</v>
      </c>
      <c r="AB30" s="1807">
        <f t="shared" si="4"/>
        <v>1</v>
      </c>
      <c r="AC30" s="2665">
        <f t="shared" si="5"/>
        <v>1</v>
      </c>
    </row>
    <row r="31" spans="1:29" ht="15">
      <c r="A31" s="427"/>
      <c r="B31" s="2667">
        <v>111</v>
      </c>
      <c r="C31" s="2985"/>
      <c r="D31" s="434">
        <v>100</v>
      </c>
      <c r="E31" s="2976"/>
      <c r="F31" s="434">
        <f>SUMIF(97:97,E31,98:98)-SUMIF(97:97,C31,98:98)+100</f>
        <v>100</v>
      </c>
      <c r="G31" s="2976"/>
      <c r="H31" s="434">
        <f>SUMIF(97:97,G31,98:98)-SUMIF(97:97,C31,98:98)+100</f>
        <v>100</v>
      </c>
      <c r="I31" s="2991"/>
      <c r="J31" s="434">
        <f>SUMIF(97:97,I31,98:98)-SUMIF(97:97,C31,98:98)+100</f>
        <v>100</v>
      </c>
      <c r="K31" s="612"/>
      <c r="L31" s="1136"/>
      <c r="M31" s="1127"/>
      <c r="N31" s="1127"/>
      <c r="O31" s="1127"/>
      <c r="P31" s="3282"/>
      <c r="Q31" s="1806">
        <f t="shared" si="11"/>
        <v>111</v>
      </c>
      <c r="R31" s="772" t="s">
        <v>17</v>
      </c>
      <c r="S31" s="773">
        <f t="shared" si="12"/>
        <v>100</v>
      </c>
      <c r="T31" s="772" t="s">
        <v>17</v>
      </c>
      <c r="U31" s="773">
        <f t="shared" si="13"/>
        <v>100</v>
      </c>
      <c r="V31" s="772" t="s">
        <v>17</v>
      </c>
      <c r="W31" s="773">
        <f t="shared" si="14"/>
        <v>100</v>
      </c>
      <c r="X31" s="1809"/>
      <c r="Y31" s="3284"/>
      <c r="Z31" s="1810">
        <f t="shared" si="15"/>
        <v>111</v>
      </c>
      <c r="AA31" s="1807">
        <f t="shared" si="3"/>
        <v>1</v>
      </c>
      <c r="AB31" s="1807">
        <f t="shared" si="4"/>
        <v>1</v>
      </c>
      <c r="AC31" s="2665">
        <f t="shared" si="5"/>
        <v>1</v>
      </c>
    </row>
    <row r="32" spans="1:29" ht="15.75" thickBot="1">
      <c r="A32" s="435"/>
      <c r="B32" s="634">
        <v>111</v>
      </c>
      <c r="C32" s="2993"/>
      <c r="D32" s="437">
        <v>100</v>
      </c>
      <c r="E32" s="2976"/>
      <c r="F32" s="437">
        <f>SUMIF(99:99,E32,100:100)-SUMIF(99:99,C32,100:100)+100</f>
        <v>100</v>
      </c>
      <c r="G32" s="2976"/>
      <c r="H32" s="437">
        <f>SUMIF(99:99,G32,100:100)-SUMIF(99:99,C32,100:100)+100</f>
        <v>100</v>
      </c>
      <c r="I32" s="2991"/>
      <c r="J32" s="437">
        <f>SUMIF(99:99,I32,100:100)-SUMIF(99:99,C32,100:100)+100</f>
        <v>100</v>
      </c>
      <c r="K32" s="612"/>
      <c r="L32" s="1136"/>
      <c r="M32" s="1127"/>
      <c r="N32" s="1127"/>
      <c r="O32" s="1127"/>
      <c r="P32" s="3282"/>
      <c r="Q32" s="1806">
        <f t="shared" si="11"/>
        <v>111</v>
      </c>
      <c r="R32" s="772" t="s">
        <v>17</v>
      </c>
      <c r="S32" s="773">
        <f t="shared" si="12"/>
        <v>100</v>
      </c>
      <c r="T32" s="772" t="s">
        <v>17</v>
      </c>
      <c r="U32" s="773">
        <f t="shared" si="13"/>
        <v>100</v>
      </c>
      <c r="V32" s="772" t="s">
        <v>17</v>
      </c>
      <c r="W32" s="773">
        <f t="shared" si="14"/>
        <v>100</v>
      </c>
      <c r="X32" s="1809"/>
      <c r="Y32" s="3284"/>
      <c r="Z32" s="1810">
        <f t="shared" si="15"/>
        <v>111</v>
      </c>
      <c r="AA32" s="1807">
        <f t="shared" si="3"/>
        <v>1</v>
      </c>
      <c r="AB32" s="1807">
        <f t="shared" si="4"/>
        <v>1</v>
      </c>
      <c r="AC32" s="2665">
        <f t="shared" si="5"/>
        <v>1</v>
      </c>
    </row>
    <row r="33" spans="1:29" ht="15">
      <c r="A33" s="439" t="s">
        <v>2556</v>
      </c>
      <c r="B33" s="70" t="s">
        <v>2686</v>
      </c>
      <c r="C33" s="2989" t="s">
        <v>3105</v>
      </c>
      <c r="D33" s="466">
        <v>100</v>
      </c>
      <c r="E33" s="2989" t="s">
        <v>3105</v>
      </c>
      <c r="F33" s="460">
        <f>SUMIF(101:101,E33,102:102)-SUMIF(101:101,C33,102:102)+100</f>
        <v>100</v>
      </c>
      <c r="G33" s="2989" t="s">
        <v>3105</v>
      </c>
      <c r="H33" s="434">
        <f>SUMIF(101:101,G33,102:102)-SUMIF(101:101,C33,102:102)+100</f>
        <v>100</v>
      </c>
      <c r="I33" s="2989" t="s">
        <v>3105</v>
      </c>
      <c r="J33" s="466">
        <f>SUMIF(101:101,I33,102:102)-SUMIF(101:101,C33,102:102)+100</f>
        <v>100</v>
      </c>
      <c r="K33" s="611">
        <v>5</v>
      </c>
      <c r="L33" s="1136"/>
      <c r="M33" s="1127"/>
      <c r="N33" s="1127"/>
      <c r="O33" s="1127"/>
      <c r="P33" s="3285" t="s">
        <v>2558</v>
      </c>
      <c r="Q33" s="1806" t="str">
        <f t="shared" si="11"/>
        <v>建筑类型</v>
      </c>
      <c r="R33" s="772" t="s">
        <v>17</v>
      </c>
      <c r="S33" s="773">
        <f t="shared" si="12"/>
        <v>100</v>
      </c>
      <c r="T33" s="772" t="s">
        <v>17</v>
      </c>
      <c r="U33" s="773">
        <f t="shared" si="13"/>
        <v>100</v>
      </c>
      <c r="V33" s="772" t="s">
        <v>17</v>
      </c>
      <c r="W33" s="773">
        <f t="shared" si="14"/>
        <v>100</v>
      </c>
      <c r="X33" s="1809"/>
      <c r="Y33" s="3288" t="s">
        <v>2558</v>
      </c>
      <c r="Z33" s="1810" t="str">
        <f t="shared" si="15"/>
        <v>建筑类型</v>
      </c>
      <c r="AA33" s="1807">
        <f t="shared" si="3"/>
        <v>1</v>
      </c>
      <c r="AB33" s="1807">
        <f t="shared" si="4"/>
        <v>1</v>
      </c>
      <c r="AC33" s="2665">
        <f t="shared" si="5"/>
        <v>1</v>
      </c>
    </row>
    <row r="34" spans="1:29" s="470" customFormat="1" ht="15">
      <c r="A34" s="467"/>
      <c r="B34" s="421" t="s">
        <v>2559</v>
      </c>
      <c r="C34" s="468">
        <f>'[1]数据-基础表'!I20</f>
        <v>2786.78</v>
      </c>
      <c r="D34" s="135">
        <v>100</v>
      </c>
      <c r="E34" s="428">
        <v>3800</v>
      </c>
      <c r="F34" s="424">
        <f>LOOKUP(E34,104:104,105:105)-LOOKUP(C34,104:104,105:105)+100</f>
        <v>98</v>
      </c>
      <c r="G34" s="428">
        <v>3200</v>
      </c>
      <c r="H34" s="135">
        <f>LOOKUP(G34,104:104,105:105)-LOOKUP(C34,104:104,105:105)+100</f>
        <v>98</v>
      </c>
      <c r="I34" s="428">
        <v>3228.6</v>
      </c>
      <c r="J34" s="135">
        <f>LOOKUP(I34,104:104,105:105)-LOOKUP(C34,104:104,105:105)+100</f>
        <v>98</v>
      </c>
      <c r="K34" s="612"/>
      <c r="L34" s="1134"/>
      <c r="M34" s="1137"/>
      <c r="N34" s="1137"/>
      <c r="O34" s="1137"/>
      <c r="P34" s="3286"/>
      <c r="Q34" s="774" t="str">
        <f t="shared" si="11"/>
        <v>项目建筑规模</v>
      </c>
      <c r="R34" s="775" t="s">
        <v>17</v>
      </c>
      <c r="S34" s="776">
        <f t="shared" si="12"/>
        <v>98</v>
      </c>
      <c r="T34" s="775" t="s">
        <v>17</v>
      </c>
      <c r="U34" s="776">
        <f t="shared" si="13"/>
        <v>98</v>
      </c>
      <c r="V34" s="775" t="s">
        <v>17</v>
      </c>
      <c r="W34" s="776">
        <f t="shared" si="14"/>
        <v>98</v>
      </c>
      <c r="X34" s="777"/>
      <c r="Y34" s="3288"/>
      <c r="Z34" s="778" t="str">
        <f t="shared" si="15"/>
        <v>项目建筑规模</v>
      </c>
      <c r="AA34" s="1807">
        <f t="shared" si="3"/>
        <v>1.0204081632653061</v>
      </c>
      <c r="AB34" s="1807">
        <f t="shared" si="4"/>
        <v>1.0204081632653061</v>
      </c>
      <c r="AC34" s="2665">
        <f t="shared" si="5"/>
        <v>1.0204081632653061</v>
      </c>
    </row>
    <row r="35" spans="1:29" ht="15">
      <c r="A35" s="471"/>
      <c r="B35" s="421" t="s">
        <v>2560</v>
      </c>
      <c r="C35" s="2990" t="s">
        <v>3089</v>
      </c>
      <c r="D35" s="434">
        <v>100</v>
      </c>
      <c r="E35" s="2990" t="s">
        <v>3089</v>
      </c>
      <c r="F35" s="460">
        <f>SUMIF(106:106,E35,107:107)-SUMIF(106:106,C35,107:107)+100</f>
        <v>100</v>
      </c>
      <c r="G35" s="2990" t="s">
        <v>3089</v>
      </c>
      <c r="H35" s="434">
        <f>SUMIF(106:106,G35,107:107)-SUMIF(106:106,C35,107:107)+100</f>
        <v>100</v>
      </c>
      <c r="I35" s="2990" t="s">
        <v>3089</v>
      </c>
      <c r="J35" s="434">
        <f>SUMIF(106:106,I35,107:107)-SUMIF(106:106,C35,107:107)+100</f>
        <v>100</v>
      </c>
      <c r="K35" s="611">
        <v>2</v>
      </c>
      <c r="L35" s="1136"/>
      <c r="M35" s="1127"/>
      <c r="N35" s="1127"/>
      <c r="O35" s="1127"/>
      <c r="P35" s="3286"/>
      <c r="Q35" s="1806" t="str">
        <f t="shared" si="11"/>
        <v>建筑结构</v>
      </c>
      <c r="R35" s="772" t="s">
        <v>17</v>
      </c>
      <c r="S35" s="773">
        <f t="shared" si="12"/>
        <v>100</v>
      </c>
      <c r="T35" s="772" t="s">
        <v>17</v>
      </c>
      <c r="U35" s="773">
        <f t="shared" si="13"/>
        <v>100</v>
      </c>
      <c r="V35" s="772" t="s">
        <v>17</v>
      </c>
      <c r="W35" s="773">
        <f t="shared" si="14"/>
        <v>100</v>
      </c>
      <c r="X35" s="1809"/>
      <c r="Y35" s="3288"/>
      <c r="Z35" s="1810" t="str">
        <f t="shared" si="15"/>
        <v>建筑结构</v>
      </c>
      <c r="AA35" s="1807">
        <f t="shared" si="3"/>
        <v>1</v>
      </c>
      <c r="AB35" s="1807">
        <f t="shared" si="4"/>
        <v>1</v>
      </c>
      <c r="AC35" s="2665">
        <f t="shared" si="5"/>
        <v>1</v>
      </c>
    </row>
    <row r="36" spans="1:29" ht="15">
      <c r="A36" s="471"/>
      <c r="B36" s="421" t="s">
        <v>2654</v>
      </c>
      <c r="C36" s="2990" t="s">
        <v>3106</v>
      </c>
      <c r="D36" s="434">
        <v>100</v>
      </c>
      <c r="E36" s="2990" t="s">
        <v>3106</v>
      </c>
      <c r="F36" s="460">
        <f>SUMIF(108:108,E36,109:109)-SUMIF(108:108,C36,109:109)+100</f>
        <v>100</v>
      </c>
      <c r="G36" s="2990" t="s">
        <v>3106</v>
      </c>
      <c r="H36" s="434">
        <f>SUMIF(108:108,G36,109:109)-SUMIF(108:108,C36,109:109)+100</f>
        <v>100</v>
      </c>
      <c r="I36" s="2990" t="s">
        <v>3106</v>
      </c>
      <c r="J36" s="434">
        <f>SUMIF(108:108,I36,109:109)-SUMIF(108:108,C36,109:109)+100</f>
        <v>100</v>
      </c>
      <c r="K36" s="611">
        <v>1</v>
      </c>
      <c r="L36" s="1136"/>
      <c r="M36" s="1127"/>
      <c r="N36" s="1127"/>
      <c r="O36" s="1127"/>
      <c r="P36" s="3286"/>
      <c r="Q36" s="1806" t="str">
        <f t="shared" si="11"/>
        <v>公共部分装修</v>
      </c>
      <c r="R36" s="772" t="s">
        <v>17</v>
      </c>
      <c r="S36" s="773">
        <f t="shared" si="12"/>
        <v>100</v>
      </c>
      <c r="T36" s="772" t="s">
        <v>17</v>
      </c>
      <c r="U36" s="773">
        <f t="shared" si="13"/>
        <v>100</v>
      </c>
      <c r="V36" s="772" t="s">
        <v>17</v>
      </c>
      <c r="W36" s="773">
        <f t="shared" si="14"/>
        <v>100</v>
      </c>
      <c r="X36" s="1809"/>
      <c r="Y36" s="3288"/>
      <c r="Z36" s="1810" t="str">
        <f t="shared" si="15"/>
        <v>公共部分装修</v>
      </c>
      <c r="AA36" s="1807">
        <f t="shared" si="3"/>
        <v>1</v>
      </c>
      <c r="AB36" s="1807">
        <f t="shared" si="4"/>
        <v>1</v>
      </c>
      <c r="AC36" s="2665">
        <f t="shared" si="5"/>
        <v>1</v>
      </c>
    </row>
    <row r="37" spans="1:29" ht="15">
      <c r="A37" s="471"/>
      <c r="B37" s="421" t="s">
        <v>2655</v>
      </c>
      <c r="C37" s="473">
        <f>'数据-取费表'!N6</f>
        <v>0.86499999999999999</v>
      </c>
      <c r="D37" s="434">
        <v>100</v>
      </c>
      <c r="E37" s="799">
        <v>0.63</v>
      </c>
      <c r="F37" s="460">
        <f>LOOKUP(E37,111:111,112:112)-LOOKUP(C37,111:111,112:112)+100</f>
        <v>96</v>
      </c>
      <c r="G37" s="799">
        <f>ROUND(1-(1-0%)*(2017-2007)/60,2)</f>
        <v>0.83</v>
      </c>
      <c r="H37" s="460">
        <f>LOOKUP(G37,111:111,112:112)-LOOKUP(C37,111:111,112:112)+100</f>
        <v>100</v>
      </c>
      <c r="I37" s="799">
        <f>ROUND(1-(1-0%)*(2017-2012)/60,2)</f>
        <v>0.92</v>
      </c>
      <c r="J37" s="434">
        <f>LOOKUP(I37,111:111,112:112)-LOOKUP(C37,111:111,112:112)+100</f>
        <v>102</v>
      </c>
      <c r="K37" s="611">
        <v>2</v>
      </c>
      <c r="L37" s="1136"/>
      <c r="M37" s="1127"/>
      <c r="N37" s="1127"/>
      <c r="O37" s="1127"/>
      <c r="P37" s="3286"/>
      <c r="Q37" s="1806" t="str">
        <f t="shared" si="11"/>
        <v>成新度</v>
      </c>
      <c r="R37" s="772" t="s">
        <v>17</v>
      </c>
      <c r="S37" s="773">
        <f t="shared" si="12"/>
        <v>96</v>
      </c>
      <c r="T37" s="772" t="s">
        <v>17</v>
      </c>
      <c r="U37" s="773">
        <f t="shared" si="13"/>
        <v>100</v>
      </c>
      <c r="V37" s="772" t="s">
        <v>17</v>
      </c>
      <c r="W37" s="773">
        <f t="shared" si="14"/>
        <v>102</v>
      </c>
      <c r="X37" s="1809"/>
      <c r="Y37" s="3288"/>
      <c r="Z37" s="1810" t="str">
        <f t="shared" si="15"/>
        <v>成新度</v>
      </c>
      <c r="AA37" s="1807">
        <f t="shared" si="3"/>
        <v>1.0416666666666667</v>
      </c>
      <c r="AB37" s="1807">
        <f t="shared" si="4"/>
        <v>1</v>
      </c>
      <c r="AC37" s="2665">
        <f t="shared" si="5"/>
        <v>0.98039215686274506</v>
      </c>
    </row>
    <row r="38" spans="1:29" s="116" customFormat="1" ht="15">
      <c r="A38" s="472"/>
      <c r="B38" s="421" t="s">
        <v>2687</v>
      </c>
      <c r="C38" s="2990" t="s">
        <v>3107</v>
      </c>
      <c r="D38" s="135">
        <v>100</v>
      </c>
      <c r="E38" s="2990" t="s">
        <v>3107</v>
      </c>
      <c r="F38" s="460">
        <f>SUMIF(113:113,E38,114:114)-SUMIF(113:113,C38,114:114)+100</f>
        <v>100</v>
      </c>
      <c r="G38" s="2990" t="s">
        <v>3107</v>
      </c>
      <c r="H38" s="434">
        <f>SUMIF(113:113,G38,114:114)-SUMIF(113:113,C38,114:114)+100</f>
        <v>100</v>
      </c>
      <c r="I38" s="2990" t="s">
        <v>3107</v>
      </c>
      <c r="J38" s="434">
        <f>SUMIF(113:113,I38,114:114)-SUMIF(113:113,C38,114:114)+100</f>
        <v>100</v>
      </c>
      <c r="K38" s="611">
        <v>4</v>
      </c>
      <c r="L38" s="1128"/>
      <c r="M38" s="1129"/>
      <c r="N38" s="1129"/>
      <c r="O38" s="1129"/>
      <c r="P38" s="3286"/>
      <c r="Q38" s="1791" t="str">
        <f t="shared" si="11"/>
        <v>写字楼等级</v>
      </c>
      <c r="R38" s="768" t="s">
        <v>17</v>
      </c>
      <c r="S38" s="769">
        <f t="shared" si="12"/>
        <v>100</v>
      </c>
      <c r="T38" s="768" t="s">
        <v>17</v>
      </c>
      <c r="U38" s="769">
        <f t="shared" si="13"/>
        <v>100</v>
      </c>
      <c r="V38" s="768" t="s">
        <v>17</v>
      </c>
      <c r="W38" s="769">
        <f t="shared" si="14"/>
        <v>100</v>
      </c>
      <c r="X38" s="770"/>
      <c r="Y38" s="3288"/>
      <c r="Z38" s="55" t="str">
        <f t="shared" si="15"/>
        <v>写字楼等级</v>
      </c>
      <c r="AA38" s="771">
        <f t="shared" si="3"/>
        <v>1</v>
      </c>
      <c r="AB38" s="771">
        <f t="shared" si="4"/>
        <v>1</v>
      </c>
      <c r="AC38" s="2663">
        <f t="shared" si="5"/>
        <v>1</v>
      </c>
    </row>
    <row r="39" spans="1:29" ht="15">
      <c r="A39" s="471"/>
      <c r="B39" s="421" t="s">
        <v>2688</v>
      </c>
      <c r="C39" s="2990" t="s">
        <v>3108</v>
      </c>
      <c r="D39" s="434">
        <v>100</v>
      </c>
      <c r="E39" s="2990" t="s">
        <v>3108</v>
      </c>
      <c r="F39" s="460">
        <f>SUMIF(115:115,E39,116:116)-SUMIF(115:115,C39,116:116)+100</f>
        <v>100</v>
      </c>
      <c r="G39" s="2990" t="s">
        <v>3108</v>
      </c>
      <c r="H39" s="434">
        <f>SUMIF(115:115,G39,116:116)-SUMIF(115:115,C39,116:116)+100</f>
        <v>100</v>
      </c>
      <c r="I39" s="2990" t="s">
        <v>3108</v>
      </c>
      <c r="J39" s="434">
        <f>SUMIF(115:115,I39,116:116)-SUMIF(115:115,C39,116:116)+100</f>
        <v>100</v>
      </c>
      <c r="K39" s="611">
        <v>3</v>
      </c>
      <c r="L39" s="1136"/>
      <c r="M39" s="1127"/>
      <c r="N39" s="1127"/>
      <c r="O39" s="1127"/>
      <c r="P39" s="3286" t="s">
        <v>2558</v>
      </c>
      <c r="Q39" s="1806" t="str">
        <f t="shared" si="11"/>
        <v>物业管理</v>
      </c>
      <c r="R39" s="772" t="s">
        <v>17</v>
      </c>
      <c r="S39" s="773">
        <f t="shared" si="12"/>
        <v>100</v>
      </c>
      <c r="T39" s="772" t="s">
        <v>17</v>
      </c>
      <c r="U39" s="773">
        <f t="shared" si="13"/>
        <v>100</v>
      </c>
      <c r="V39" s="772" t="s">
        <v>17</v>
      </c>
      <c r="W39" s="773">
        <f t="shared" si="14"/>
        <v>100</v>
      </c>
      <c r="X39" s="1809"/>
      <c r="Y39" s="3288" t="s">
        <v>2558</v>
      </c>
      <c r="Z39" s="1810" t="str">
        <f t="shared" si="15"/>
        <v>物业管理</v>
      </c>
      <c r="AA39" s="1807">
        <f t="shared" si="3"/>
        <v>1</v>
      </c>
      <c r="AB39" s="1807">
        <f t="shared" si="4"/>
        <v>1</v>
      </c>
      <c r="AC39" s="2665">
        <f t="shared" si="5"/>
        <v>1</v>
      </c>
    </row>
    <row r="40" spans="1:29" ht="15">
      <c r="A40" s="471"/>
      <c r="B40" s="421" t="s">
        <v>2656</v>
      </c>
      <c r="C40" s="2990" t="s">
        <v>3109</v>
      </c>
      <c r="D40" s="434">
        <v>100</v>
      </c>
      <c r="E40" s="2990" t="s">
        <v>3109</v>
      </c>
      <c r="F40" s="460">
        <f>SUMIF(117:117,E40,118:118)-SUMIF(117:117,C40,118:118)+100</f>
        <v>100</v>
      </c>
      <c r="G40" s="2990" t="s">
        <v>3109</v>
      </c>
      <c r="H40" s="434">
        <f>SUMIF(117:117,G40,118:118)-SUMIF(117:117,C40,118:118)+100</f>
        <v>100</v>
      </c>
      <c r="I40" s="2990" t="s">
        <v>3109</v>
      </c>
      <c r="J40" s="434">
        <f>SUMIF(117:117,I40,118:118)-SUMIF(117:117,C40,118:118)+100</f>
        <v>100</v>
      </c>
      <c r="K40" s="611">
        <v>1</v>
      </c>
      <c r="L40" s="1136"/>
      <c r="M40" s="1127"/>
      <c r="N40" s="1127"/>
      <c r="O40" s="1127"/>
      <c r="P40" s="3286"/>
      <c r="Q40" s="1806" t="str">
        <f t="shared" si="11"/>
        <v>市政基础设施</v>
      </c>
      <c r="R40" s="772" t="s">
        <v>17</v>
      </c>
      <c r="S40" s="773">
        <f t="shared" si="12"/>
        <v>100</v>
      </c>
      <c r="T40" s="772" t="s">
        <v>17</v>
      </c>
      <c r="U40" s="773">
        <f t="shared" si="13"/>
        <v>100</v>
      </c>
      <c r="V40" s="772" t="s">
        <v>17</v>
      </c>
      <c r="W40" s="773">
        <f t="shared" si="14"/>
        <v>100</v>
      </c>
      <c r="X40" s="1809"/>
      <c r="Y40" s="3288"/>
      <c r="Z40" s="1810" t="str">
        <f t="shared" si="15"/>
        <v>市政基础设施</v>
      </c>
      <c r="AA40" s="1807">
        <f t="shared" si="3"/>
        <v>1</v>
      </c>
      <c r="AB40" s="1807">
        <f t="shared" si="4"/>
        <v>1</v>
      </c>
      <c r="AC40" s="2665">
        <f t="shared" si="5"/>
        <v>1</v>
      </c>
    </row>
    <row r="41" spans="1:29" ht="15">
      <c r="A41" s="471"/>
      <c r="B41" s="421" t="s">
        <v>2658</v>
      </c>
      <c r="C41" s="2986" t="s">
        <v>3110</v>
      </c>
      <c r="D41" s="434">
        <v>100</v>
      </c>
      <c r="E41" s="2986" t="s">
        <v>3110</v>
      </c>
      <c r="F41" s="460">
        <f>SUMIF(119:119,E41,120:120)-SUMIF(119:119,C41,120:120)+100</f>
        <v>100</v>
      </c>
      <c r="G41" s="2986" t="s">
        <v>3110</v>
      </c>
      <c r="H41" s="434">
        <f>SUMIF(119:119,G41,120:120)-SUMIF(119:119,C41,120:120)+100</f>
        <v>100</v>
      </c>
      <c r="I41" s="2986" t="s">
        <v>3110</v>
      </c>
      <c r="J41" s="434">
        <f>SUMIF(119:119,I41,120:120)-SUMIF(119:119,C41,120:120)+100</f>
        <v>100</v>
      </c>
      <c r="K41" s="611">
        <v>2</v>
      </c>
      <c r="L41" s="1136"/>
      <c r="M41" s="1127"/>
      <c r="N41" s="1127"/>
      <c r="O41" s="1127"/>
      <c r="P41" s="3286"/>
      <c r="Q41" s="1806" t="str">
        <f t="shared" si="11"/>
        <v>层高</v>
      </c>
      <c r="R41" s="772" t="s">
        <v>17</v>
      </c>
      <c r="S41" s="773">
        <f t="shared" si="12"/>
        <v>100</v>
      </c>
      <c r="T41" s="772" t="s">
        <v>17</v>
      </c>
      <c r="U41" s="773">
        <f t="shared" si="13"/>
        <v>100</v>
      </c>
      <c r="V41" s="772" t="s">
        <v>17</v>
      </c>
      <c r="W41" s="773">
        <f t="shared" si="14"/>
        <v>100</v>
      </c>
      <c r="X41" s="1809"/>
      <c r="Y41" s="3288"/>
      <c r="Z41" s="1810" t="str">
        <f t="shared" si="15"/>
        <v>层高</v>
      </c>
      <c r="AA41" s="1807">
        <f t="shared" si="3"/>
        <v>1</v>
      </c>
      <c r="AB41" s="1807">
        <f t="shared" si="4"/>
        <v>1</v>
      </c>
      <c r="AC41" s="2665">
        <f t="shared" si="5"/>
        <v>1</v>
      </c>
    </row>
    <row r="42" spans="1:29" s="470" customFormat="1" ht="15">
      <c r="A42" s="467"/>
      <c r="B42" s="1808"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286"/>
      <c r="Q42" s="774" t="str">
        <f t="shared" si="11"/>
        <v>单套建筑面积</v>
      </c>
      <c r="R42" s="775" t="s">
        <v>17</v>
      </c>
      <c r="S42" s="776">
        <f t="shared" si="12"/>
        <v>100</v>
      </c>
      <c r="T42" s="775" t="s">
        <v>17</v>
      </c>
      <c r="U42" s="776">
        <f t="shared" si="13"/>
        <v>100</v>
      </c>
      <c r="V42" s="775" t="s">
        <v>17</v>
      </c>
      <c r="W42" s="776">
        <f t="shared" si="14"/>
        <v>100</v>
      </c>
      <c r="X42" s="777"/>
      <c r="Y42" s="3288"/>
      <c r="Z42" s="778" t="str">
        <f t="shared" si="15"/>
        <v>单套建筑面积</v>
      </c>
      <c r="AA42" s="1807">
        <f t="shared" si="3"/>
        <v>1</v>
      </c>
      <c r="AB42" s="1807">
        <f t="shared" si="4"/>
        <v>1</v>
      </c>
      <c r="AC42" s="2665">
        <f t="shared" si="5"/>
        <v>1</v>
      </c>
    </row>
    <row r="43" spans="1:29" ht="15">
      <c r="A43" s="471"/>
      <c r="B43" s="421" t="s">
        <v>2661</v>
      </c>
      <c r="C43" s="2990" t="s">
        <v>3106</v>
      </c>
      <c r="D43" s="434">
        <v>100</v>
      </c>
      <c r="E43" s="2990" t="s">
        <v>3106</v>
      </c>
      <c r="F43" s="460">
        <f>SUMIF(123:123,E43,124:124)-SUMIF(123:123,C43,124:124)+100</f>
        <v>100</v>
      </c>
      <c r="G43" s="2990" t="s">
        <v>3106</v>
      </c>
      <c r="H43" s="434">
        <f>SUMIF(123:123,G43,124:124)-SUMIF(123:123,C43,124:124)+100</f>
        <v>100</v>
      </c>
      <c r="I43" s="2990" t="s">
        <v>3106</v>
      </c>
      <c r="J43" s="434">
        <f>SUMIF(123:123,I43,124:124)-SUMIF(123:123,C43,124:124)+100</f>
        <v>100</v>
      </c>
      <c r="K43" s="611">
        <v>3</v>
      </c>
      <c r="L43" s="1136"/>
      <c r="M43" s="1127"/>
      <c r="N43" s="1127"/>
      <c r="O43" s="1127"/>
      <c r="P43" s="3286"/>
      <c r="Q43" s="1806" t="str">
        <f t="shared" si="11"/>
        <v>内部装修</v>
      </c>
      <c r="R43" s="772" t="s">
        <v>17</v>
      </c>
      <c r="S43" s="773">
        <f t="shared" si="12"/>
        <v>100</v>
      </c>
      <c r="T43" s="772" t="s">
        <v>17</v>
      </c>
      <c r="U43" s="773">
        <f t="shared" si="13"/>
        <v>100</v>
      </c>
      <c r="V43" s="772" t="s">
        <v>17</v>
      </c>
      <c r="W43" s="773">
        <f t="shared" si="14"/>
        <v>100</v>
      </c>
      <c r="X43" s="1809"/>
      <c r="Y43" s="3288"/>
      <c r="Z43" s="1810" t="str">
        <f t="shared" si="15"/>
        <v>内部装修</v>
      </c>
      <c r="AA43" s="1807">
        <f t="shared" si="3"/>
        <v>1</v>
      </c>
      <c r="AB43" s="1807">
        <f t="shared" si="4"/>
        <v>1</v>
      </c>
      <c r="AC43" s="2665">
        <f t="shared" si="5"/>
        <v>1</v>
      </c>
    </row>
    <row r="44" spans="1:29" ht="15">
      <c r="A44" s="471"/>
      <c r="B44" s="421" t="s">
        <v>2569</v>
      </c>
      <c r="C44" s="2990" t="s">
        <v>3100</v>
      </c>
      <c r="D44" s="434">
        <v>100</v>
      </c>
      <c r="E44" s="2990" t="s">
        <v>3100</v>
      </c>
      <c r="F44" s="460">
        <f>SUMIF(125:125,E44,126:126)-SUMIF(125:125,C44,126:126)+100</f>
        <v>100</v>
      </c>
      <c r="G44" s="2990" t="s">
        <v>3100</v>
      </c>
      <c r="H44" s="434">
        <f>SUMIF(125:125,G44,126:126)-SUMIF(125:125,C44,126:126)+100</f>
        <v>100</v>
      </c>
      <c r="I44" s="2990" t="s">
        <v>3100</v>
      </c>
      <c r="J44" s="434">
        <f>SUMIF(125:125,I44,126:126)-SUMIF(125:125,C44,126:126)+100</f>
        <v>100</v>
      </c>
      <c r="K44" s="611">
        <v>2</v>
      </c>
      <c r="L44" s="1136"/>
      <c r="M44" s="1127"/>
      <c r="N44" s="1127"/>
      <c r="O44" s="1127"/>
      <c r="P44" s="3286"/>
      <c r="Q44" s="1806" t="str">
        <f t="shared" si="11"/>
        <v>内部装修维护情况</v>
      </c>
      <c r="R44" s="772" t="s">
        <v>17</v>
      </c>
      <c r="S44" s="773">
        <f t="shared" si="12"/>
        <v>100</v>
      </c>
      <c r="T44" s="772" t="s">
        <v>17</v>
      </c>
      <c r="U44" s="773">
        <f t="shared" si="13"/>
        <v>100</v>
      </c>
      <c r="V44" s="772" t="s">
        <v>17</v>
      </c>
      <c r="W44" s="773">
        <f t="shared" si="14"/>
        <v>100</v>
      </c>
      <c r="X44" s="1809"/>
      <c r="Y44" s="3288"/>
      <c r="Z44" s="1810" t="str">
        <f t="shared" si="15"/>
        <v>内部装修维护情况</v>
      </c>
      <c r="AA44" s="1807">
        <f t="shared" si="3"/>
        <v>1</v>
      </c>
      <c r="AB44" s="1807">
        <f t="shared" si="4"/>
        <v>1</v>
      </c>
      <c r="AC44" s="2665">
        <f t="shared" si="5"/>
        <v>1</v>
      </c>
    </row>
    <row r="45" spans="1:29" s="116" customFormat="1" ht="15">
      <c r="A45" s="472"/>
      <c r="B45" s="1382">
        <v>111</v>
      </c>
      <c r="C45" s="468"/>
      <c r="D45" s="135">
        <v>100</v>
      </c>
      <c r="E45" s="2991"/>
      <c r="F45" s="424">
        <f>SUMIF(127:127,E45,128:128)-SUMIF(127:127,C45,128:128)+100</f>
        <v>100</v>
      </c>
      <c r="G45" s="2991"/>
      <c r="H45" s="135">
        <f>SUMIF(127:127,G45,128:128)-SUMIF(127:127,C45,128:128)+100</f>
        <v>100</v>
      </c>
      <c r="I45" s="2991"/>
      <c r="J45" s="135">
        <f>SUMIF(127:127,I45,128:128)-SUMIF(127:127,C45,128:128)+100</f>
        <v>100</v>
      </c>
      <c r="K45" s="612"/>
      <c r="L45" s="1128"/>
      <c r="M45" s="1129"/>
      <c r="N45" s="1129"/>
      <c r="O45" s="1129"/>
      <c r="P45" s="3286"/>
      <c r="Q45" s="1791">
        <f t="shared" si="11"/>
        <v>111</v>
      </c>
      <c r="R45" s="768" t="s">
        <v>17</v>
      </c>
      <c r="S45" s="769">
        <f t="shared" si="12"/>
        <v>100</v>
      </c>
      <c r="T45" s="768" t="s">
        <v>17</v>
      </c>
      <c r="U45" s="769">
        <f t="shared" si="13"/>
        <v>100</v>
      </c>
      <c r="V45" s="768" t="s">
        <v>17</v>
      </c>
      <c r="W45" s="769">
        <f t="shared" si="14"/>
        <v>100</v>
      </c>
      <c r="X45" s="770"/>
      <c r="Y45" s="3288"/>
      <c r="Z45" s="55">
        <f t="shared" si="15"/>
        <v>111</v>
      </c>
      <c r="AA45" s="771">
        <f t="shared" si="3"/>
        <v>1</v>
      </c>
      <c r="AB45" s="771">
        <f t="shared" si="4"/>
        <v>1</v>
      </c>
      <c r="AC45" s="2663">
        <f t="shared" si="5"/>
        <v>1</v>
      </c>
    </row>
    <row r="46" spans="1:29" ht="15">
      <c r="A46" s="471"/>
      <c r="B46" s="1382">
        <v>111</v>
      </c>
      <c r="C46" s="433"/>
      <c r="D46" s="434">
        <v>100</v>
      </c>
      <c r="E46" s="2991"/>
      <c r="F46" s="460">
        <f>SUMIF(129:129,E46,130:130)-SUMIF(129:129,C46,130:130)+100</f>
        <v>100</v>
      </c>
      <c r="G46" s="2991"/>
      <c r="H46" s="434">
        <f>SUMIF(129:129,G46,130:130)-SUMIF(129:129,C46,130:130)+100</f>
        <v>100</v>
      </c>
      <c r="I46" s="2991"/>
      <c r="J46" s="434">
        <f>SUMIF(129:129,I46,130:130)-SUMIF(129:129,C46,130:130)+100</f>
        <v>100</v>
      </c>
      <c r="K46" s="612"/>
      <c r="L46" s="1136"/>
      <c r="M46" s="1127"/>
      <c r="N46" s="1127"/>
      <c r="O46" s="1127"/>
      <c r="P46" s="3286"/>
      <c r="Q46" s="1806">
        <f t="shared" si="11"/>
        <v>111</v>
      </c>
      <c r="R46" s="772" t="s">
        <v>17</v>
      </c>
      <c r="S46" s="773">
        <f t="shared" si="12"/>
        <v>100</v>
      </c>
      <c r="T46" s="772" t="s">
        <v>17</v>
      </c>
      <c r="U46" s="773">
        <f t="shared" si="13"/>
        <v>100</v>
      </c>
      <c r="V46" s="772" t="s">
        <v>17</v>
      </c>
      <c r="W46" s="773">
        <f t="shared" si="14"/>
        <v>100</v>
      </c>
      <c r="X46" s="1809"/>
      <c r="Y46" s="3288"/>
      <c r="Z46" s="1810">
        <f t="shared" si="15"/>
        <v>111</v>
      </c>
      <c r="AA46" s="1807">
        <f t="shared" si="3"/>
        <v>1</v>
      </c>
      <c r="AB46" s="1807">
        <f t="shared" si="4"/>
        <v>1</v>
      </c>
      <c r="AC46" s="2665">
        <f t="shared" si="5"/>
        <v>1</v>
      </c>
    </row>
    <row r="47" spans="1:29" ht="15.75" thickBot="1">
      <c r="A47" s="477"/>
      <c r="B47" s="2594">
        <v>111</v>
      </c>
      <c r="C47" s="436"/>
      <c r="D47" s="437">
        <v>100</v>
      </c>
      <c r="E47" s="2991"/>
      <c r="F47" s="438">
        <f>SUMIF(131:131,E47,132:132)-SUMIF(131:131,C47,132:132)+100</f>
        <v>100</v>
      </c>
      <c r="G47" s="2991"/>
      <c r="H47" s="437">
        <f>SUMIF(131:131,G47,132:132)-SUMIF(131:131,C47,132:132)+100</f>
        <v>100</v>
      </c>
      <c r="I47" s="2991"/>
      <c r="J47" s="437">
        <f>SUMIF(131:131,I47,132:132)-SUMIF(131:131,C47,132:132)+100</f>
        <v>100</v>
      </c>
      <c r="K47" s="612"/>
      <c r="L47" s="1136"/>
      <c r="M47" s="1127"/>
      <c r="N47" s="1127"/>
      <c r="O47" s="1127"/>
      <c r="P47" s="3287"/>
      <c r="Q47" s="1806">
        <f t="shared" si="11"/>
        <v>111</v>
      </c>
      <c r="R47" s="772" t="s">
        <v>17</v>
      </c>
      <c r="S47" s="773">
        <f t="shared" si="12"/>
        <v>100</v>
      </c>
      <c r="T47" s="772" t="s">
        <v>17</v>
      </c>
      <c r="U47" s="773">
        <f t="shared" si="13"/>
        <v>100</v>
      </c>
      <c r="V47" s="772" t="s">
        <v>17</v>
      </c>
      <c r="W47" s="773">
        <f t="shared" si="14"/>
        <v>100</v>
      </c>
      <c r="X47" s="1809"/>
      <c r="Y47" s="3289"/>
      <c r="Z47" s="1810">
        <f t="shared" si="15"/>
        <v>111</v>
      </c>
      <c r="AA47" s="1807">
        <f t="shared" si="3"/>
        <v>1</v>
      </c>
      <c r="AB47" s="1807">
        <f t="shared" si="4"/>
        <v>1</v>
      </c>
      <c r="AC47" s="2665">
        <f t="shared" si="5"/>
        <v>1</v>
      </c>
    </row>
    <row r="48" spans="1:29" ht="15">
      <c r="A48" s="478" t="s">
        <v>2570</v>
      </c>
      <c r="B48" s="479"/>
      <c r="C48" s="1403" t="s">
        <v>1</v>
      </c>
      <c r="D48" s="1404"/>
      <c r="E48" s="1407">
        <f>ROUND(60000*M62,0)</f>
        <v>58784</v>
      </c>
      <c r="F48" s="1406"/>
      <c r="G48" s="1407">
        <f>ROUND(60000*M62,0)</f>
        <v>58784</v>
      </c>
      <c r="H48" s="1408"/>
      <c r="I48" s="1407">
        <f>ROUND(65044*M62,0)</f>
        <v>63726</v>
      </c>
      <c r="J48" s="484"/>
      <c r="K48" s="781"/>
      <c r="L48" s="1139"/>
      <c r="M48" s="1127"/>
      <c r="N48" s="1127"/>
      <c r="O48" s="1127"/>
      <c r="P48" s="3261" t="str">
        <f>A48</f>
        <v>成交单价（元/平方米）</v>
      </c>
      <c r="Q48" s="3290"/>
      <c r="R48" s="3291">
        <f>E48</f>
        <v>58784</v>
      </c>
      <c r="S48" s="3291"/>
      <c r="T48" s="3291">
        <f>G48</f>
        <v>58784</v>
      </c>
      <c r="U48" s="3291"/>
      <c r="V48" s="3291">
        <f>I48</f>
        <v>63726</v>
      </c>
      <c r="W48" s="3291"/>
      <c r="X48" s="445"/>
      <c r="Y48" s="779"/>
      <c r="Z48" s="445"/>
      <c r="AA48" s="445"/>
      <c r="AB48" s="445"/>
      <c r="AC48" s="629"/>
    </row>
    <row r="49" spans="1:29" ht="15.75" thickBot="1">
      <c r="A49" s="485" t="s">
        <v>2662</v>
      </c>
      <c r="B49" s="486"/>
      <c r="C49" s="1409">
        <f>R50</f>
        <v>59133</v>
      </c>
      <c r="D49" s="1410"/>
      <c r="E49" s="1411">
        <f>R49</f>
        <v>59531</v>
      </c>
      <c r="F49" s="1411"/>
      <c r="G49" s="1409">
        <f>T49</f>
        <v>57127</v>
      </c>
      <c r="H49" s="1410"/>
      <c r="I49" s="1411">
        <f>V49</f>
        <v>60740</v>
      </c>
      <c r="J49" s="488"/>
      <c r="K49" s="782"/>
      <c r="L49" s="1139"/>
      <c r="M49" s="1127"/>
      <c r="N49" s="1127"/>
      <c r="O49" s="1127"/>
      <c r="P49" s="3261" t="str">
        <f>A49</f>
        <v>比较价值（元/平方米）</v>
      </c>
      <c r="Q49" s="3290"/>
      <c r="R49" s="3291">
        <f>IF(F1="售价",ROUND(PRODUCT(R48,AA7:AA47),0),ROUND(PRODUCT(R48,AA7:AA47),1))</f>
        <v>59531</v>
      </c>
      <c r="S49" s="3291"/>
      <c r="T49" s="3291">
        <f>IF(F1="售价",ROUND(PRODUCT(T48,AB7:AB47),0),ROUND(PRODUCT(T48,AB7:AB47),1))</f>
        <v>57127</v>
      </c>
      <c r="U49" s="3291"/>
      <c r="V49" s="3291">
        <f>IF(F1="售价",ROUND(PRODUCT(V48,AC7:AC47),0),ROUND(PRODUCT(V48,AC7:AC47),1))</f>
        <v>60740</v>
      </c>
      <c r="W49" s="3291"/>
      <c r="X49" s="445"/>
      <c r="Y49" s="445"/>
      <c r="Z49" s="445"/>
      <c r="AA49" s="445"/>
      <c r="AB49" s="445"/>
      <c r="AC49" s="629"/>
    </row>
    <row r="50" spans="1:29" ht="15.75" thickBot="1">
      <c r="A50" s="491" t="s">
        <v>2663</v>
      </c>
      <c r="B50" s="492"/>
      <c r="C50" s="1413">
        <f>R50</f>
        <v>59133</v>
      </c>
      <c r="D50" s="1413"/>
      <c r="E50" s="1413"/>
      <c r="F50" s="1413"/>
      <c r="G50" s="1413"/>
      <c r="H50" s="1413"/>
      <c r="I50" s="1413"/>
      <c r="J50" s="493"/>
      <c r="K50" s="783"/>
      <c r="L50" s="1139"/>
      <c r="M50" s="1127"/>
      <c r="N50" s="1127"/>
      <c r="O50" s="1127"/>
      <c r="P50" s="3292" t="str">
        <f>A50</f>
        <v>估价对象XX用房的比较价值（楼面单价，元/平方米）</v>
      </c>
      <c r="Q50" s="3293"/>
      <c r="R50" s="3294">
        <f>IF(F1="售价",ROUND(AVERAGE(R49:V49),0),ROUND(AVERAGE(R49:V49),1))</f>
        <v>59133</v>
      </c>
      <c r="S50" s="3294"/>
      <c r="T50" s="3294"/>
      <c r="U50" s="3294"/>
      <c r="V50" s="3294"/>
      <c r="W50" s="3294"/>
      <c r="X50" s="2646"/>
      <c r="Y50" s="2646"/>
      <c r="Z50" s="2646"/>
      <c r="AA50" s="2646"/>
      <c r="AB50" s="2646"/>
      <c r="AC50" s="2647"/>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2664</v>
      </c>
      <c r="D53" s="497"/>
      <c r="E53" s="498">
        <f>IF(E48&lt;E49,E49/E48-1,E48/E49-1)</f>
        <v>1.2707539466521478E-2</v>
      </c>
      <c r="F53" s="499" t="str">
        <f>IF(OR(E53&gt;=0.3,E53&lt;=-0.3),"超过30%","")</f>
        <v/>
      </c>
      <c r="G53" s="498">
        <f>IF(G48&lt;G49,G49/G48-1,G48/G49-1)</f>
        <v>2.9005549039858636E-2</v>
      </c>
      <c r="H53" s="499" t="str">
        <f>IF(OR(G53&gt;=0.3,G53&lt;=-0.3),"超过30%","")</f>
        <v/>
      </c>
      <c r="I53" s="498">
        <f>IF(I48&lt;I49,I49/I48-1,I48/I49-1)</f>
        <v>4.9160355614092932E-2</v>
      </c>
      <c r="J53" s="499" t="str">
        <f>IF(OR(I53&gt;=0.3,I53&lt;=-0.3),"超过30%","")</f>
        <v/>
      </c>
      <c r="K53" s="1101"/>
      <c r="L53" s="1102"/>
      <c r="M53" s="1140"/>
      <c r="N53" s="1140"/>
      <c r="O53" s="1140"/>
    </row>
    <row r="54" spans="1:29" ht="13.5" customHeight="1">
      <c r="A54" s="1140"/>
      <c r="B54" s="1140"/>
      <c r="C54" s="496" t="s">
        <v>2665</v>
      </c>
      <c r="D54" s="500"/>
      <c r="E54" s="498">
        <f>IF(E49&lt;G49,G49/E49-1,E49/G49-1)</f>
        <v>4.2081677665552153E-2</v>
      </c>
      <c r="F54" s="499" t="str">
        <f>IF(OR(E54&gt;=0.2,E54&lt;=-0.2),"超过20%","")</f>
        <v/>
      </c>
      <c r="G54" s="498">
        <f>IF(G49&lt;I49,I49/G49-1,G49/I49-1)</f>
        <v>6.3245050501514077E-2</v>
      </c>
      <c r="H54" s="499" t="str">
        <f>IF(OR(G54&gt;=0.2,G54&lt;=-0.2),"超过20%","")</f>
        <v/>
      </c>
      <c r="I54" s="498">
        <f>IF(I49&lt;E49,E49/I49-1,I49/E49-1)</f>
        <v>2.0308746703398217E-2</v>
      </c>
      <c r="J54" s="499" t="str">
        <f>IF(OR(I54&gt;=0.2,I54&lt;=-0.2),"超过20%","")</f>
        <v/>
      </c>
      <c r="K54" s="1101"/>
      <c r="L54" s="1102"/>
      <c r="M54" s="1140"/>
      <c r="N54" s="1140"/>
      <c r="O54" s="1140"/>
    </row>
    <row r="55" spans="1:29" s="501" customFormat="1" ht="13.5" customHeight="1">
      <c r="A55" s="1141"/>
      <c r="B55" s="1141"/>
      <c r="C55" s="496" t="s">
        <v>2666</v>
      </c>
      <c r="D55" s="500"/>
      <c r="E55" s="498">
        <f>IF(E48&lt;G48,G48/E48-1,E48/G48-1)</f>
        <v>0</v>
      </c>
      <c r="F55" s="499" t="str">
        <f>IF(OR(E55&gt;=0.3,E55&lt;=-0.3),"超过30%","")</f>
        <v/>
      </c>
      <c r="G55" s="498">
        <f>IF(G48&lt;I48,I48/G48-1,G48/I48-1)</f>
        <v>8.4070495372890575E-2</v>
      </c>
      <c r="H55" s="499" t="str">
        <f>IF(OR(G55&gt;=0.3,G55&lt;=-0.3),"超过30%","")</f>
        <v/>
      </c>
      <c r="I55" s="498">
        <f>IF(I48&lt;E48,E48/I48-1,I48/E48-1)</f>
        <v>8.4070495372890575E-2</v>
      </c>
      <c r="J55" s="499" t="str">
        <f>IF(OR(I55&gt;=0.3,I55&lt;=-0.3),"超过30%","")</f>
        <v/>
      </c>
      <c r="K55" s="1144"/>
      <c r="L55" s="1145"/>
      <c r="M55" s="1141"/>
      <c r="N55" s="1141"/>
      <c r="O55" s="1141"/>
      <c r="P55" s="2669"/>
    </row>
    <row r="56" spans="1:29" s="501" customFormat="1">
      <c r="A56" s="1141"/>
      <c r="B56" s="1142"/>
      <c r="C56" s="1146"/>
      <c r="D56" s="1141"/>
      <c r="E56" s="1141"/>
      <c r="F56" s="1141"/>
      <c r="G56" s="1141"/>
      <c r="H56" s="1141"/>
      <c r="I56" s="1141"/>
      <c r="J56" s="1141"/>
      <c r="K56" s="1144"/>
      <c r="L56" s="1145"/>
      <c r="M56" s="1141"/>
      <c r="N56" s="1141"/>
      <c r="O56" s="1141"/>
      <c r="P56" s="2669"/>
    </row>
    <row r="57" spans="1:29">
      <c r="A57" s="1140"/>
      <c r="B57" s="1142"/>
      <c r="C57" s="1146"/>
      <c r="D57" s="1140"/>
      <c r="E57" s="1140"/>
      <c r="F57" s="1140"/>
      <c r="G57" s="1140"/>
      <c r="H57" s="1140"/>
      <c r="I57" s="1140"/>
      <c r="J57" s="1140"/>
      <c r="K57" s="1101"/>
      <c r="L57" s="1102"/>
      <c r="M57" s="1140"/>
      <c r="N57" s="1140"/>
      <c r="O57" s="1140"/>
    </row>
    <row r="58" spans="1:29" ht="21.75" thickBot="1">
      <c r="A58" s="761" t="s">
        <v>2667</v>
      </c>
      <c r="B58" s="757"/>
      <c r="C58" s="762"/>
      <c r="D58" s="762"/>
      <c r="E58" s="762"/>
      <c r="F58" s="763"/>
      <c r="G58" s="763"/>
      <c r="H58" s="762"/>
      <c r="I58" s="762"/>
      <c r="J58" s="762"/>
      <c r="K58" s="764"/>
      <c r="L58" s="1157"/>
      <c r="M58" s="1155"/>
      <c r="N58" s="1155"/>
      <c r="O58" s="1155"/>
      <c r="P58" s="2670"/>
      <c r="Q58" s="503"/>
    </row>
    <row r="59" spans="1:29" s="507" customFormat="1" ht="15">
      <c r="A59" s="504" t="s">
        <v>2541</v>
      </c>
      <c r="B59" s="505"/>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6" customFormat="1" ht="15">
      <c r="A60" s="508"/>
      <c r="B60" s="509"/>
      <c r="C60" s="1569">
        <v>100</v>
      </c>
      <c r="D60" s="511">
        <v>100</v>
      </c>
      <c r="E60" s="511">
        <v>100</v>
      </c>
      <c r="F60" s="511">
        <v>98.5</v>
      </c>
      <c r="G60" s="511">
        <v>98.5</v>
      </c>
      <c r="H60" s="511">
        <v>98.5</v>
      </c>
      <c r="I60" s="511">
        <v>97</v>
      </c>
      <c r="J60" s="511">
        <v>97</v>
      </c>
      <c r="K60" s="511">
        <v>97</v>
      </c>
      <c r="L60" s="511">
        <v>95.5</v>
      </c>
      <c r="M60" s="512">
        <v>95</v>
      </c>
      <c r="N60" s="511">
        <v>94.5</v>
      </c>
      <c r="O60" s="512">
        <v>94</v>
      </c>
      <c r="P60" s="2671"/>
    </row>
    <row r="61" spans="1:29" s="116" customFormat="1" ht="15.75" thickBot="1">
      <c r="A61" s="514" t="s">
        <v>2578</v>
      </c>
      <c r="B61" s="515"/>
      <c r="C61" s="516"/>
      <c r="D61" s="517"/>
      <c r="E61" s="517"/>
      <c r="F61" s="517"/>
      <c r="G61" s="517"/>
      <c r="H61" s="517"/>
      <c r="I61" s="517"/>
      <c r="J61" s="517"/>
      <c r="K61" s="517"/>
      <c r="L61" s="517"/>
      <c r="M61" s="518"/>
      <c r="N61" s="517"/>
      <c r="O61" s="518"/>
      <c r="P61" s="2671"/>
      <c r="Q61" s="503"/>
    </row>
    <row r="62" spans="1:29" s="116" customFormat="1" ht="15">
      <c r="A62" s="520" t="s">
        <v>2543</v>
      </c>
      <c r="B62" s="509"/>
      <c r="C62" s="521" t="s">
        <v>2645</v>
      </c>
      <c r="D62" s="522"/>
      <c r="E62" s="522"/>
      <c r="F62" s="522"/>
      <c r="G62" s="522"/>
      <c r="H62" s="522"/>
      <c r="I62" s="522"/>
      <c r="J62" s="522"/>
      <c r="K62" s="522"/>
      <c r="L62" s="523"/>
      <c r="M62" s="524">
        <v>0.97972999999999999</v>
      </c>
      <c r="N62" s="1147"/>
      <c r="O62" s="1147"/>
      <c r="P62" s="2672"/>
      <c r="Q62" s="503"/>
    </row>
    <row r="63" spans="1:29" s="116" customFormat="1" ht="15.75" thickBot="1">
      <c r="A63" s="520"/>
      <c r="B63" s="509"/>
      <c r="C63" s="510">
        <v>100</v>
      </c>
      <c r="D63" s="511"/>
      <c r="E63" s="511"/>
      <c r="F63" s="511"/>
      <c r="G63" s="511"/>
      <c r="H63" s="511"/>
      <c r="I63" s="511"/>
      <c r="J63" s="511"/>
      <c r="K63" s="511"/>
      <c r="L63" s="511"/>
      <c r="M63" s="513">
        <f ca="1">结果汇总!N4</f>
        <v>0</v>
      </c>
      <c r="N63" s="1147"/>
      <c r="O63" s="1147"/>
      <c r="P63" s="2671"/>
      <c r="Q63" s="503"/>
    </row>
    <row r="64" spans="1:29">
      <c r="A64" s="526" t="s">
        <v>2581</v>
      </c>
      <c r="B64" s="527" t="s">
        <v>2547</v>
      </c>
      <c r="C64" s="528" t="str">
        <f>C9</f>
        <v>办公</v>
      </c>
      <c r="D64" s="529"/>
      <c r="E64" s="529"/>
      <c r="F64" s="529"/>
      <c r="G64" s="529"/>
      <c r="H64" s="529"/>
      <c r="I64" s="529"/>
      <c r="J64" s="529"/>
      <c r="K64" s="530"/>
      <c r="L64" s="531"/>
      <c r="M64" s="532"/>
      <c r="N64" s="1148"/>
      <c r="O64" s="1148"/>
      <c r="P64" s="2673"/>
      <c r="Q64" s="503"/>
    </row>
    <row r="65" spans="1:17" ht="15.75" thickBot="1">
      <c r="A65" s="533"/>
      <c r="B65" s="534"/>
      <c r="C65" s="535">
        <v>100</v>
      </c>
      <c r="D65" s="535"/>
      <c r="E65" s="535"/>
      <c r="F65" s="535"/>
      <c r="G65" s="535"/>
      <c r="H65" s="535"/>
      <c r="I65" s="535"/>
      <c r="J65" s="535"/>
      <c r="K65" s="535"/>
      <c r="L65" s="535"/>
      <c r="M65" s="536"/>
      <c r="N65" s="1149"/>
      <c r="O65" s="1149"/>
      <c r="P65" s="2673"/>
      <c r="Q65" s="503"/>
    </row>
    <row r="66" spans="1:17" ht="27.75" thickTop="1">
      <c r="A66" s="533"/>
      <c r="B66" s="537" t="s">
        <v>2550</v>
      </c>
      <c r="C66" s="538" t="s">
        <v>2582</v>
      </c>
      <c r="D66" s="538" t="s">
        <v>2583</v>
      </c>
      <c r="E66" s="538" t="s">
        <v>2584</v>
      </c>
      <c r="F66" s="538" t="s">
        <v>2585</v>
      </c>
      <c r="G66" s="538" t="s">
        <v>2586</v>
      </c>
      <c r="H66" s="538" t="s">
        <v>2587</v>
      </c>
      <c r="I66" s="538" t="s">
        <v>2588</v>
      </c>
      <c r="J66" s="538"/>
      <c r="K66" s="539"/>
      <c r="L66" s="540"/>
      <c r="M66" s="541"/>
      <c r="N66" s="1148"/>
      <c r="O66" s="1148"/>
      <c r="P66" s="2673"/>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9"/>
      <c r="O67" s="1149"/>
      <c r="P67" s="2673"/>
      <c r="Q67" s="503"/>
    </row>
    <row r="68" spans="1:17" ht="15.75" thickTop="1">
      <c r="A68" s="533"/>
      <c r="B68" s="545" t="s">
        <v>2551</v>
      </c>
      <c r="C68" s="546" t="str">
        <f>C69&amp;"（含）"&amp;"-"&amp;D69</f>
        <v>1（含）-2</v>
      </c>
      <c r="D68" s="546" t="str">
        <f t="shared" ref="D68:L68" si="17">D69&amp;"（含）"&amp;"-"&amp;E69</f>
        <v>2（含）-3</v>
      </c>
      <c r="E68" s="546" t="str">
        <f t="shared" si="17"/>
        <v>3（含）-4</v>
      </c>
      <c r="F68" s="546" t="str">
        <f t="shared" si="17"/>
        <v>4（含）-5</v>
      </c>
      <c r="G68" s="546" t="str">
        <f t="shared" si="17"/>
        <v>5（含）-6</v>
      </c>
      <c r="H68" s="546" t="str">
        <f t="shared" si="17"/>
        <v>6（含）-</v>
      </c>
      <c r="I68" s="546" t="str">
        <f t="shared" si="17"/>
        <v>（含）-</v>
      </c>
      <c r="J68" s="546" t="str">
        <f t="shared" si="17"/>
        <v>（含）-</v>
      </c>
      <c r="K68" s="546" t="str">
        <f t="shared" si="17"/>
        <v>（含）-</v>
      </c>
      <c r="L68" s="546" t="str">
        <f t="shared" si="17"/>
        <v>（含）-</v>
      </c>
      <c r="M68" s="447" t="str">
        <f>M69&amp;"（含）"&amp;"-"&amp;P69</f>
        <v>（含）-</v>
      </c>
      <c r="N68" s="1149"/>
      <c r="O68" s="1149"/>
      <c r="P68" s="2673"/>
      <c r="Q68" s="503"/>
    </row>
    <row r="69" spans="1:17" ht="15">
      <c r="A69" s="533"/>
      <c r="B69" s="547"/>
      <c r="C69" s="548">
        <v>1</v>
      </c>
      <c r="D69" s="548">
        <v>2</v>
      </c>
      <c r="E69" s="548">
        <v>3</v>
      </c>
      <c r="F69" s="548">
        <v>4</v>
      </c>
      <c r="G69" s="548">
        <v>5</v>
      </c>
      <c r="H69" s="548">
        <v>6</v>
      </c>
      <c r="I69" s="548"/>
      <c r="J69" s="548"/>
      <c r="K69" s="549"/>
      <c r="L69" s="550"/>
      <c r="M69" s="551"/>
      <c r="N69" s="1148"/>
      <c r="O69" s="1148"/>
      <c r="P69" s="2673"/>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3"/>
      <c r="Q70" s="503"/>
    </row>
    <row r="71" spans="1:17" s="470" customFormat="1" ht="15.75" thickTop="1">
      <c r="A71" s="552"/>
      <c r="B71" s="537">
        <f>B12</f>
        <v>111</v>
      </c>
      <c r="C71" s="553"/>
      <c r="D71" s="553"/>
      <c r="E71" s="553"/>
      <c r="F71" s="553"/>
      <c r="G71" s="553"/>
      <c r="H71" s="554"/>
      <c r="I71" s="554"/>
      <c r="J71" s="554"/>
      <c r="K71" s="554"/>
      <c r="L71" s="555"/>
      <c r="M71" s="556"/>
      <c r="N71" s="1150"/>
      <c r="O71" s="1150"/>
      <c r="P71" s="2674"/>
      <c r="Q71" s="558"/>
    </row>
    <row r="72" spans="1:17" s="470" customFormat="1" ht="15.75" thickBot="1">
      <c r="A72" s="552"/>
      <c r="B72" s="542"/>
      <c r="C72" s="559"/>
      <c r="D72" s="535"/>
      <c r="E72" s="535"/>
      <c r="F72" s="535"/>
      <c r="G72" s="535"/>
      <c r="H72" s="535"/>
      <c r="I72" s="535"/>
      <c r="J72" s="535"/>
      <c r="K72" s="535"/>
      <c r="L72" s="535"/>
      <c r="M72" s="536"/>
      <c r="N72" s="1149"/>
      <c r="O72" s="1149"/>
      <c r="P72" s="2674"/>
      <c r="Q72" s="558"/>
    </row>
    <row r="73" spans="1:17" s="470" customFormat="1" ht="15.75" thickTop="1">
      <c r="A73" s="552"/>
      <c r="B73" s="537">
        <f>B13</f>
        <v>111</v>
      </c>
      <c r="C73" s="553"/>
      <c r="D73" s="553"/>
      <c r="E73" s="553"/>
      <c r="F73" s="553"/>
      <c r="G73" s="553"/>
      <c r="H73" s="554"/>
      <c r="I73" s="554"/>
      <c r="J73" s="554"/>
      <c r="K73" s="554"/>
      <c r="L73" s="555"/>
      <c r="M73" s="556"/>
      <c r="N73" s="1150"/>
      <c r="O73" s="1150"/>
      <c r="P73" s="2675"/>
      <c r="Q73" s="560"/>
    </row>
    <row r="74" spans="1:17" s="470" customFormat="1" ht="15.75" thickBot="1">
      <c r="A74" s="552"/>
      <c r="B74" s="542"/>
      <c r="C74" s="559"/>
      <c r="D74" s="559"/>
      <c r="E74" s="559"/>
      <c r="F74" s="559"/>
      <c r="G74" s="559"/>
      <c r="H74" s="561"/>
      <c r="I74" s="561"/>
      <c r="J74" s="561"/>
      <c r="K74" s="561"/>
      <c r="L74" s="561"/>
      <c r="M74" s="562"/>
      <c r="N74" s="1150"/>
      <c r="O74" s="1150"/>
      <c r="P74" s="2674"/>
      <c r="Q74" s="558"/>
    </row>
    <row r="75" spans="1:17" s="470" customFormat="1" ht="15.75" thickTop="1">
      <c r="A75" s="552"/>
      <c r="B75" s="545">
        <f>B14</f>
        <v>111</v>
      </c>
      <c r="C75" s="522"/>
      <c r="D75" s="522"/>
      <c r="E75" s="522"/>
      <c r="F75" s="522"/>
      <c r="G75" s="522"/>
      <c r="H75" s="563"/>
      <c r="I75" s="563"/>
      <c r="J75" s="563"/>
      <c r="K75" s="563"/>
      <c r="L75" s="564"/>
      <c r="M75" s="565"/>
      <c r="N75" s="1150"/>
      <c r="O75" s="1150"/>
      <c r="P75" s="2676"/>
      <c r="Q75" s="558"/>
    </row>
    <row r="76" spans="1:17" s="470" customFormat="1" ht="15.75" thickBot="1">
      <c r="A76" s="567"/>
      <c r="B76" s="568"/>
      <c r="C76" s="569"/>
      <c r="D76" s="569"/>
      <c r="E76" s="569"/>
      <c r="F76" s="569"/>
      <c r="G76" s="569"/>
      <c r="H76" s="570"/>
      <c r="I76" s="570"/>
      <c r="J76" s="570"/>
      <c r="K76" s="570"/>
      <c r="L76" s="570"/>
      <c r="M76" s="571"/>
      <c r="N76" s="1150"/>
      <c r="O76" s="1150"/>
      <c r="P76" s="2674"/>
      <c r="Q76" s="558"/>
    </row>
    <row r="77" spans="1:17">
      <c r="A77" s="526" t="s">
        <v>2552</v>
      </c>
      <c r="B77" s="527" t="s">
        <v>2690</v>
      </c>
      <c r="C77" s="572" t="s">
        <v>2590</v>
      </c>
      <c r="D77" s="572" t="s">
        <v>2591</v>
      </c>
      <c r="E77" s="572" t="s">
        <v>2592</v>
      </c>
      <c r="F77" s="572" t="s">
        <v>2593</v>
      </c>
      <c r="G77" s="572" t="s">
        <v>2594</v>
      </c>
      <c r="H77" s="528"/>
      <c r="I77" s="528"/>
      <c r="J77" s="528"/>
      <c r="K77" s="573"/>
      <c r="L77" s="574"/>
      <c r="M77" s="575"/>
      <c r="N77" s="1148"/>
      <c r="O77" s="1148"/>
      <c r="P77" s="267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3"/>
      <c r="Q78" s="503"/>
    </row>
    <row r="79" spans="1:17" ht="15.75" thickTop="1">
      <c r="A79" s="533"/>
      <c r="B79" s="537" t="s">
        <v>2595</v>
      </c>
      <c r="C79" s="577" t="s">
        <v>2590</v>
      </c>
      <c r="D79" s="577" t="s">
        <v>2591</v>
      </c>
      <c r="E79" s="577" t="s">
        <v>2592</v>
      </c>
      <c r="F79" s="577" t="s">
        <v>2593</v>
      </c>
      <c r="G79" s="577" t="s">
        <v>2594</v>
      </c>
      <c r="H79" s="538"/>
      <c r="I79" s="538"/>
      <c r="J79" s="538"/>
      <c r="K79" s="539"/>
      <c r="L79" s="540"/>
      <c r="M79" s="541"/>
      <c r="N79" s="1148"/>
      <c r="O79" s="1148"/>
      <c r="P79" s="267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3"/>
      <c r="Q80" s="503"/>
    </row>
    <row r="81" spans="1:17" ht="15.75" thickTop="1">
      <c r="A81" s="533"/>
      <c r="B81" s="537" t="s">
        <v>2596</v>
      </c>
      <c r="C81" s="577" t="s">
        <v>2590</v>
      </c>
      <c r="D81" s="577" t="s">
        <v>2591</v>
      </c>
      <c r="E81" s="577" t="s">
        <v>2592</v>
      </c>
      <c r="F81" s="577" t="s">
        <v>2593</v>
      </c>
      <c r="G81" s="577" t="s">
        <v>2594</v>
      </c>
      <c r="H81" s="538"/>
      <c r="I81" s="538"/>
      <c r="J81" s="538"/>
      <c r="K81" s="539"/>
      <c r="L81" s="540"/>
      <c r="M81" s="541"/>
      <c r="N81" s="1148"/>
      <c r="O81" s="1148"/>
      <c r="P81" s="2673"/>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49"/>
      <c r="O82" s="1149"/>
      <c r="P82" s="2673"/>
      <c r="Q82" s="503"/>
    </row>
    <row r="83" spans="1:17" ht="15.75" thickTop="1">
      <c r="A83" s="533"/>
      <c r="B83" s="545" t="s">
        <v>2682</v>
      </c>
      <c r="C83" s="659" t="s">
        <v>2668</v>
      </c>
      <c r="D83" s="659" t="s">
        <v>2669</v>
      </c>
      <c r="E83" s="659" t="s">
        <v>2670</v>
      </c>
      <c r="F83" s="659" t="s">
        <v>2671</v>
      </c>
      <c r="G83" s="659" t="s">
        <v>2672</v>
      </c>
      <c r="H83" s="538"/>
      <c r="I83" s="538"/>
      <c r="J83" s="538"/>
      <c r="K83" s="538"/>
      <c r="L83" s="538"/>
      <c r="M83" s="1378"/>
      <c r="N83" s="1149"/>
      <c r="O83" s="1149"/>
      <c r="P83" s="2673"/>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3"/>
      <c r="Q84" s="503"/>
    </row>
    <row r="85" spans="1:17" ht="15.75" thickTop="1">
      <c r="A85" s="533"/>
      <c r="B85" s="537" t="s">
        <v>2691</v>
      </c>
      <c r="C85" s="577" t="s">
        <v>2590</v>
      </c>
      <c r="D85" s="577" t="s">
        <v>2591</v>
      </c>
      <c r="E85" s="577" t="s">
        <v>2592</v>
      </c>
      <c r="F85" s="577" t="s">
        <v>2593</v>
      </c>
      <c r="G85" s="577" t="s">
        <v>2594</v>
      </c>
      <c r="H85" s="538"/>
      <c r="I85" s="538"/>
      <c r="J85" s="538"/>
      <c r="K85" s="539"/>
      <c r="L85" s="540"/>
      <c r="M85" s="541"/>
      <c r="N85" s="1148"/>
      <c r="O85" s="1148"/>
      <c r="P85" s="267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9"/>
      <c r="O86" s="1149"/>
      <c r="P86" s="2673"/>
      <c r="Q86" s="503"/>
    </row>
    <row r="87" spans="1:17" s="116" customFormat="1" ht="27.75" thickTop="1">
      <c r="A87" s="578"/>
      <c r="B87" s="537" t="s">
        <v>2692</v>
      </c>
      <c r="C87" s="2995" t="s">
        <v>3131</v>
      </c>
      <c r="D87" s="2995" t="s">
        <v>3132</v>
      </c>
      <c r="E87" s="2995" t="s">
        <v>3133</v>
      </c>
      <c r="F87" s="2995" t="s">
        <v>3134</v>
      </c>
      <c r="G87" s="2995" t="s">
        <v>3135</v>
      </c>
      <c r="H87" s="553"/>
      <c r="I87" s="553"/>
      <c r="J87" s="553"/>
      <c r="K87" s="553"/>
      <c r="L87" s="579"/>
      <c r="M87" s="580"/>
      <c r="N87" s="1147"/>
      <c r="O87" s="1147"/>
      <c r="P87" s="2673"/>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3"/>
      <c r="Q88" s="503"/>
    </row>
    <row r="89" spans="1:17" s="116" customFormat="1" ht="15.75" thickTop="1">
      <c r="A89" s="578"/>
      <c r="B89" s="537" t="str">
        <f>B27</f>
        <v>楼层</v>
      </c>
      <c r="C89" s="2995" t="s">
        <v>3136</v>
      </c>
      <c r="D89" s="2995" t="s">
        <v>3137</v>
      </c>
      <c r="E89" s="2995" t="s">
        <v>3138</v>
      </c>
      <c r="F89" s="2627"/>
      <c r="G89" s="553"/>
      <c r="H89" s="553"/>
      <c r="I89" s="553"/>
      <c r="J89" s="553"/>
      <c r="K89" s="553"/>
      <c r="L89" s="553"/>
      <c r="M89" s="580"/>
      <c r="N89" s="1147"/>
      <c r="O89" s="1147"/>
      <c r="P89" s="2673"/>
      <c r="Q89" s="503"/>
    </row>
    <row r="90" spans="1:17" s="116" customFormat="1" ht="15.75" thickBot="1">
      <c r="A90" s="578"/>
      <c r="B90" s="542"/>
      <c r="C90" s="581">
        <v>100</v>
      </c>
      <c r="D90" s="543">
        <f>C90-$K27</f>
        <v>95</v>
      </c>
      <c r="E90" s="543">
        <f t="shared" ref="E90:M90" si="20">D90-$K27</f>
        <v>90</v>
      </c>
      <c r="F90" s="543">
        <f t="shared" si="20"/>
        <v>85</v>
      </c>
      <c r="G90" s="543">
        <f t="shared" si="20"/>
        <v>80</v>
      </c>
      <c r="H90" s="543">
        <f t="shared" si="20"/>
        <v>75</v>
      </c>
      <c r="I90" s="543">
        <f t="shared" si="20"/>
        <v>70</v>
      </c>
      <c r="J90" s="543">
        <f t="shared" si="20"/>
        <v>65</v>
      </c>
      <c r="K90" s="543">
        <f t="shared" si="20"/>
        <v>60</v>
      </c>
      <c r="L90" s="543">
        <f t="shared" si="20"/>
        <v>55</v>
      </c>
      <c r="M90" s="543">
        <f t="shared" si="20"/>
        <v>50</v>
      </c>
      <c r="N90" s="1149"/>
      <c r="O90" s="1149"/>
      <c r="P90" s="2673"/>
      <c r="Q90" s="503"/>
    </row>
    <row r="91" spans="1:17" s="470" customFormat="1" ht="15.75" thickTop="1">
      <c r="A91" s="552"/>
      <c r="B91" s="537" t="str">
        <f>B28</f>
        <v>朝向</v>
      </c>
      <c r="C91" s="2995" t="s">
        <v>3139</v>
      </c>
      <c r="D91" s="2995" t="s">
        <v>3140</v>
      </c>
      <c r="E91" s="2995" t="s">
        <v>3141</v>
      </c>
      <c r="F91" s="2995" t="s">
        <v>3142</v>
      </c>
      <c r="G91" s="553"/>
      <c r="H91" s="554"/>
      <c r="I91" s="554"/>
      <c r="J91" s="554"/>
      <c r="K91" s="554"/>
      <c r="L91" s="555"/>
      <c r="M91" s="556"/>
      <c r="N91" s="1150"/>
      <c r="O91" s="1150"/>
      <c r="P91" s="2674"/>
      <c r="Q91" s="558"/>
    </row>
    <row r="92" spans="1:17" s="470" customFormat="1" ht="15.75" thickBot="1">
      <c r="A92" s="552"/>
      <c r="B92" s="542"/>
      <c r="C92" s="581">
        <v>100</v>
      </c>
      <c r="D92" s="543">
        <f t="shared" ref="D92:M92" si="21">C92-$K28</f>
        <v>97</v>
      </c>
      <c r="E92" s="543">
        <f t="shared" si="21"/>
        <v>94</v>
      </c>
      <c r="F92" s="543">
        <f t="shared" si="21"/>
        <v>91</v>
      </c>
      <c r="G92" s="543">
        <f t="shared" si="21"/>
        <v>88</v>
      </c>
      <c r="H92" s="543">
        <f t="shared" si="21"/>
        <v>85</v>
      </c>
      <c r="I92" s="543">
        <f t="shared" si="21"/>
        <v>82</v>
      </c>
      <c r="J92" s="543">
        <f t="shared" si="21"/>
        <v>79</v>
      </c>
      <c r="K92" s="543">
        <f t="shared" si="21"/>
        <v>76</v>
      </c>
      <c r="L92" s="543">
        <f t="shared" si="21"/>
        <v>73</v>
      </c>
      <c r="M92" s="543">
        <f t="shared" si="21"/>
        <v>70</v>
      </c>
      <c r="N92" s="1150"/>
      <c r="O92" s="1150"/>
      <c r="P92" s="2674"/>
      <c r="Q92" s="558"/>
    </row>
    <row r="93" spans="1:17" ht="15.75" thickTop="1">
      <c r="A93" s="533"/>
      <c r="B93" s="537">
        <f>B29</f>
        <v>111</v>
      </c>
      <c r="C93" s="553"/>
      <c r="D93" s="553"/>
      <c r="E93" s="553"/>
      <c r="F93" s="553"/>
      <c r="G93" s="553"/>
      <c r="H93" s="553"/>
      <c r="I93" s="553"/>
      <c r="J93" s="553"/>
      <c r="K93" s="553"/>
      <c r="L93" s="579"/>
      <c r="M93" s="580"/>
      <c r="N93" s="1148"/>
      <c r="O93" s="1148"/>
      <c r="P93" s="2673"/>
      <c r="Q93" s="503"/>
    </row>
    <row r="94" spans="1:17" ht="15.75" thickBot="1">
      <c r="A94" s="533"/>
      <c r="B94" s="542"/>
      <c r="C94" s="559"/>
      <c r="D94" s="535"/>
      <c r="E94" s="535"/>
      <c r="F94" s="535"/>
      <c r="G94" s="535"/>
      <c r="H94" s="535"/>
      <c r="I94" s="535"/>
      <c r="J94" s="535"/>
      <c r="K94" s="535"/>
      <c r="L94" s="535"/>
      <c r="M94" s="536"/>
      <c r="N94" s="1149"/>
      <c r="O94" s="1149"/>
      <c r="P94" s="2673"/>
      <c r="Q94" s="503"/>
    </row>
    <row r="95" spans="1:17" ht="15.75" thickTop="1">
      <c r="A95" s="533"/>
      <c r="B95" s="537">
        <f>B30</f>
        <v>111</v>
      </c>
      <c r="C95" s="553"/>
      <c r="D95" s="553"/>
      <c r="E95" s="553"/>
      <c r="F95" s="553"/>
      <c r="G95" s="582"/>
      <c r="H95" s="582"/>
      <c r="I95" s="582"/>
      <c r="J95" s="582"/>
      <c r="K95" s="583"/>
      <c r="L95" s="584"/>
      <c r="M95" s="585"/>
      <c r="N95" s="1148"/>
      <c r="O95" s="1148"/>
      <c r="P95" s="2673"/>
      <c r="Q95" s="503"/>
    </row>
    <row r="96" spans="1:17" ht="15.75" thickBot="1">
      <c r="A96" s="533"/>
      <c r="B96" s="542"/>
      <c r="C96" s="559"/>
      <c r="D96" s="559"/>
      <c r="E96" s="559"/>
      <c r="F96" s="559"/>
      <c r="G96" s="535"/>
      <c r="H96" s="535"/>
      <c r="I96" s="535"/>
      <c r="J96" s="535"/>
      <c r="K96" s="535"/>
      <c r="L96" s="535"/>
      <c r="M96" s="536"/>
      <c r="N96" s="1149"/>
      <c r="O96" s="1149"/>
      <c r="P96" s="2673"/>
      <c r="Q96" s="503"/>
    </row>
    <row r="97" spans="1:17" ht="15.75" thickTop="1">
      <c r="A97" s="533"/>
      <c r="B97" s="537">
        <f>B31</f>
        <v>111</v>
      </c>
      <c r="C97" s="553"/>
      <c r="D97" s="553"/>
      <c r="E97" s="553"/>
      <c r="F97" s="553"/>
      <c r="G97" s="582"/>
      <c r="H97" s="582"/>
      <c r="I97" s="582"/>
      <c r="J97" s="582"/>
      <c r="K97" s="583"/>
      <c r="L97" s="584"/>
      <c r="M97" s="585"/>
      <c r="N97" s="1148"/>
      <c r="O97" s="1148"/>
      <c r="P97" s="2673"/>
      <c r="Q97" s="503"/>
    </row>
    <row r="98" spans="1:17" ht="15.75" thickBot="1">
      <c r="A98" s="533"/>
      <c r="B98" s="542"/>
      <c r="C98" s="559"/>
      <c r="D98" s="535"/>
      <c r="E98" s="535"/>
      <c r="F98" s="535"/>
      <c r="G98" s="535"/>
      <c r="H98" s="535"/>
      <c r="I98" s="535"/>
      <c r="J98" s="535"/>
      <c r="K98" s="535"/>
      <c r="L98" s="535"/>
      <c r="M98" s="536"/>
      <c r="N98" s="1149"/>
      <c r="O98" s="1149"/>
      <c r="P98" s="2673"/>
      <c r="Q98" s="503"/>
    </row>
    <row r="99" spans="1:17" ht="15.75" thickTop="1">
      <c r="A99" s="533"/>
      <c r="B99" s="545">
        <f>B32</f>
        <v>111</v>
      </c>
      <c r="C99" s="522"/>
      <c r="D99" s="522"/>
      <c r="E99" s="522"/>
      <c r="F99" s="522"/>
      <c r="G99" s="586"/>
      <c r="H99" s="586"/>
      <c r="I99" s="586"/>
      <c r="J99" s="586"/>
      <c r="K99" s="587"/>
      <c r="L99" s="588"/>
      <c r="M99" s="589"/>
      <c r="N99" s="1148"/>
      <c r="O99" s="1148"/>
      <c r="P99" s="2673"/>
      <c r="Q99" s="503"/>
    </row>
    <row r="100" spans="1:17" ht="15.75" thickBot="1">
      <c r="A100" s="2628"/>
      <c r="B100" s="568"/>
      <c r="C100" s="569"/>
      <c r="D100" s="569"/>
      <c r="E100" s="569"/>
      <c r="F100" s="569"/>
      <c r="G100" s="590"/>
      <c r="H100" s="590"/>
      <c r="I100" s="590"/>
      <c r="J100" s="590"/>
      <c r="K100" s="590"/>
      <c r="L100" s="590"/>
      <c r="M100" s="591"/>
      <c r="N100" s="1149"/>
      <c r="O100" s="1149"/>
      <c r="P100" s="2673"/>
      <c r="Q100" s="503"/>
    </row>
    <row r="101" spans="1:17">
      <c r="A101" s="526" t="s">
        <v>2556</v>
      </c>
      <c r="B101" s="527" t="s">
        <v>2605</v>
      </c>
      <c r="C101" s="2996" t="s">
        <v>3143</v>
      </c>
      <c r="D101" s="2996" t="s">
        <v>3144</v>
      </c>
      <c r="E101" s="2996" t="s">
        <v>3145</v>
      </c>
      <c r="F101" s="2996" t="s">
        <v>3146</v>
      </c>
      <c r="G101" s="2996" t="s">
        <v>3147</v>
      </c>
      <c r="H101" s="2996" t="s">
        <v>3148</v>
      </c>
      <c r="I101" s="529"/>
      <c r="J101" s="529"/>
      <c r="K101" s="530"/>
      <c r="L101" s="531"/>
      <c r="M101" s="532"/>
      <c r="N101" s="1148"/>
      <c r="O101" s="1148"/>
      <c r="P101" s="2673"/>
      <c r="Q101" s="503"/>
    </row>
    <row r="102" spans="1:17" ht="15.75" thickBot="1">
      <c r="A102" s="533"/>
      <c r="B102" s="542"/>
      <c r="C102" s="543">
        <v>100</v>
      </c>
      <c r="D102" s="543">
        <f t="shared" ref="D102:M102" si="22">C102-$K33</f>
        <v>95</v>
      </c>
      <c r="E102" s="543">
        <f t="shared" si="22"/>
        <v>90</v>
      </c>
      <c r="F102" s="543">
        <f t="shared" si="22"/>
        <v>85</v>
      </c>
      <c r="G102" s="543">
        <f t="shared" si="22"/>
        <v>80</v>
      </c>
      <c r="H102" s="543">
        <f t="shared" si="22"/>
        <v>75</v>
      </c>
      <c r="I102" s="543">
        <f t="shared" si="22"/>
        <v>70</v>
      </c>
      <c r="J102" s="543">
        <f t="shared" si="22"/>
        <v>65</v>
      </c>
      <c r="K102" s="543">
        <f t="shared" si="22"/>
        <v>60</v>
      </c>
      <c r="L102" s="543">
        <f t="shared" si="22"/>
        <v>55</v>
      </c>
      <c r="M102" s="544">
        <f t="shared" si="22"/>
        <v>50</v>
      </c>
      <c r="N102" s="1149"/>
      <c r="O102" s="1149"/>
      <c r="P102" s="2673"/>
      <c r="Q102" s="503"/>
    </row>
    <row r="103" spans="1:17" ht="29.25" thickTop="1">
      <c r="A103" s="533"/>
      <c r="B103" s="537" t="s">
        <v>2606</v>
      </c>
      <c r="C103" s="577" t="str">
        <f>C104&amp;"(含)"&amp;"-"&amp;D104</f>
        <v>1000(含)-2000</v>
      </c>
      <c r="D103" s="577" t="str">
        <f t="shared" ref="D103:L103" si="23">D104&amp;"(含)"&amp;"-"&amp;E104</f>
        <v>2000(含)-3000</v>
      </c>
      <c r="E103" s="577" t="str">
        <f t="shared" si="23"/>
        <v>3000(含)-4000</v>
      </c>
      <c r="F103" s="577" t="str">
        <f t="shared" si="23"/>
        <v>4000(含)-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73"/>
      <c r="Q103" s="503"/>
    </row>
    <row r="104" spans="1:17" s="470" customFormat="1">
      <c r="A104" s="592"/>
      <c r="B104" s="593"/>
      <c r="C104" s="594">
        <v>1000</v>
      </c>
      <c r="D104" s="594">
        <v>2000</v>
      </c>
      <c r="E104" s="594">
        <v>3000</v>
      </c>
      <c r="F104" s="594">
        <v>4000</v>
      </c>
      <c r="G104" s="594"/>
      <c r="H104" s="594"/>
      <c r="I104" s="594"/>
      <c r="J104" s="595"/>
      <c r="K104" s="595"/>
      <c r="L104" s="596"/>
      <c r="M104" s="597"/>
      <c r="N104" s="1150"/>
      <c r="O104" s="1150"/>
      <c r="P104" s="2674"/>
      <c r="Q104" s="558"/>
    </row>
    <row r="105" spans="1:17" s="470" customFormat="1" ht="15.75" thickBot="1">
      <c r="A105" s="552"/>
      <c r="B105" s="542"/>
      <c r="C105" s="559">
        <v>100</v>
      </c>
      <c r="D105" s="535">
        <v>98</v>
      </c>
      <c r="E105" s="535">
        <v>96</v>
      </c>
      <c r="F105" s="535">
        <v>94</v>
      </c>
      <c r="G105" s="535"/>
      <c r="H105" s="535"/>
      <c r="I105" s="535"/>
      <c r="J105" s="535"/>
      <c r="K105" s="535"/>
      <c r="L105" s="535"/>
      <c r="M105" s="536"/>
      <c r="N105" s="1149"/>
      <c r="O105" s="1149"/>
      <c r="P105" s="2674"/>
      <c r="Q105" s="558"/>
    </row>
    <row r="106" spans="1:17" ht="15" thickTop="1">
      <c r="A106" s="598"/>
      <c r="B106" s="537" t="s">
        <v>2607</v>
      </c>
      <c r="C106" s="2995" t="s">
        <v>3149</v>
      </c>
      <c r="D106" s="2995" t="s">
        <v>3150</v>
      </c>
      <c r="E106" s="2997" t="s">
        <v>3151</v>
      </c>
      <c r="F106" s="582"/>
      <c r="G106" s="582"/>
      <c r="H106" s="582"/>
      <c r="I106" s="582"/>
      <c r="J106" s="582"/>
      <c r="K106" s="583"/>
      <c r="L106" s="584"/>
      <c r="M106" s="585"/>
      <c r="N106" s="1148"/>
      <c r="O106" s="1148"/>
      <c r="P106" s="2673"/>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9"/>
      <c r="O107" s="1149"/>
      <c r="P107" s="2673"/>
      <c r="Q107" s="503"/>
    </row>
    <row r="108" spans="1:17" ht="15" thickTop="1">
      <c r="A108" s="598"/>
      <c r="B108" s="537" t="s">
        <v>2609</v>
      </c>
      <c r="C108" s="2995" t="s">
        <v>3152</v>
      </c>
      <c r="D108" s="2995" t="s">
        <v>3153</v>
      </c>
      <c r="E108" s="2995" t="s">
        <v>3154</v>
      </c>
      <c r="F108" s="2997" t="s">
        <v>3155</v>
      </c>
      <c r="G108" s="582"/>
      <c r="H108" s="582"/>
      <c r="I108" s="582"/>
      <c r="J108" s="582"/>
      <c r="K108" s="583"/>
      <c r="L108" s="584"/>
      <c r="M108" s="585"/>
      <c r="N108" s="1148"/>
      <c r="O108" s="1148"/>
      <c r="P108" s="2673"/>
      <c r="Q108" s="503"/>
    </row>
    <row r="109" spans="1:17" ht="15.75" thickBot="1">
      <c r="A109" s="533"/>
      <c r="B109" s="542"/>
      <c r="C109" s="543">
        <v>100</v>
      </c>
      <c r="D109" s="543">
        <f t="shared" ref="D109:M109" si="25">C109-$K36</f>
        <v>99</v>
      </c>
      <c r="E109" s="543">
        <f t="shared" si="25"/>
        <v>98</v>
      </c>
      <c r="F109" s="543">
        <f t="shared" si="25"/>
        <v>97</v>
      </c>
      <c r="G109" s="543">
        <f t="shared" si="25"/>
        <v>96</v>
      </c>
      <c r="H109" s="543">
        <f t="shared" si="25"/>
        <v>95</v>
      </c>
      <c r="I109" s="543">
        <f t="shared" si="25"/>
        <v>94</v>
      </c>
      <c r="J109" s="543">
        <f t="shared" si="25"/>
        <v>93</v>
      </c>
      <c r="K109" s="543">
        <f t="shared" si="25"/>
        <v>92</v>
      </c>
      <c r="L109" s="543">
        <f t="shared" si="25"/>
        <v>91</v>
      </c>
      <c r="M109" s="544">
        <f t="shared" si="25"/>
        <v>90</v>
      </c>
      <c r="N109" s="1149"/>
      <c r="O109" s="1149"/>
      <c r="P109" s="267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3"/>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3"/>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9"/>
      <c r="O112" s="1149"/>
      <c r="P112" s="2673"/>
      <c r="Q112" s="503"/>
    </row>
    <row r="113" spans="1:17" s="470" customFormat="1" ht="15" thickTop="1">
      <c r="A113" s="592"/>
      <c r="B113" s="537" t="s">
        <v>2693</v>
      </c>
      <c r="C113" s="2995" t="s">
        <v>3156</v>
      </c>
      <c r="D113" s="2995" t="s">
        <v>3157</v>
      </c>
      <c r="E113" s="2995" t="s">
        <v>3158</v>
      </c>
      <c r="F113" s="553"/>
      <c r="G113" s="553"/>
      <c r="H113" s="582"/>
      <c r="I113" s="582"/>
      <c r="J113" s="582"/>
      <c r="K113" s="583"/>
      <c r="L113" s="584"/>
      <c r="M113" s="585"/>
      <c r="N113" s="1150"/>
      <c r="O113" s="1150"/>
      <c r="P113" s="2674"/>
      <c r="Q113" s="558"/>
    </row>
    <row r="114" spans="1:17" s="470" customFormat="1" ht="15.75" thickBot="1">
      <c r="A114" s="552"/>
      <c r="B114" s="542"/>
      <c r="C114" s="543">
        <v>100</v>
      </c>
      <c r="D114" s="543">
        <f>C114-$K38</f>
        <v>96</v>
      </c>
      <c r="E114" s="543">
        <f t="shared" ref="E114:M114" si="27">D114-$K38</f>
        <v>92</v>
      </c>
      <c r="F114" s="543">
        <f t="shared" si="27"/>
        <v>88</v>
      </c>
      <c r="G114" s="543">
        <f t="shared" si="27"/>
        <v>84</v>
      </c>
      <c r="H114" s="543">
        <f t="shared" si="27"/>
        <v>80</v>
      </c>
      <c r="I114" s="543">
        <f t="shared" si="27"/>
        <v>76</v>
      </c>
      <c r="J114" s="543">
        <f t="shared" si="27"/>
        <v>72</v>
      </c>
      <c r="K114" s="543">
        <f t="shared" si="27"/>
        <v>68</v>
      </c>
      <c r="L114" s="543">
        <f t="shared" si="27"/>
        <v>64</v>
      </c>
      <c r="M114" s="543">
        <f t="shared" si="27"/>
        <v>60</v>
      </c>
      <c r="N114" s="1150"/>
      <c r="O114" s="1150"/>
      <c r="P114" s="2674"/>
      <c r="Q114" s="558"/>
    </row>
    <row r="115" spans="1:17" ht="15" thickTop="1">
      <c r="A115" s="598"/>
      <c r="B115" s="537" t="s">
        <v>2610</v>
      </c>
      <c r="C115" s="2995" t="s">
        <v>3159</v>
      </c>
      <c r="D115" s="2995" t="s">
        <v>3160</v>
      </c>
      <c r="E115" s="582"/>
      <c r="F115" s="582"/>
      <c r="G115" s="582"/>
      <c r="H115" s="582"/>
      <c r="I115" s="582"/>
      <c r="J115" s="582"/>
      <c r="K115" s="583"/>
      <c r="L115" s="584"/>
      <c r="M115" s="585"/>
      <c r="N115" s="1148"/>
      <c r="O115" s="1148"/>
      <c r="P115" s="2673"/>
      <c r="Q115" s="503"/>
    </row>
    <row r="116" spans="1:17" ht="15.75" thickBot="1">
      <c r="A116" s="533"/>
      <c r="B116" s="542"/>
      <c r="C116" s="543">
        <v>100</v>
      </c>
      <c r="D116" s="543">
        <f t="shared" ref="D116:M116" si="28">C116-$K39</f>
        <v>97</v>
      </c>
      <c r="E116" s="543">
        <f t="shared" si="28"/>
        <v>94</v>
      </c>
      <c r="F116" s="543">
        <f t="shared" si="28"/>
        <v>91</v>
      </c>
      <c r="G116" s="543">
        <f t="shared" si="28"/>
        <v>88</v>
      </c>
      <c r="H116" s="543">
        <f t="shared" si="28"/>
        <v>85</v>
      </c>
      <c r="I116" s="543">
        <f t="shared" si="28"/>
        <v>82</v>
      </c>
      <c r="J116" s="543">
        <f t="shared" si="28"/>
        <v>79</v>
      </c>
      <c r="K116" s="543">
        <f t="shared" si="28"/>
        <v>76</v>
      </c>
      <c r="L116" s="543">
        <f t="shared" si="28"/>
        <v>73</v>
      </c>
      <c r="M116" s="544">
        <f t="shared" si="28"/>
        <v>70</v>
      </c>
      <c r="N116" s="1149"/>
      <c r="O116" s="1149"/>
      <c r="P116" s="2673"/>
      <c r="Q116" s="503"/>
    </row>
    <row r="117" spans="1:17" ht="15" thickTop="1">
      <c r="A117" s="598"/>
      <c r="B117" s="537" t="s">
        <v>2611</v>
      </c>
      <c r="C117" s="2995" t="s">
        <v>3161</v>
      </c>
      <c r="D117" s="2995" t="s">
        <v>3162</v>
      </c>
      <c r="E117" s="2995" t="s">
        <v>3163</v>
      </c>
      <c r="F117" s="2995" t="s">
        <v>3164</v>
      </c>
      <c r="G117" s="2995" t="s">
        <v>3165</v>
      </c>
      <c r="H117" s="582"/>
      <c r="I117" s="582"/>
      <c r="J117" s="582"/>
      <c r="K117" s="583"/>
      <c r="L117" s="584"/>
      <c r="M117" s="585"/>
      <c r="N117" s="1148"/>
      <c r="O117" s="1148"/>
      <c r="P117" s="2673"/>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9"/>
      <c r="O118" s="1149"/>
      <c r="P118" s="2673"/>
      <c r="Q118" s="503"/>
    </row>
    <row r="119" spans="1:17" ht="15" thickTop="1">
      <c r="A119" s="598"/>
      <c r="B119" s="635" t="s">
        <v>2694</v>
      </c>
      <c r="C119" s="2997" t="s">
        <v>3166</v>
      </c>
      <c r="D119" s="2997" t="s">
        <v>3167</v>
      </c>
      <c r="E119" s="582"/>
      <c r="F119" s="582"/>
      <c r="G119" s="582"/>
      <c r="H119" s="582"/>
      <c r="I119" s="582"/>
      <c r="J119" s="582"/>
      <c r="K119" s="582"/>
      <c r="L119" s="2678"/>
      <c r="M119" s="2679"/>
      <c r="N119" s="1149"/>
      <c r="O119" s="1149"/>
      <c r="P119" s="2680"/>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9"/>
      <c r="O120" s="1149"/>
      <c r="P120" s="2673"/>
      <c r="Q120" s="503"/>
    </row>
    <row r="121" spans="1:17" s="470" customFormat="1" ht="15" thickTop="1">
      <c r="A121" s="592"/>
      <c r="B121" s="537" t="s">
        <v>2677</v>
      </c>
      <c r="C121" s="553" t="s">
        <v>3168</v>
      </c>
      <c r="D121" s="553" t="s">
        <v>3169</v>
      </c>
      <c r="E121" s="553" t="s">
        <v>3170</v>
      </c>
      <c r="F121" s="582" t="s">
        <v>3171</v>
      </c>
      <c r="G121" s="554"/>
      <c r="H121" s="554"/>
      <c r="I121" s="554"/>
      <c r="J121" s="554"/>
      <c r="K121" s="554"/>
      <c r="L121" s="555"/>
      <c r="M121" s="556"/>
      <c r="N121" s="1150"/>
      <c r="O121" s="1150"/>
      <c r="P121" s="2674"/>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50"/>
      <c r="O122" s="1150"/>
      <c r="P122" s="2674"/>
      <c r="Q122" s="558"/>
    </row>
    <row r="123" spans="1:17" ht="15" thickTop="1">
      <c r="A123" s="598"/>
      <c r="B123" s="537" t="s">
        <v>2613</v>
      </c>
      <c r="C123" s="2995" t="s">
        <v>3152</v>
      </c>
      <c r="D123" s="2995" t="s">
        <v>3153</v>
      </c>
      <c r="E123" s="2995" t="s">
        <v>3154</v>
      </c>
      <c r="F123" s="2997" t="s">
        <v>3155</v>
      </c>
      <c r="G123" s="582"/>
      <c r="H123" s="582"/>
      <c r="I123" s="582"/>
      <c r="J123" s="582"/>
      <c r="K123" s="583"/>
      <c r="L123" s="584"/>
      <c r="M123" s="585"/>
      <c r="N123" s="1148"/>
      <c r="O123" s="1148"/>
      <c r="P123" s="2673"/>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49"/>
      <c r="O124" s="1149"/>
      <c r="P124" s="2673"/>
      <c r="Q124" s="503"/>
    </row>
    <row r="125" spans="1:17" ht="15" thickTop="1">
      <c r="A125" s="598"/>
      <c r="B125" s="537" t="s">
        <v>2614</v>
      </c>
      <c r="C125" s="577" t="s">
        <v>2590</v>
      </c>
      <c r="D125" s="577" t="s">
        <v>2591</v>
      </c>
      <c r="E125" s="577" t="s">
        <v>2592</v>
      </c>
      <c r="F125" s="577" t="s">
        <v>2593</v>
      </c>
      <c r="G125" s="577" t="s">
        <v>2594</v>
      </c>
      <c r="H125" s="538"/>
      <c r="I125" s="538"/>
      <c r="J125" s="538"/>
      <c r="K125" s="539"/>
      <c r="L125" s="540"/>
      <c r="M125" s="541"/>
      <c r="N125" s="1148"/>
      <c r="O125" s="1148"/>
      <c r="P125" s="2674"/>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9"/>
      <c r="O126" s="1149"/>
      <c r="P126" s="2673"/>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74"/>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74"/>
      <c r="Q128" s="558"/>
    </row>
    <row r="129" spans="1:17" ht="15" thickTop="1">
      <c r="A129" s="598"/>
      <c r="B129" s="537">
        <f>B46</f>
        <v>111</v>
      </c>
      <c r="C129" s="553"/>
      <c r="D129" s="553"/>
      <c r="E129" s="553"/>
      <c r="F129" s="553"/>
      <c r="G129" s="582"/>
      <c r="H129" s="582"/>
      <c r="I129" s="582"/>
      <c r="J129" s="582"/>
      <c r="K129" s="583"/>
      <c r="L129" s="584"/>
      <c r="M129" s="585"/>
      <c r="N129" s="1148"/>
      <c r="O129" s="1148"/>
      <c r="P129" s="2673"/>
      <c r="Q129" s="503"/>
    </row>
    <row r="130" spans="1:17" ht="15.75" thickBot="1">
      <c r="A130" s="533"/>
      <c r="B130" s="542"/>
      <c r="C130" s="559"/>
      <c r="D130" s="559"/>
      <c r="E130" s="559"/>
      <c r="F130" s="559"/>
      <c r="G130" s="535"/>
      <c r="H130" s="535"/>
      <c r="I130" s="535"/>
      <c r="J130" s="535"/>
      <c r="K130" s="535"/>
      <c r="L130" s="535"/>
      <c r="M130" s="536"/>
      <c r="N130" s="1149"/>
      <c r="O130" s="1149"/>
      <c r="P130" s="2673"/>
      <c r="Q130" s="503"/>
    </row>
    <row r="131" spans="1:17" ht="15" thickTop="1">
      <c r="A131" s="598"/>
      <c r="B131" s="545">
        <f>B47</f>
        <v>111</v>
      </c>
      <c r="C131" s="522"/>
      <c r="D131" s="522"/>
      <c r="E131" s="522"/>
      <c r="F131" s="522"/>
      <c r="G131" s="586"/>
      <c r="H131" s="586"/>
      <c r="I131" s="586"/>
      <c r="J131" s="586"/>
      <c r="K131" s="522"/>
      <c r="L131" s="523"/>
      <c r="M131" s="589"/>
      <c r="N131" s="1148"/>
      <c r="O131" s="1148"/>
      <c r="P131" s="2673"/>
      <c r="Q131" s="503"/>
    </row>
    <row r="132" spans="1:17" ht="15.75" thickBot="1">
      <c r="A132" s="2628"/>
      <c r="B132" s="568"/>
      <c r="C132" s="569"/>
      <c r="D132" s="569"/>
      <c r="E132" s="569"/>
      <c r="F132" s="569"/>
      <c r="G132" s="590"/>
      <c r="H132" s="590"/>
      <c r="I132" s="590"/>
      <c r="J132" s="590"/>
      <c r="K132" s="590"/>
      <c r="L132" s="590"/>
      <c r="M132" s="591"/>
      <c r="N132" s="1149"/>
      <c r="O132" s="1149"/>
      <c r="P132" s="267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15" zoomScale="90" zoomScaleNormal="90" workbookViewId="0">
      <selection activeCell="J24" sqref="J24"/>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0" t="s">
        <v>3000</v>
      </c>
      <c r="C1" s="3296" t="s">
        <v>3001</v>
      </c>
      <c r="D1" s="3297"/>
      <c r="E1" s="3297"/>
      <c r="F1" s="3297"/>
      <c r="G1" s="3297"/>
      <c r="H1" s="3297"/>
      <c r="I1" s="3297"/>
      <c r="J1" s="3297"/>
      <c r="K1" s="3297"/>
      <c r="L1" s="3297"/>
      <c r="M1" s="3297"/>
      <c r="N1" s="3297"/>
      <c r="O1" s="3297"/>
      <c r="P1" s="3297"/>
      <c r="Q1" s="3297"/>
      <c r="R1" s="3297"/>
      <c r="S1" s="3298"/>
      <c r="T1" s="1200" t="s">
        <v>3002</v>
      </c>
    </row>
    <row r="2" spans="1:45" s="706" customFormat="1" ht="38.25">
      <c r="A2" s="1201"/>
      <c r="B2" s="702" t="s">
        <v>3003</v>
      </c>
      <c r="C2" s="703" t="str">
        <f t="shared" ref="C2:L2" si="0">C3&amp;"(含)"&amp;"-"&amp;D3</f>
        <v>0(含)-300</v>
      </c>
      <c r="D2" s="704" t="str">
        <f t="shared" si="0"/>
        <v>300(含)-500</v>
      </c>
      <c r="E2" s="704" t="str">
        <f t="shared" si="0"/>
        <v>500(含)-1000</v>
      </c>
      <c r="F2" s="704" t="str">
        <f t="shared" si="0"/>
        <v>1000(含)-2000</v>
      </c>
      <c r="G2" s="704" t="str">
        <f t="shared" si="0"/>
        <v>2000(含)-3000</v>
      </c>
      <c r="H2" s="704" t="str">
        <f t="shared" si="0"/>
        <v>3000(含)-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7"/>
      <c r="C3" s="708">
        <v>0</v>
      </c>
      <c r="D3" s="708">
        <v>300</v>
      </c>
      <c r="E3" s="708">
        <v>500</v>
      </c>
      <c r="F3" s="708">
        <v>1000</v>
      </c>
      <c r="G3" s="708">
        <v>2000</v>
      </c>
      <c r="H3" s="1700">
        <v>3000</v>
      </c>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v>99</v>
      </c>
      <c r="D4" s="1207">
        <v>100</v>
      </c>
      <c r="E4" s="1207">
        <v>99</v>
      </c>
      <c r="F4" s="1704">
        <v>98</v>
      </c>
      <c r="G4" s="1704">
        <v>97</v>
      </c>
      <c r="H4" s="1704">
        <v>96</v>
      </c>
      <c r="I4" s="1704"/>
      <c r="J4" s="1704"/>
      <c r="K4" s="1704"/>
      <c r="L4" s="1704"/>
      <c r="M4" s="1705"/>
      <c r="N4" s="1705"/>
      <c r="O4" s="1704"/>
      <c r="P4" s="1704"/>
      <c r="Q4" s="1704"/>
      <c r="R4" s="1704"/>
      <c r="S4" s="1706"/>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1"/>
      <c r="B5" s="2998" t="s">
        <v>3173</v>
      </c>
      <c r="C5" s="1212" t="str">
        <f>'[1]比较法-办公'!C89</f>
        <v>高区</v>
      </c>
      <c r="D5" s="1212" t="str">
        <f>'[1]比较法-办公'!D89</f>
        <v>中区</v>
      </c>
      <c r="E5" s="1212" t="str">
        <f>'[1]比较法-办公'!E89</f>
        <v>低区</v>
      </c>
      <c r="F5" s="1707"/>
      <c r="G5" s="1707"/>
      <c r="H5" s="1707"/>
      <c r="I5" s="1707"/>
      <c r="J5" s="1707"/>
      <c r="K5" s="1707"/>
      <c r="L5" s="1708"/>
      <c r="M5" s="1709"/>
      <c r="N5" s="1709"/>
      <c r="O5" s="1707"/>
      <c r="P5" s="1707"/>
      <c r="Q5" s="1707"/>
      <c r="R5" s="1707"/>
      <c r="S5" s="1710"/>
      <c r="T5" s="1215">
        <f>'比较法-办公'!K27</f>
        <v>5</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1"/>
      <c r="B6" s="1112"/>
      <c r="C6" s="1118">
        <v>100</v>
      </c>
      <c r="D6" s="1115">
        <f>C6-$T5</f>
        <v>95</v>
      </c>
      <c r="E6" s="1115">
        <f t="shared" ref="E6:S6" si="7">D6-$T5</f>
        <v>90</v>
      </c>
      <c r="F6" s="1711">
        <f t="shared" si="7"/>
        <v>85</v>
      </c>
      <c r="G6" s="1711">
        <f t="shared" si="7"/>
        <v>80</v>
      </c>
      <c r="H6" s="1711">
        <f t="shared" si="7"/>
        <v>75</v>
      </c>
      <c r="I6" s="1711">
        <f t="shared" si="7"/>
        <v>70</v>
      </c>
      <c r="J6" s="1711">
        <f t="shared" si="7"/>
        <v>65</v>
      </c>
      <c r="K6" s="1711">
        <f t="shared" si="7"/>
        <v>60</v>
      </c>
      <c r="L6" s="1711">
        <f t="shared" si="7"/>
        <v>55</v>
      </c>
      <c r="M6" s="1711">
        <f t="shared" si="7"/>
        <v>50</v>
      </c>
      <c r="N6" s="1711">
        <f t="shared" si="7"/>
        <v>45</v>
      </c>
      <c r="O6" s="1711">
        <f t="shared" si="7"/>
        <v>40</v>
      </c>
      <c r="P6" s="1711">
        <f t="shared" si="7"/>
        <v>35</v>
      </c>
      <c r="Q6" s="1711">
        <f t="shared" si="7"/>
        <v>30</v>
      </c>
      <c r="R6" s="1711">
        <f t="shared" si="7"/>
        <v>25</v>
      </c>
      <c r="S6" s="1711">
        <f t="shared" si="7"/>
        <v>20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1"/>
      <c r="B7" s="1766" t="s">
        <v>3004</v>
      </c>
      <c r="C7" s="1117"/>
      <c r="D7" s="1111"/>
      <c r="E7" s="1111"/>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1"/>
      <c r="B9" s="1766" t="s">
        <v>3005</v>
      </c>
      <c r="C9" s="1117"/>
      <c r="D9" s="1111"/>
      <c r="E9" s="1111"/>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1"/>
      <c r="B11" s="1765" t="s">
        <v>3006</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1"/>
      <c r="B13" s="1765" t="s">
        <v>3007</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1"/>
      <c r="B15" s="1765" t="s">
        <v>3008</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4" t="s">
        <v>3009</v>
      </c>
      <c r="B17" s="2905" t="s">
        <v>3010</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7"/>
      <c r="B19" s="167"/>
      <c r="C19" s="167"/>
      <c r="D19" s="2906" t="s">
        <v>3011</v>
      </c>
      <c r="E19" s="1788"/>
      <c r="F19" s="1788"/>
      <c r="G19" s="1788"/>
      <c r="H19" s="1276"/>
      <c r="I19" s="167"/>
      <c r="J19" s="167"/>
      <c r="K19" s="167"/>
      <c r="L19" s="167"/>
      <c r="M19" s="167"/>
      <c r="N19" s="167"/>
      <c r="O19" s="167"/>
      <c r="P19" s="167"/>
      <c r="Q19" s="167"/>
      <c r="R19" s="786"/>
      <c r="S19" s="137"/>
    </row>
    <row r="20" spans="1:45" ht="16.5" thickBot="1">
      <c r="A20" s="713" t="s">
        <v>3012</v>
      </c>
      <c r="B20" s="337">
        <f>IF(D20="——",S22,S22-F20)</f>
        <v>252461</v>
      </c>
      <c r="C20" s="167"/>
      <c r="D20" s="2907" t="s">
        <v>70</v>
      </c>
      <c r="E20" s="1789"/>
      <c r="F20" s="1200">
        <f ca="1">SUMIF(INDIRECT("'"&amp;H20&amp;"'"&amp;"!A:A"),"承租人权益价值",INDIRECT("'"&amp;H20&amp;"'"&amp;"!c:c"))</f>
        <v>-1030</v>
      </c>
      <c r="G20" s="1200" t="s">
        <v>3013</v>
      </c>
      <c r="H20" s="2908" t="s">
        <v>3081</v>
      </c>
      <c r="I20" s="167"/>
      <c r="J20" s="167"/>
      <c r="K20" s="167"/>
      <c r="L20" s="167"/>
      <c r="M20" s="167"/>
      <c r="N20" s="167"/>
      <c r="O20" s="167"/>
      <c r="P20" s="167"/>
      <c r="Q20" s="167"/>
      <c r="R20" s="786"/>
      <c r="S20" s="137"/>
    </row>
    <row r="21" spans="1:45" ht="15.75">
      <c r="A21" s="713" t="s">
        <v>3014</v>
      </c>
      <c r="B21" s="337">
        <f>R22</f>
        <v>61906</v>
      </c>
      <c r="C21" s="167"/>
      <c r="D21" s="167"/>
      <c r="E21" s="167"/>
      <c r="F21" s="167"/>
      <c r="G21" s="167"/>
      <c r="H21" s="167"/>
      <c r="I21" s="167"/>
      <c r="J21" s="167"/>
      <c r="K21" s="167"/>
      <c r="L21" s="167"/>
      <c r="M21" s="167"/>
      <c r="N21" s="167"/>
      <c r="O21" s="167"/>
      <c r="P21" s="167"/>
      <c r="Q21" s="167"/>
      <c r="R21" s="786"/>
      <c r="S21" s="137"/>
    </row>
    <row r="22" spans="1:45">
      <c r="A22" s="360" t="s">
        <v>3015</v>
      </c>
      <c r="B22" s="24">
        <f>SUM(B24:B10000)</f>
        <v>40781.420000000006</v>
      </c>
      <c r="C22" s="3156" t="s">
        <v>33</v>
      </c>
      <c r="D22" s="3157"/>
      <c r="E22" s="3157"/>
      <c r="F22" s="3157"/>
      <c r="G22" s="3157"/>
      <c r="H22" s="3157"/>
      <c r="I22" s="3157"/>
      <c r="J22" s="3157"/>
      <c r="K22" s="3157"/>
      <c r="L22" s="3157"/>
      <c r="M22" s="3157"/>
      <c r="N22" s="3157"/>
      <c r="O22" s="3157"/>
      <c r="P22" s="3157"/>
      <c r="Q22" s="3295"/>
      <c r="R22" s="714">
        <f>ROUND(S22*10000/B22,0)</f>
        <v>61906</v>
      </c>
      <c r="S22" s="24">
        <f>SUM(S24:S10000)</f>
        <v>252461</v>
      </c>
    </row>
    <row r="23" spans="1:45" s="12" customFormat="1" ht="24">
      <c r="A23" s="11" t="s">
        <v>3016</v>
      </c>
      <c r="B23" s="11" t="s">
        <v>3017</v>
      </c>
      <c r="C23" s="11" t="s">
        <v>3018</v>
      </c>
      <c r="D23" s="11" t="str">
        <f>B5</f>
        <v>楼层</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5"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3021</v>
      </c>
      <c r="B24" s="716">
        <f>'数据-基础表'!I20</f>
        <v>2786.78</v>
      </c>
      <c r="C24" s="717">
        <v>1</v>
      </c>
      <c r="D24" s="718" t="s">
        <v>3112</v>
      </c>
      <c r="E24" s="717">
        <v>1</v>
      </c>
      <c r="F24" s="718"/>
      <c r="G24" s="717">
        <v>1</v>
      </c>
      <c r="H24" s="718"/>
      <c r="I24" s="717">
        <v>1</v>
      </c>
      <c r="J24" s="718"/>
      <c r="K24" s="717">
        <v>1</v>
      </c>
      <c r="L24" s="718"/>
      <c r="M24" s="717">
        <v>1</v>
      </c>
      <c r="N24" s="718"/>
      <c r="O24" s="717">
        <v>1</v>
      </c>
      <c r="P24" s="718"/>
      <c r="Q24" s="717">
        <v>1</v>
      </c>
      <c r="R24" s="719">
        <f>'比较法-办公'!C49</f>
        <v>59133</v>
      </c>
      <c r="S24" s="717">
        <f t="shared" ref="S24:S54" si="11">ROUND(R24*B24/10000,0)</f>
        <v>16479</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v>201</v>
      </c>
      <c r="B25" s="58">
        <v>2053.9299999999998</v>
      </c>
      <c r="C25" s="24">
        <f>IF(B25="",1,(LOOKUP(B25,$3:$3,$4:$4)-LOOKUP($B$24,$3:$3,$4:$4)+100)/100)</f>
        <v>1</v>
      </c>
      <c r="D25" s="718" t="s">
        <v>3112</v>
      </c>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59133</v>
      </c>
      <c r="S25" s="360">
        <f t="shared" si="11"/>
        <v>12146</v>
      </c>
    </row>
    <row r="26" spans="1:45">
      <c r="A26" s="158">
        <v>301</v>
      </c>
      <c r="B26" s="58">
        <v>2409.13</v>
      </c>
      <c r="C26" s="24">
        <f t="shared" ref="C26:C89" si="12">IF(B26="",1,(LOOKUP(B26,$3:$3,$4:$4)-LOOKUP($B$24,$3:$3,$4:$4)+100)/100)</f>
        <v>1</v>
      </c>
      <c r="D26" s="718" t="s">
        <v>3112</v>
      </c>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59133</v>
      </c>
      <c r="S26" s="360">
        <f t="shared" si="11"/>
        <v>14246</v>
      </c>
    </row>
    <row r="27" spans="1:45">
      <c r="A27" s="158">
        <v>401</v>
      </c>
      <c r="B27" s="58">
        <v>2476.09</v>
      </c>
      <c r="C27" s="24">
        <f t="shared" si="12"/>
        <v>1</v>
      </c>
      <c r="D27" s="718" t="s">
        <v>3112</v>
      </c>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59133</v>
      </c>
      <c r="S27" s="360">
        <f t="shared" si="11"/>
        <v>14642</v>
      </c>
    </row>
    <row r="28" spans="1:45">
      <c r="A28" s="158">
        <v>501</v>
      </c>
      <c r="B28" s="58">
        <v>2408.09</v>
      </c>
      <c r="C28" s="24">
        <f t="shared" si="12"/>
        <v>1</v>
      </c>
      <c r="D28" s="718" t="s">
        <v>3112</v>
      </c>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59133</v>
      </c>
      <c r="S28" s="360">
        <f t="shared" si="11"/>
        <v>14240</v>
      </c>
    </row>
    <row r="29" spans="1:45">
      <c r="A29" s="158">
        <v>601</v>
      </c>
      <c r="B29" s="58">
        <v>2353.9299999999998</v>
      </c>
      <c r="C29" s="24">
        <f t="shared" si="12"/>
        <v>1</v>
      </c>
      <c r="D29" s="718" t="s">
        <v>3112</v>
      </c>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59133</v>
      </c>
      <c r="S29" s="360">
        <f t="shared" si="11"/>
        <v>13919</v>
      </c>
    </row>
    <row r="30" spans="1:45">
      <c r="A30" s="158">
        <v>701</v>
      </c>
      <c r="B30" s="58">
        <v>2301.2800000000002</v>
      </c>
      <c r="C30" s="24">
        <f t="shared" si="12"/>
        <v>1</v>
      </c>
      <c r="D30" s="718" t="s">
        <v>3172</v>
      </c>
      <c r="E30" s="24">
        <f t="shared" si="13"/>
        <v>1.05</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62090</v>
      </c>
      <c r="S30" s="360">
        <f t="shared" si="11"/>
        <v>14289</v>
      </c>
    </row>
    <row r="31" spans="1:45">
      <c r="A31" s="158">
        <v>801</v>
      </c>
      <c r="B31" s="58">
        <v>2274.88</v>
      </c>
      <c r="C31" s="24">
        <f t="shared" si="12"/>
        <v>1</v>
      </c>
      <c r="D31" s="718" t="s">
        <v>3172</v>
      </c>
      <c r="E31" s="24">
        <f t="shared" si="13"/>
        <v>1.05</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62090</v>
      </c>
      <c r="S31" s="360">
        <f t="shared" si="11"/>
        <v>14125</v>
      </c>
    </row>
    <row r="32" spans="1:45">
      <c r="A32" s="158">
        <v>901</v>
      </c>
      <c r="B32" s="58">
        <v>2264.4899999999998</v>
      </c>
      <c r="C32" s="24">
        <f t="shared" si="12"/>
        <v>1</v>
      </c>
      <c r="D32" s="718" t="s">
        <v>3172</v>
      </c>
      <c r="E32" s="24">
        <f t="shared" si="13"/>
        <v>1.05</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62090</v>
      </c>
      <c r="S32" s="360">
        <f t="shared" si="11"/>
        <v>14060</v>
      </c>
    </row>
    <row r="33" spans="1:19">
      <c r="A33" s="158">
        <v>1001</v>
      </c>
      <c r="B33" s="58">
        <v>2284.0700000000002</v>
      </c>
      <c r="C33" s="24">
        <f t="shared" si="12"/>
        <v>1</v>
      </c>
      <c r="D33" s="718" t="s">
        <v>3172</v>
      </c>
      <c r="E33" s="24">
        <f t="shared" si="13"/>
        <v>1.05</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62090</v>
      </c>
      <c r="S33" s="360">
        <f t="shared" si="11"/>
        <v>14182</v>
      </c>
    </row>
    <row r="34" spans="1:19">
      <c r="A34" s="158">
        <v>1101</v>
      </c>
      <c r="B34" s="58">
        <v>2264.6999999999998</v>
      </c>
      <c r="C34" s="24">
        <f t="shared" si="12"/>
        <v>1</v>
      </c>
      <c r="D34" s="718" t="s">
        <v>3172</v>
      </c>
      <c r="E34" s="24">
        <f t="shared" si="13"/>
        <v>1.05</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62090</v>
      </c>
      <c r="S34" s="360">
        <f t="shared" si="11"/>
        <v>14062</v>
      </c>
    </row>
    <row r="35" spans="1:19">
      <c r="A35" s="158">
        <v>1201</v>
      </c>
      <c r="B35" s="58">
        <v>2272.9899999999998</v>
      </c>
      <c r="C35" s="24">
        <f t="shared" si="12"/>
        <v>1</v>
      </c>
      <c r="D35" s="718" t="s">
        <v>3172</v>
      </c>
      <c r="E35" s="24">
        <f t="shared" si="13"/>
        <v>1.05</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62090</v>
      </c>
      <c r="S35" s="360">
        <f t="shared" si="11"/>
        <v>14113</v>
      </c>
    </row>
    <row r="36" spans="1:19">
      <c r="A36" s="158">
        <v>1301</v>
      </c>
      <c r="B36" s="58">
        <v>2284.25</v>
      </c>
      <c r="C36" s="24">
        <f t="shared" si="12"/>
        <v>1</v>
      </c>
      <c r="D36" s="2999" t="s">
        <v>3136</v>
      </c>
      <c r="E36" s="24">
        <f t="shared" si="13"/>
        <v>1.1000000000000001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65046</v>
      </c>
      <c r="S36" s="360">
        <f t="shared" si="11"/>
        <v>14858</v>
      </c>
    </row>
    <row r="37" spans="1:19">
      <c r="A37" s="158">
        <v>1401</v>
      </c>
      <c r="B37" s="58">
        <v>2352.4899999999998</v>
      </c>
      <c r="C37" s="24">
        <f t="shared" si="12"/>
        <v>1</v>
      </c>
      <c r="D37" s="2999" t="s">
        <v>3136</v>
      </c>
      <c r="E37" s="24">
        <f t="shared" si="13"/>
        <v>1.1000000000000001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65046</v>
      </c>
      <c r="S37" s="360">
        <f t="shared" si="11"/>
        <v>15302</v>
      </c>
    </row>
    <row r="38" spans="1:19">
      <c r="A38" s="158">
        <v>1501</v>
      </c>
      <c r="B38" s="58">
        <v>2410.62</v>
      </c>
      <c r="C38" s="24">
        <f t="shared" si="12"/>
        <v>1</v>
      </c>
      <c r="D38" s="2999" t="s">
        <v>3136</v>
      </c>
      <c r="E38" s="24">
        <f t="shared" si="13"/>
        <v>1.1000000000000001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65046</v>
      </c>
      <c r="S38" s="360">
        <f t="shared" si="11"/>
        <v>15680</v>
      </c>
    </row>
    <row r="39" spans="1:19">
      <c r="A39" s="158">
        <v>1601</v>
      </c>
      <c r="B39" s="58">
        <v>2477.2600000000002</v>
      </c>
      <c r="C39" s="24">
        <f t="shared" si="12"/>
        <v>1</v>
      </c>
      <c r="D39" s="2999" t="s">
        <v>3136</v>
      </c>
      <c r="E39" s="24">
        <f t="shared" si="13"/>
        <v>1.1000000000000001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65046</v>
      </c>
      <c r="S39" s="360">
        <f t="shared" si="11"/>
        <v>16114</v>
      </c>
    </row>
    <row r="40" spans="1:19">
      <c r="A40" s="158">
        <v>1701</v>
      </c>
      <c r="B40" s="58">
        <f>'数据-基础表'!I38+'数据-基础表'!I37+'数据-基础表'!I36</f>
        <v>3106.44</v>
      </c>
      <c r="C40" s="24">
        <f t="shared" si="12"/>
        <v>0.99</v>
      </c>
      <c r="D40" s="2999" t="s">
        <v>3136</v>
      </c>
      <c r="E40" s="24">
        <f t="shared" si="13"/>
        <v>1.1000000000000001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64396</v>
      </c>
      <c r="S40" s="360">
        <f t="shared" si="11"/>
        <v>20004</v>
      </c>
    </row>
    <row r="41" spans="1:19">
      <c r="A41" s="158"/>
      <c r="B41" s="58"/>
      <c r="C41" s="24">
        <f t="shared" si="12"/>
        <v>1</v>
      </c>
      <c r="D41" s="2999" t="s">
        <v>3136</v>
      </c>
      <c r="E41" s="24">
        <f t="shared" si="13"/>
        <v>1.1000000000000001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0">
        <f t="shared" si="11"/>
        <v>0</v>
      </c>
    </row>
    <row r="42" spans="1:19">
      <c r="A42" s="158"/>
      <c r="B42" s="58"/>
      <c r="C42" s="24">
        <f t="shared" si="12"/>
        <v>1</v>
      </c>
      <c r="D42" s="2999" t="s">
        <v>3136</v>
      </c>
      <c r="E42" s="24">
        <f t="shared" si="13"/>
        <v>1.1000000000000001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0">
        <f t="shared" si="11"/>
        <v>0</v>
      </c>
    </row>
    <row r="43" spans="1:19">
      <c r="A43" s="158"/>
      <c r="B43" s="58"/>
      <c r="C43" s="24">
        <f t="shared" si="12"/>
        <v>1</v>
      </c>
      <c r="D43" s="2999" t="s">
        <v>3136</v>
      </c>
      <c r="E43" s="24">
        <f t="shared" si="13"/>
        <v>1.1000000000000001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0">
        <f t="shared" si="11"/>
        <v>0</v>
      </c>
    </row>
    <row r="44" spans="1:19">
      <c r="A44" s="158"/>
      <c r="B44" s="58"/>
      <c r="C44" s="24">
        <f t="shared" si="12"/>
        <v>1</v>
      </c>
      <c r="D44" s="718"/>
      <c r="E44" s="24">
        <f t="shared" si="13"/>
        <v>0.1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0">
        <f t="shared" si="11"/>
        <v>0</v>
      </c>
    </row>
    <row r="45" spans="1:19">
      <c r="A45" s="158"/>
      <c r="B45" s="58"/>
      <c r="C45" s="24">
        <f t="shared" si="12"/>
        <v>1</v>
      </c>
      <c r="D45" s="718"/>
      <c r="E45" s="24">
        <f t="shared" si="13"/>
        <v>0.1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0">
        <f t="shared" si="11"/>
        <v>0</v>
      </c>
    </row>
    <row r="46" spans="1:19">
      <c r="A46" s="158"/>
      <c r="B46" s="58"/>
      <c r="C46" s="24">
        <f t="shared" si="12"/>
        <v>1</v>
      </c>
      <c r="D46" s="718"/>
      <c r="E46" s="24">
        <f t="shared" si="13"/>
        <v>0.1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0">
        <f t="shared" si="11"/>
        <v>0</v>
      </c>
    </row>
    <row r="47" spans="1:19">
      <c r="A47" s="158"/>
      <c r="B47" s="58"/>
      <c r="C47" s="24">
        <f t="shared" si="12"/>
        <v>1</v>
      </c>
      <c r="D47" s="718"/>
      <c r="E47" s="24">
        <f t="shared" si="13"/>
        <v>0.1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0">
        <f t="shared" si="11"/>
        <v>0</v>
      </c>
    </row>
    <row r="48" spans="1:19">
      <c r="A48" s="158"/>
      <c r="B48" s="58"/>
      <c r="C48" s="24">
        <f t="shared" si="12"/>
        <v>1</v>
      </c>
      <c r="D48" s="718"/>
      <c r="E48" s="24">
        <f t="shared" si="13"/>
        <v>0.1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0">
        <f t="shared" si="11"/>
        <v>0</v>
      </c>
    </row>
    <row r="49" spans="1:19">
      <c r="A49" s="158"/>
      <c r="B49" s="58"/>
      <c r="C49" s="24">
        <f t="shared" si="12"/>
        <v>1</v>
      </c>
      <c r="D49" s="718"/>
      <c r="E49" s="24">
        <f t="shared" si="13"/>
        <v>0.1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0">
        <f t="shared" si="11"/>
        <v>0</v>
      </c>
    </row>
    <row r="50" spans="1:19">
      <c r="A50" s="158"/>
      <c r="B50" s="58"/>
      <c r="C50" s="24">
        <f t="shared" si="12"/>
        <v>1</v>
      </c>
      <c r="D50" s="718"/>
      <c r="E50" s="24">
        <f t="shared" si="13"/>
        <v>0.1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0">
        <f t="shared" si="11"/>
        <v>0</v>
      </c>
    </row>
    <row r="51" spans="1:19">
      <c r="A51" s="158"/>
      <c r="B51" s="58"/>
      <c r="C51" s="24">
        <f t="shared" si="12"/>
        <v>1</v>
      </c>
      <c r="D51" s="718"/>
      <c r="E51" s="24">
        <f t="shared" si="13"/>
        <v>0.1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0">
        <f t="shared" si="11"/>
        <v>0</v>
      </c>
    </row>
    <row r="52" spans="1:19">
      <c r="A52" s="158"/>
      <c r="B52" s="58"/>
      <c r="C52" s="24">
        <f t="shared" si="12"/>
        <v>1</v>
      </c>
      <c r="D52" s="718"/>
      <c r="E52" s="24">
        <f t="shared" si="13"/>
        <v>0.1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0">
        <f t="shared" si="11"/>
        <v>0</v>
      </c>
    </row>
    <row r="53" spans="1:19">
      <c r="A53" s="158"/>
      <c r="B53" s="58"/>
      <c r="C53" s="24">
        <f t="shared" si="12"/>
        <v>1</v>
      </c>
      <c r="D53" s="718"/>
      <c r="E53" s="24">
        <f t="shared" si="13"/>
        <v>0.1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0">
        <f t="shared" si="11"/>
        <v>0</v>
      </c>
    </row>
    <row r="54" spans="1:19">
      <c r="A54" s="158"/>
      <c r="B54" s="58"/>
      <c r="C54" s="24">
        <f t="shared" si="12"/>
        <v>1</v>
      </c>
      <c r="D54" s="718"/>
      <c r="E54" s="24">
        <f t="shared" si="13"/>
        <v>0.1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0">
        <f t="shared" si="11"/>
        <v>0</v>
      </c>
    </row>
    <row r="55" spans="1:19">
      <c r="A55" s="158"/>
      <c r="B55" s="58"/>
      <c r="C55" s="24">
        <f t="shared" si="12"/>
        <v>1</v>
      </c>
      <c r="D55" s="718"/>
      <c r="E55" s="24">
        <f t="shared" si="13"/>
        <v>0.1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0">
        <f t="shared" ref="S55:S77" si="21">ROUND(R55*B55/10000,0)</f>
        <v>0</v>
      </c>
    </row>
    <row r="56" spans="1:19">
      <c r="A56" s="158"/>
      <c r="B56" s="58"/>
      <c r="C56" s="24">
        <f t="shared" si="12"/>
        <v>1</v>
      </c>
      <c r="D56" s="718"/>
      <c r="E56" s="24">
        <f t="shared" si="13"/>
        <v>0.1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0">
        <f t="shared" si="21"/>
        <v>0</v>
      </c>
    </row>
    <row r="57" spans="1:19">
      <c r="A57" s="158"/>
      <c r="B57" s="58"/>
      <c r="C57" s="24">
        <f t="shared" si="12"/>
        <v>1</v>
      </c>
      <c r="D57" s="718"/>
      <c r="E57" s="24">
        <f t="shared" si="13"/>
        <v>0.1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0">
        <f t="shared" si="21"/>
        <v>0</v>
      </c>
    </row>
    <row r="58" spans="1:19">
      <c r="A58" s="158"/>
      <c r="B58" s="58"/>
      <c r="C58" s="24">
        <f t="shared" si="12"/>
        <v>1</v>
      </c>
      <c r="D58" s="718"/>
      <c r="E58" s="24">
        <f t="shared" si="13"/>
        <v>0.1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0">
        <f t="shared" si="21"/>
        <v>0</v>
      </c>
    </row>
    <row r="59" spans="1:19">
      <c r="A59" s="158"/>
      <c r="B59" s="58"/>
      <c r="C59" s="24">
        <f t="shared" si="12"/>
        <v>1</v>
      </c>
      <c r="D59" s="718"/>
      <c r="E59" s="24">
        <f t="shared" si="13"/>
        <v>0.1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0">
        <f t="shared" si="21"/>
        <v>0</v>
      </c>
    </row>
    <row r="60" spans="1:19">
      <c r="A60" s="158"/>
      <c r="B60" s="58"/>
      <c r="C60" s="24">
        <f t="shared" si="12"/>
        <v>1</v>
      </c>
      <c r="D60" s="718"/>
      <c r="E60" s="24">
        <f t="shared" si="13"/>
        <v>0.1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0">
        <f t="shared" si="21"/>
        <v>0</v>
      </c>
    </row>
    <row r="61" spans="1:19">
      <c r="A61" s="158"/>
      <c r="B61" s="58"/>
      <c r="C61" s="24">
        <f t="shared" si="12"/>
        <v>1</v>
      </c>
      <c r="D61" s="718"/>
      <c r="E61" s="24">
        <f t="shared" si="13"/>
        <v>0.1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0">
        <f t="shared" si="21"/>
        <v>0</v>
      </c>
    </row>
    <row r="62" spans="1:19">
      <c r="A62" s="158"/>
      <c r="B62" s="58"/>
      <c r="C62" s="24">
        <f t="shared" si="12"/>
        <v>1</v>
      </c>
      <c r="D62" s="718"/>
      <c r="E62" s="24">
        <f t="shared" si="13"/>
        <v>0.1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0">
        <f t="shared" si="21"/>
        <v>0</v>
      </c>
    </row>
    <row r="63" spans="1:19">
      <c r="A63" s="158"/>
      <c r="B63" s="58"/>
      <c r="C63" s="24">
        <f t="shared" si="12"/>
        <v>1</v>
      </c>
      <c r="D63" s="718"/>
      <c r="E63" s="24">
        <f t="shared" si="13"/>
        <v>0.1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0">
        <f t="shared" si="21"/>
        <v>0</v>
      </c>
    </row>
    <row r="64" spans="1:19">
      <c r="A64" s="158"/>
      <c r="B64" s="58"/>
      <c r="C64" s="24">
        <f t="shared" si="12"/>
        <v>1</v>
      </c>
      <c r="D64" s="718"/>
      <c r="E64" s="24">
        <f t="shared" si="13"/>
        <v>0.1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0">
        <f t="shared" si="21"/>
        <v>0</v>
      </c>
    </row>
    <row r="65" spans="1:19">
      <c r="A65" s="158"/>
      <c r="B65" s="58"/>
      <c r="C65" s="24">
        <f t="shared" si="12"/>
        <v>1</v>
      </c>
      <c r="D65" s="718"/>
      <c r="E65" s="24">
        <f t="shared" si="13"/>
        <v>0.1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0">
        <f t="shared" si="21"/>
        <v>0</v>
      </c>
    </row>
    <row r="66" spans="1:19">
      <c r="A66" s="158"/>
      <c r="B66" s="58"/>
      <c r="C66" s="24">
        <f t="shared" si="12"/>
        <v>1</v>
      </c>
      <c r="D66" s="718"/>
      <c r="E66" s="24">
        <f t="shared" si="13"/>
        <v>0.1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0">
        <f t="shared" si="21"/>
        <v>0</v>
      </c>
    </row>
    <row r="67" spans="1:19">
      <c r="A67" s="158"/>
      <c r="B67" s="58"/>
      <c r="C67" s="24">
        <f t="shared" si="12"/>
        <v>1</v>
      </c>
      <c r="D67" s="718"/>
      <c r="E67" s="24">
        <f t="shared" si="13"/>
        <v>0.1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0">
        <f t="shared" si="21"/>
        <v>0</v>
      </c>
    </row>
    <row r="68" spans="1:19">
      <c r="A68" s="158"/>
      <c r="B68" s="58"/>
      <c r="C68" s="24">
        <f t="shared" si="12"/>
        <v>1</v>
      </c>
      <c r="D68" s="718"/>
      <c r="E68" s="24">
        <f t="shared" si="13"/>
        <v>0.1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0">
        <f t="shared" si="21"/>
        <v>0</v>
      </c>
    </row>
    <row r="69" spans="1:19">
      <c r="A69" s="158"/>
      <c r="B69" s="58"/>
      <c r="C69" s="24">
        <f t="shared" si="12"/>
        <v>1</v>
      </c>
      <c r="D69" s="718"/>
      <c r="E69" s="24">
        <f t="shared" si="13"/>
        <v>0.1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0">
        <f t="shared" si="21"/>
        <v>0</v>
      </c>
    </row>
    <row r="70" spans="1:19">
      <c r="A70" s="158"/>
      <c r="B70" s="58"/>
      <c r="C70" s="24">
        <f t="shared" si="12"/>
        <v>1</v>
      </c>
      <c r="D70" s="718"/>
      <c r="E70" s="24">
        <f t="shared" si="13"/>
        <v>0.1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0">
        <f t="shared" si="21"/>
        <v>0</v>
      </c>
    </row>
    <row r="71" spans="1:19">
      <c r="A71" s="158"/>
      <c r="B71" s="58"/>
      <c r="C71" s="24">
        <f t="shared" si="12"/>
        <v>1</v>
      </c>
      <c r="D71" s="718"/>
      <c r="E71" s="24">
        <f t="shared" si="13"/>
        <v>0.1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0">
        <f t="shared" si="21"/>
        <v>0</v>
      </c>
    </row>
    <row r="72" spans="1:19">
      <c r="A72" s="158"/>
      <c r="B72" s="58"/>
      <c r="C72" s="24">
        <f t="shared" si="12"/>
        <v>1</v>
      </c>
      <c r="D72" s="718"/>
      <c r="E72" s="24">
        <f t="shared" si="13"/>
        <v>0.1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0">
        <f t="shared" si="21"/>
        <v>0</v>
      </c>
    </row>
    <row r="73" spans="1:19">
      <c r="A73" s="158"/>
      <c r="B73" s="58"/>
      <c r="C73" s="24">
        <f t="shared" si="12"/>
        <v>1</v>
      </c>
      <c r="D73" s="718"/>
      <c r="E73" s="24">
        <f t="shared" si="13"/>
        <v>0.1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0">
        <f t="shared" si="21"/>
        <v>0</v>
      </c>
    </row>
    <row r="74" spans="1:19">
      <c r="A74" s="158"/>
      <c r="B74" s="58"/>
      <c r="C74" s="24">
        <f t="shared" si="12"/>
        <v>1</v>
      </c>
      <c r="D74" s="718"/>
      <c r="E74" s="24">
        <f t="shared" si="13"/>
        <v>0.1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0">
        <f t="shared" si="21"/>
        <v>0</v>
      </c>
    </row>
    <row r="75" spans="1:19">
      <c r="A75" s="158"/>
      <c r="B75" s="58"/>
      <c r="C75" s="24">
        <f t="shared" si="12"/>
        <v>1</v>
      </c>
      <c r="D75" s="718"/>
      <c r="E75" s="24">
        <f t="shared" si="13"/>
        <v>0.1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0">
        <f t="shared" si="21"/>
        <v>0</v>
      </c>
    </row>
    <row r="76" spans="1:19">
      <c r="A76" s="158"/>
      <c r="B76" s="58"/>
      <c r="C76" s="24">
        <f t="shared" si="12"/>
        <v>1</v>
      </c>
      <c r="D76" s="718"/>
      <c r="E76" s="24">
        <f t="shared" si="13"/>
        <v>0.1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0">
        <f t="shared" si="21"/>
        <v>0</v>
      </c>
    </row>
    <row r="77" spans="1:19">
      <c r="A77" s="158"/>
      <c r="B77" s="58"/>
      <c r="C77" s="24">
        <f t="shared" si="12"/>
        <v>1</v>
      </c>
      <c r="D77" s="718"/>
      <c r="E77" s="24">
        <f t="shared" si="13"/>
        <v>0.1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0">
        <f t="shared" si="21"/>
        <v>0</v>
      </c>
    </row>
    <row r="78" spans="1:19">
      <c r="A78" s="158"/>
      <c r="B78" s="58"/>
      <c r="C78" s="24">
        <f t="shared" si="12"/>
        <v>1</v>
      </c>
      <c r="D78" s="718"/>
      <c r="E78" s="24">
        <f t="shared" si="13"/>
        <v>0.1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0">
        <f t="shared" ref="S78:S122" si="22">ROUND(R78*B78/10000,0)</f>
        <v>0</v>
      </c>
    </row>
    <row r="79" spans="1:19">
      <c r="A79" s="158"/>
      <c r="B79" s="58"/>
      <c r="C79" s="24">
        <f t="shared" si="12"/>
        <v>1</v>
      </c>
      <c r="D79" s="718"/>
      <c r="E79" s="24">
        <f t="shared" si="13"/>
        <v>0.1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0">
        <f t="shared" si="22"/>
        <v>0</v>
      </c>
    </row>
    <row r="80" spans="1:19">
      <c r="A80" s="158"/>
      <c r="B80" s="58"/>
      <c r="C80" s="24">
        <f t="shared" si="12"/>
        <v>1</v>
      </c>
      <c r="D80" s="718"/>
      <c r="E80" s="24">
        <f t="shared" si="13"/>
        <v>0.1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0">
        <f t="shared" si="22"/>
        <v>0</v>
      </c>
    </row>
    <row r="81" spans="1:19">
      <c r="A81" s="158"/>
      <c r="B81" s="58"/>
      <c r="C81" s="24">
        <f t="shared" si="12"/>
        <v>1</v>
      </c>
      <c r="D81" s="718"/>
      <c r="E81" s="24">
        <f t="shared" si="13"/>
        <v>0.1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0">
        <f t="shared" si="22"/>
        <v>0</v>
      </c>
    </row>
    <row r="82" spans="1:19">
      <c r="A82" s="158"/>
      <c r="B82" s="58"/>
      <c r="C82" s="24">
        <f t="shared" si="12"/>
        <v>1</v>
      </c>
      <c r="D82" s="718"/>
      <c r="E82" s="24">
        <f t="shared" si="13"/>
        <v>0.1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0">
        <f t="shared" si="22"/>
        <v>0</v>
      </c>
    </row>
    <row r="83" spans="1:19">
      <c r="A83" s="158"/>
      <c r="B83" s="58"/>
      <c r="C83" s="24">
        <f t="shared" si="12"/>
        <v>1</v>
      </c>
      <c r="D83" s="718"/>
      <c r="E83" s="24">
        <f t="shared" si="13"/>
        <v>0.1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0">
        <f t="shared" si="22"/>
        <v>0</v>
      </c>
    </row>
    <row r="84" spans="1:19">
      <c r="A84" s="158"/>
      <c r="B84" s="58"/>
      <c r="C84" s="24">
        <f t="shared" si="12"/>
        <v>1</v>
      </c>
      <c r="D84" s="718"/>
      <c r="E84" s="24">
        <f t="shared" si="13"/>
        <v>0.1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0">
        <f t="shared" si="22"/>
        <v>0</v>
      </c>
    </row>
    <row r="85" spans="1:19">
      <c r="A85" s="158"/>
      <c r="B85" s="58"/>
      <c r="C85" s="24">
        <f t="shared" si="12"/>
        <v>1</v>
      </c>
      <c r="D85" s="718"/>
      <c r="E85" s="24">
        <f t="shared" si="13"/>
        <v>0.1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0">
        <f t="shared" si="22"/>
        <v>0</v>
      </c>
    </row>
    <row r="86" spans="1:19">
      <c r="A86" s="158"/>
      <c r="B86" s="58"/>
      <c r="C86" s="24">
        <f t="shared" si="12"/>
        <v>1</v>
      </c>
      <c r="D86" s="718"/>
      <c r="E86" s="24">
        <f t="shared" si="13"/>
        <v>0.1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0">
        <f t="shared" si="22"/>
        <v>0</v>
      </c>
    </row>
    <row r="87" spans="1:19">
      <c r="A87" s="158"/>
      <c r="B87" s="58"/>
      <c r="C87" s="24">
        <f t="shared" si="12"/>
        <v>1</v>
      </c>
      <c r="D87" s="718"/>
      <c r="E87" s="24">
        <f t="shared" si="13"/>
        <v>0.1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0">
        <f t="shared" si="22"/>
        <v>0</v>
      </c>
    </row>
    <row r="88" spans="1:19">
      <c r="A88" s="158"/>
      <c r="B88" s="58"/>
      <c r="C88" s="24">
        <f t="shared" si="12"/>
        <v>1</v>
      </c>
      <c r="D88" s="718"/>
      <c r="E88" s="24">
        <f t="shared" si="13"/>
        <v>0.1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0">
        <f t="shared" si="22"/>
        <v>0</v>
      </c>
    </row>
    <row r="89" spans="1:19">
      <c r="A89" s="158"/>
      <c r="B89" s="58"/>
      <c r="C89" s="24">
        <f t="shared" si="12"/>
        <v>1</v>
      </c>
      <c r="D89" s="718"/>
      <c r="E89" s="24">
        <f t="shared" si="13"/>
        <v>0.1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0">
        <f t="shared" si="22"/>
        <v>0</v>
      </c>
    </row>
    <row r="90" spans="1:19">
      <c r="A90" s="158"/>
      <c r="B90" s="58"/>
      <c r="C90" s="24">
        <f t="shared" ref="C90:C153" si="23">IF(B90="",1,(LOOKUP(B90,$3:$3,$4:$4)-LOOKUP($B$24,$3:$3,$4:$4)+100)/100)</f>
        <v>1</v>
      </c>
      <c r="D90" s="718"/>
      <c r="E90" s="24">
        <f t="shared" ref="E90:E153" si="24">(SUMIF($5:$5,D90,$6:$6)-SUMIF($5:$5,$D$24,$6:$6)+100)/100</f>
        <v>0.1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0">
        <f t="shared" si="22"/>
        <v>0</v>
      </c>
    </row>
    <row r="91" spans="1:19">
      <c r="A91" s="158"/>
      <c r="B91" s="58"/>
      <c r="C91" s="24">
        <f t="shared" si="23"/>
        <v>1</v>
      </c>
      <c r="D91" s="718"/>
      <c r="E91" s="24">
        <f t="shared" si="24"/>
        <v>0.1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0">
        <f t="shared" si="22"/>
        <v>0</v>
      </c>
    </row>
    <row r="92" spans="1:19">
      <c r="A92" s="158"/>
      <c r="B92" s="58"/>
      <c r="C92" s="24">
        <f t="shared" si="23"/>
        <v>1</v>
      </c>
      <c r="D92" s="718"/>
      <c r="E92" s="24">
        <f t="shared" si="24"/>
        <v>0.1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0">
        <f t="shared" si="22"/>
        <v>0</v>
      </c>
    </row>
    <row r="93" spans="1:19">
      <c r="A93" s="158"/>
      <c r="B93" s="58"/>
      <c r="C93" s="24">
        <f t="shared" si="23"/>
        <v>1</v>
      </c>
      <c r="D93" s="718"/>
      <c r="E93" s="24">
        <f t="shared" si="24"/>
        <v>0.1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0">
        <f t="shared" si="22"/>
        <v>0</v>
      </c>
    </row>
    <row r="94" spans="1:19">
      <c r="A94" s="158"/>
      <c r="B94" s="58"/>
      <c r="C94" s="24">
        <f t="shared" si="23"/>
        <v>1</v>
      </c>
      <c r="D94" s="718"/>
      <c r="E94" s="24">
        <f t="shared" si="24"/>
        <v>0.1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0">
        <f t="shared" si="22"/>
        <v>0</v>
      </c>
    </row>
    <row r="95" spans="1:19">
      <c r="A95" s="158"/>
      <c r="B95" s="58"/>
      <c r="C95" s="24">
        <f t="shared" si="23"/>
        <v>1</v>
      </c>
      <c r="D95" s="718"/>
      <c r="E95" s="24">
        <f t="shared" si="24"/>
        <v>0.1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0">
        <f t="shared" si="22"/>
        <v>0</v>
      </c>
    </row>
    <row r="96" spans="1:19">
      <c r="A96" s="158"/>
      <c r="B96" s="58"/>
      <c r="C96" s="24">
        <f t="shared" si="23"/>
        <v>1</v>
      </c>
      <c r="D96" s="718"/>
      <c r="E96" s="24">
        <f t="shared" si="24"/>
        <v>0.1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0">
        <f t="shared" si="22"/>
        <v>0</v>
      </c>
    </row>
    <row r="97" spans="1:19">
      <c r="A97" s="158"/>
      <c r="B97" s="58"/>
      <c r="C97" s="24">
        <f t="shared" si="23"/>
        <v>1</v>
      </c>
      <c r="D97" s="718"/>
      <c r="E97" s="24">
        <f t="shared" si="24"/>
        <v>0.1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0">
        <f t="shared" si="22"/>
        <v>0</v>
      </c>
    </row>
    <row r="98" spans="1:19">
      <c r="A98" s="158"/>
      <c r="B98" s="58"/>
      <c r="C98" s="24">
        <f t="shared" si="23"/>
        <v>1</v>
      </c>
      <c r="D98" s="718"/>
      <c r="E98" s="24">
        <f t="shared" si="24"/>
        <v>0.1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0">
        <f t="shared" si="22"/>
        <v>0</v>
      </c>
    </row>
    <row r="99" spans="1:19">
      <c r="A99" s="158"/>
      <c r="B99" s="58"/>
      <c r="C99" s="24">
        <f t="shared" si="23"/>
        <v>1</v>
      </c>
      <c r="D99" s="718"/>
      <c r="E99" s="24">
        <f t="shared" si="24"/>
        <v>0.1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0">
        <f t="shared" si="22"/>
        <v>0</v>
      </c>
    </row>
    <row r="100" spans="1:19">
      <c r="A100" s="158"/>
      <c r="B100" s="58"/>
      <c r="C100" s="24">
        <f t="shared" si="23"/>
        <v>1</v>
      </c>
      <c r="D100" s="718"/>
      <c r="E100" s="24">
        <f t="shared" si="24"/>
        <v>0.1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0">
        <f t="shared" si="22"/>
        <v>0</v>
      </c>
    </row>
    <row r="101" spans="1:19">
      <c r="A101" s="158"/>
      <c r="B101" s="58"/>
      <c r="C101" s="24">
        <f t="shared" si="23"/>
        <v>1</v>
      </c>
      <c r="D101" s="718"/>
      <c r="E101" s="24">
        <f t="shared" si="24"/>
        <v>0.1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0">
        <f t="shared" si="22"/>
        <v>0</v>
      </c>
    </row>
    <row r="102" spans="1:19">
      <c r="A102" s="158"/>
      <c r="B102" s="58"/>
      <c r="C102" s="24">
        <f t="shared" si="23"/>
        <v>1</v>
      </c>
      <c r="D102" s="718"/>
      <c r="E102" s="24">
        <f t="shared" si="24"/>
        <v>0.1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0">
        <f t="shared" si="22"/>
        <v>0</v>
      </c>
    </row>
    <row r="103" spans="1:19">
      <c r="A103" s="158"/>
      <c r="B103" s="58"/>
      <c r="C103" s="24">
        <f t="shared" si="23"/>
        <v>1</v>
      </c>
      <c r="D103" s="718"/>
      <c r="E103" s="24">
        <f t="shared" si="24"/>
        <v>0.1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0">
        <f t="shared" si="22"/>
        <v>0</v>
      </c>
    </row>
    <row r="104" spans="1:19">
      <c r="A104" s="158"/>
      <c r="B104" s="58"/>
      <c r="C104" s="24">
        <f t="shared" si="23"/>
        <v>1</v>
      </c>
      <c r="D104" s="718"/>
      <c r="E104" s="24">
        <f t="shared" si="24"/>
        <v>0.1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0">
        <f t="shared" si="22"/>
        <v>0</v>
      </c>
    </row>
    <row r="105" spans="1:19">
      <c r="A105" s="158"/>
      <c r="B105" s="58"/>
      <c r="C105" s="24">
        <f t="shared" si="23"/>
        <v>1</v>
      </c>
      <c r="D105" s="718"/>
      <c r="E105" s="24">
        <f t="shared" si="24"/>
        <v>0.1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0">
        <f t="shared" si="22"/>
        <v>0</v>
      </c>
    </row>
    <row r="106" spans="1:19">
      <c r="A106" s="158"/>
      <c r="B106" s="58"/>
      <c r="C106" s="24">
        <f t="shared" si="23"/>
        <v>1</v>
      </c>
      <c r="D106" s="718"/>
      <c r="E106" s="24">
        <f t="shared" si="24"/>
        <v>0.1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0">
        <f t="shared" si="22"/>
        <v>0</v>
      </c>
    </row>
    <row r="107" spans="1:19">
      <c r="A107" s="158"/>
      <c r="B107" s="58"/>
      <c r="C107" s="24">
        <f t="shared" si="23"/>
        <v>1</v>
      </c>
      <c r="D107" s="718"/>
      <c r="E107" s="24">
        <f t="shared" si="24"/>
        <v>0.1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0">
        <f t="shared" si="22"/>
        <v>0</v>
      </c>
    </row>
    <row r="108" spans="1:19">
      <c r="A108" s="158"/>
      <c r="B108" s="58"/>
      <c r="C108" s="24">
        <f t="shared" si="23"/>
        <v>1</v>
      </c>
      <c r="D108" s="718"/>
      <c r="E108" s="24">
        <f t="shared" si="24"/>
        <v>0.1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0">
        <f t="shared" si="22"/>
        <v>0</v>
      </c>
    </row>
    <row r="109" spans="1:19">
      <c r="A109" s="158"/>
      <c r="B109" s="58"/>
      <c r="C109" s="24">
        <f t="shared" si="23"/>
        <v>1</v>
      </c>
      <c r="D109" s="718"/>
      <c r="E109" s="24">
        <f t="shared" si="24"/>
        <v>0.1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0">
        <f t="shared" si="22"/>
        <v>0</v>
      </c>
    </row>
    <row r="110" spans="1:19">
      <c r="A110" s="158"/>
      <c r="B110" s="58"/>
      <c r="C110" s="24">
        <f t="shared" si="23"/>
        <v>1</v>
      </c>
      <c r="D110" s="718"/>
      <c r="E110" s="24">
        <f t="shared" si="24"/>
        <v>0.1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0">
        <f t="shared" si="22"/>
        <v>0</v>
      </c>
    </row>
    <row r="111" spans="1:19">
      <c r="A111" s="158"/>
      <c r="B111" s="58"/>
      <c r="C111" s="24">
        <f t="shared" si="23"/>
        <v>1</v>
      </c>
      <c r="D111" s="718"/>
      <c r="E111" s="24">
        <f t="shared" si="24"/>
        <v>0.1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0">
        <f t="shared" si="22"/>
        <v>0</v>
      </c>
    </row>
    <row r="112" spans="1:19">
      <c r="A112" s="158"/>
      <c r="B112" s="58"/>
      <c r="C112" s="24">
        <f t="shared" si="23"/>
        <v>1</v>
      </c>
      <c r="D112" s="718"/>
      <c r="E112" s="24">
        <f t="shared" si="24"/>
        <v>0.1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0">
        <f t="shared" si="22"/>
        <v>0</v>
      </c>
    </row>
    <row r="113" spans="1:19">
      <c r="A113" s="158"/>
      <c r="B113" s="58"/>
      <c r="C113" s="24">
        <f t="shared" si="23"/>
        <v>1</v>
      </c>
      <c r="D113" s="718"/>
      <c r="E113" s="24">
        <f t="shared" si="24"/>
        <v>0.1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0">
        <f t="shared" si="22"/>
        <v>0</v>
      </c>
    </row>
    <row r="114" spans="1:19">
      <c r="A114" s="158"/>
      <c r="B114" s="58"/>
      <c r="C114" s="24">
        <f t="shared" si="23"/>
        <v>1</v>
      </c>
      <c r="D114" s="718"/>
      <c r="E114" s="24">
        <f t="shared" si="24"/>
        <v>0.1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0">
        <f t="shared" si="22"/>
        <v>0</v>
      </c>
    </row>
    <row r="115" spans="1:19">
      <c r="A115" s="158"/>
      <c r="B115" s="58"/>
      <c r="C115" s="24">
        <f t="shared" si="23"/>
        <v>1</v>
      </c>
      <c r="D115" s="718"/>
      <c r="E115" s="24">
        <f t="shared" si="24"/>
        <v>0.1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0">
        <f t="shared" si="22"/>
        <v>0</v>
      </c>
    </row>
    <row r="116" spans="1:19">
      <c r="A116" s="158"/>
      <c r="B116" s="58"/>
      <c r="C116" s="24">
        <f t="shared" si="23"/>
        <v>1</v>
      </c>
      <c r="D116" s="718"/>
      <c r="E116" s="24">
        <f t="shared" si="24"/>
        <v>0.1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0">
        <f t="shared" si="22"/>
        <v>0</v>
      </c>
    </row>
    <row r="117" spans="1:19">
      <c r="A117" s="158"/>
      <c r="B117" s="58"/>
      <c r="C117" s="24">
        <f t="shared" si="23"/>
        <v>1</v>
      </c>
      <c r="D117" s="718"/>
      <c r="E117" s="24">
        <f t="shared" si="24"/>
        <v>0.1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0">
        <f t="shared" si="22"/>
        <v>0</v>
      </c>
    </row>
    <row r="118" spans="1:19">
      <c r="A118" s="158"/>
      <c r="B118" s="58"/>
      <c r="C118" s="24">
        <f t="shared" si="23"/>
        <v>1</v>
      </c>
      <c r="D118" s="718"/>
      <c r="E118" s="24">
        <f t="shared" si="24"/>
        <v>0.1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0">
        <f t="shared" si="22"/>
        <v>0</v>
      </c>
    </row>
    <row r="119" spans="1:19">
      <c r="A119" s="158"/>
      <c r="B119" s="58"/>
      <c r="C119" s="24">
        <f t="shared" si="23"/>
        <v>1</v>
      </c>
      <c r="D119" s="718"/>
      <c r="E119" s="24">
        <f t="shared" si="24"/>
        <v>0.1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0">
        <f t="shared" si="22"/>
        <v>0</v>
      </c>
    </row>
    <row r="120" spans="1:19">
      <c r="A120" s="158"/>
      <c r="B120" s="58"/>
      <c r="C120" s="24">
        <f t="shared" si="23"/>
        <v>1</v>
      </c>
      <c r="D120" s="718"/>
      <c r="E120" s="24">
        <f t="shared" si="24"/>
        <v>0.1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0">
        <f t="shared" si="22"/>
        <v>0</v>
      </c>
    </row>
    <row r="121" spans="1:19">
      <c r="A121" s="158"/>
      <c r="B121" s="58"/>
      <c r="C121" s="24">
        <f t="shared" si="23"/>
        <v>1</v>
      </c>
      <c r="D121" s="718"/>
      <c r="E121" s="24">
        <f t="shared" si="24"/>
        <v>0.1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0">
        <f t="shared" si="22"/>
        <v>0</v>
      </c>
    </row>
    <row r="122" spans="1:19">
      <c r="A122" s="158"/>
      <c r="B122" s="58"/>
      <c r="C122" s="24">
        <f t="shared" si="23"/>
        <v>1</v>
      </c>
      <c r="D122" s="718"/>
      <c r="E122" s="24">
        <f t="shared" si="24"/>
        <v>0.1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0">
        <f t="shared" si="22"/>
        <v>0</v>
      </c>
    </row>
    <row r="123" spans="1:19">
      <c r="A123" s="158"/>
      <c r="B123" s="58"/>
      <c r="C123" s="24">
        <f t="shared" si="23"/>
        <v>1</v>
      </c>
      <c r="D123" s="718"/>
      <c r="E123" s="24">
        <f t="shared" si="24"/>
        <v>0.1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0">
        <f t="shared" ref="S123:S186" si="32">ROUND(R123*B123/10000,0)</f>
        <v>0</v>
      </c>
    </row>
    <row r="124" spans="1:19">
      <c r="A124" s="158"/>
      <c r="B124" s="58"/>
      <c r="C124" s="24">
        <f t="shared" si="23"/>
        <v>1</v>
      </c>
      <c r="D124" s="718"/>
      <c r="E124" s="24">
        <f t="shared" si="24"/>
        <v>0.1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0">
        <f t="shared" si="32"/>
        <v>0</v>
      </c>
    </row>
    <row r="125" spans="1:19">
      <c r="A125" s="158"/>
      <c r="B125" s="58"/>
      <c r="C125" s="24">
        <f t="shared" si="23"/>
        <v>1</v>
      </c>
      <c r="D125" s="718"/>
      <c r="E125" s="24">
        <f t="shared" si="24"/>
        <v>0.1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0">
        <f t="shared" si="32"/>
        <v>0</v>
      </c>
    </row>
    <row r="126" spans="1:19">
      <c r="A126" s="158"/>
      <c r="B126" s="58"/>
      <c r="C126" s="24">
        <f t="shared" si="23"/>
        <v>1</v>
      </c>
      <c r="D126" s="718"/>
      <c r="E126" s="24">
        <f t="shared" si="24"/>
        <v>0.1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0">
        <f t="shared" si="32"/>
        <v>0</v>
      </c>
    </row>
    <row r="127" spans="1:19">
      <c r="A127" s="158"/>
      <c r="B127" s="58"/>
      <c r="C127" s="24">
        <f t="shared" si="23"/>
        <v>1</v>
      </c>
      <c r="D127" s="718"/>
      <c r="E127" s="24">
        <f t="shared" si="24"/>
        <v>0.1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0">
        <f t="shared" si="32"/>
        <v>0</v>
      </c>
    </row>
    <row r="128" spans="1:19">
      <c r="A128" s="158"/>
      <c r="B128" s="58"/>
      <c r="C128" s="24">
        <f t="shared" si="23"/>
        <v>1</v>
      </c>
      <c r="D128" s="718"/>
      <c r="E128" s="24">
        <f t="shared" si="24"/>
        <v>0.1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0">
        <f t="shared" si="32"/>
        <v>0</v>
      </c>
    </row>
    <row r="129" spans="1:19">
      <c r="A129" s="158"/>
      <c r="B129" s="58"/>
      <c r="C129" s="24">
        <f t="shared" si="23"/>
        <v>1</v>
      </c>
      <c r="D129" s="718"/>
      <c r="E129" s="24">
        <f t="shared" si="24"/>
        <v>0.1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0">
        <f t="shared" si="32"/>
        <v>0</v>
      </c>
    </row>
    <row r="130" spans="1:19">
      <c r="A130" s="158"/>
      <c r="B130" s="58"/>
      <c r="C130" s="24">
        <f t="shared" si="23"/>
        <v>1</v>
      </c>
      <c r="D130" s="718"/>
      <c r="E130" s="24">
        <f t="shared" si="24"/>
        <v>0.1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0">
        <f t="shared" si="32"/>
        <v>0</v>
      </c>
    </row>
    <row r="131" spans="1:19">
      <c r="A131" s="158"/>
      <c r="B131" s="58"/>
      <c r="C131" s="24">
        <f t="shared" si="23"/>
        <v>1</v>
      </c>
      <c r="D131" s="718"/>
      <c r="E131" s="24">
        <f t="shared" si="24"/>
        <v>0.1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0">
        <f t="shared" si="32"/>
        <v>0</v>
      </c>
    </row>
    <row r="132" spans="1:19">
      <c r="A132" s="158"/>
      <c r="B132" s="58"/>
      <c r="C132" s="24">
        <f t="shared" si="23"/>
        <v>1</v>
      </c>
      <c r="D132" s="718"/>
      <c r="E132" s="24">
        <f t="shared" si="24"/>
        <v>0.1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0">
        <f t="shared" si="32"/>
        <v>0</v>
      </c>
    </row>
    <row r="133" spans="1:19">
      <c r="A133" s="158"/>
      <c r="B133" s="58"/>
      <c r="C133" s="24">
        <f t="shared" si="23"/>
        <v>1</v>
      </c>
      <c r="D133" s="718"/>
      <c r="E133" s="24">
        <f t="shared" si="24"/>
        <v>0.1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0">
        <f t="shared" si="32"/>
        <v>0</v>
      </c>
    </row>
    <row r="134" spans="1:19">
      <c r="A134" s="158"/>
      <c r="B134" s="58"/>
      <c r="C134" s="24">
        <f t="shared" si="23"/>
        <v>1</v>
      </c>
      <c r="D134" s="718"/>
      <c r="E134" s="24">
        <f t="shared" si="24"/>
        <v>0.1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0">
        <f t="shared" si="32"/>
        <v>0</v>
      </c>
    </row>
    <row r="135" spans="1:19">
      <c r="A135" s="158"/>
      <c r="B135" s="58"/>
      <c r="C135" s="24">
        <f t="shared" si="23"/>
        <v>1</v>
      </c>
      <c r="D135" s="718"/>
      <c r="E135" s="24">
        <f t="shared" si="24"/>
        <v>0.1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0">
        <f t="shared" si="32"/>
        <v>0</v>
      </c>
    </row>
    <row r="136" spans="1:19">
      <c r="A136" s="158"/>
      <c r="B136" s="58"/>
      <c r="C136" s="24">
        <f t="shared" si="23"/>
        <v>1</v>
      </c>
      <c r="D136" s="718"/>
      <c r="E136" s="24">
        <f t="shared" si="24"/>
        <v>0.1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0">
        <f t="shared" si="32"/>
        <v>0</v>
      </c>
    </row>
    <row r="137" spans="1:19">
      <c r="A137" s="158"/>
      <c r="B137" s="58"/>
      <c r="C137" s="24">
        <f t="shared" si="23"/>
        <v>1</v>
      </c>
      <c r="D137" s="718"/>
      <c r="E137" s="24">
        <f t="shared" si="24"/>
        <v>0.1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0">
        <f t="shared" si="32"/>
        <v>0</v>
      </c>
    </row>
    <row r="138" spans="1:19">
      <c r="A138" s="158"/>
      <c r="B138" s="58"/>
      <c r="C138" s="24">
        <f t="shared" si="23"/>
        <v>1</v>
      </c>
      <c r="D138" s="718"/>
      <c r="E138" s="24">
        <f t="shared" si="24"/>
        <v>0.1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0">
        <f t="shared" si="32"/>
        <v>0</v>
      </c>
    </row>
    <row r="139" spans="1:19">
      <c r="A139" s="158"/>
      <c r="B139" s="58"/>
      <c r="C139" s="24">
        <f t="shared" si="23"/>
        <v>1</v>
      </c>
      <c r="D139" s="718"/>
      <c r="E139" s="24">
        <f t="shared" si="24"/>
        <v>0.1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0">
        <f t="shared" si="32"/>
        <v>0</v>
      </c>
    </row>
    <row r="140" spans="1:19">
      <c r="A140" s="158"/>
      <c r="B140" s="58"/>
      <c r="C140" s="24">
        <f t="shared" si="23"/>
        <v>1</v>
      </c>
      <c r="D140" s="718"/>
      <c r="E140" s="24">
        <f t="shared" si="24"/>
        <v>0.1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0">
        <f t="shared" si="32"/>
        <v>0</v>
      </c>
    </row>
    <row r="141" spans="1:19">
      <c r="A141" s="158"/>
      <c r="B141" s="58"/>
      <c r="C141" s="24">
        <f t="shared" si="23"/>
        <v>1</v>
      </c>
      <c r="D141" s="718"/>
      <c r="E141" s="24">
        <f t="shared" si="24"/>
        <v>0.1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0">
        <f t="shared" si="32"/>
        <v>0</v>
      </c>
    </row>
    <row r="142" spans="1:19">
      <c r="A142" s="158"/>
      <c r="B142" s="58"/>
      <c r="C142" s="24">
        <f t="shared" si="23"/>
        <v>1</v>
      </c>
      <c r="D142" s="718"/>
      <c r="E142" s="24">
        <f t="shared" si="24"/>
        <v>0.1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0">
        <f t="shared" si="32"/>
        <v>0</v>
      </c>
    </row>
    <row r="143" spans="1:19">
      <c r="A143" s="158"/>
      <c r="B143" s="58"/>
      <c r="C143" s="24">
        <f t="shared" si="23"/>
        <v>1</v>
      </c>
      <c r="D143" s="718"/>
      <c r="E143" s="24">
        <f t="shared" si="24"/>
        <v>0.1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0">
        <f t="shared" si="32"/>
        <v>0</v>
      </c>
    </row>
    <row r="144" spans="1:19">
      <c r="A144" s="158"/>
      <c r="B144" s="58"/>
      <c r="C144" s="24">
        <f t="shared" si="23"/>
        <v>1</v>
      </c>
      <c r="D144" s="718"/>
      <c r="E144" s="24">
        <f t="shared" si="24"/>
        <v>0.1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0">
        <f t="shared" si="32"/>
        <v>0</v>
      </c>
    </row>
    <row r="145" spans="1:19">
      <c r="A145" s="158"/>
      <c r="B145" s="58"/>
      <c r="C145" s="24">
        <f t="shared" si="23"/>
        <v>1</v>
      </c>
      <c r="D145" s="718"/>
      <c r="E145" s="24">
        <f t="shared" si="24"/>
        <v>0.1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0">
        <f t="shared" si="32"/>
        <v>0</v>
      </c>
    </row>
    <row r="146" spans="1:19">
      <c r="A146" s="158"/>
      <c r="B146" s="58"/>
      <c r="C146" s="24">
        <f t="shared" si="23"/>
        <v>1</v>
      </c>
      <c r="D146" s="718"/>
      <c r="E146" s="24">
        <f t="shared" si="24"/>
        <v>0.1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0">
        <f t="shared" si="32"/>
        <v>0</v>
      </c>
    </row>
    <row r="147" spans="1:19">
      <c r="A147" s="158"/>
      <c r="B147" s="58"/>
      <c r="C147" s="24">
        <f t="shared" si="23"/>
        <v>1</v>
      </c>
      <c r="D147" s="718"/>
      <c r="E147" s="24">
        <f t="shared" si="24"/>
        <v>0.1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0">
        <f t="shared" si="32"/>
        <v>0</v>
      </c>
    </row>
    <row r="148" spans="1:19">
      <c r="A148" s="158"/>
      <c r="B148" s="58"/>
      <c r="C148" s="24">
        <f t="shared" si="23"/>
        <v>1</v>
      </c>
      <c r="D148" s="718"/>
      <c r="E148" s="24">
        <f t="shared" si="24"/>
        <v>0.1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0">
        <f t="shared" si="32"/>
        <v>0</v>
      </c>
    </row>
    <row r="149" spans="1:19">
      <c r="A149" s="158"/>
      <c r="B149" s="58"/>
      <c r="C149" s="24">
        <f t="shared" si="23"/>
        <v>1</v>
      </c>
      <c r="D149" s="718"/>
      <c r="E149" s="24">
        <f t="shared" si="24"/>
        <v>0.1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0">
        <f t="shared" si="32"/>
        <v>0</v>
      </c>
    </row>
    <row r="150" spans="1:19">
      <c r="A150" s="158"/>
      <c r="B150" s="58"/>
      <c r="C150" s="24">
        <f t="shared" si="23"/>
        <v>1</v>
      </c>
      <c r="D150" s="718"/>
      <c r="E150" s="24">
        <f t="shared" si="24"/>
        <v>0.1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0">
        <f t="shared" si="32"/>
        <v>0</v>
      </c>
    </row>
    <row r="151" spans="1:19">
      <c r="A151" s="158"/>
      <c r="B151" s="58"/>
      <c r="C151" s="24">
        <f t="shared" si="23"/>
        <v>1</v>
      </c>
      <c r="D151" s="718"/>
      <c r="E151" s="24">
        <f t="shared" si="24"/>
        <v>0.1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0">
        <f t="shared" si="32"/>
        <v>0</v>
      </c>
    </row>
    <row r="152" spans="1:19">
      <c r="A152" s="158"/>
      <c r="B152" s="58"/>
      <c r="C152" s="24">
        <f t="shared" si="23"/>
        <v>1</v>
      </c>
      <c r="D152" s="718"/>
      <c r="E152" s="24">
        <f t="shared" si="24"/>
        <v>0.1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0">
        <f t="shared" si="32"/>
        <v>0</v>
      </c>
    </row>
    <row r="153" spans="1:19">
      <c r="A153" s="158"/>
      <c r="B153" s="58"/>
      <c r="C153" s="24">
        <f t="shared" si="23"/>
        <v>1</v>
      </c>
      <c r="D153" s="718"/>
      <c r="E153" s="24">
        <f t="shared" si="24"/>
        <v>0.1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0">
        <f t="shared" si="32"/>
        <v>0</v>
      </c>
    </row>
    <row r="154" spans="1:19">
      <c r="A154" s="158"/>
      <c r="B154" s="58"/>
      <c r="C154" s="24">
        <f t="shared" ref="C154:C217" si="33">IF(B154="",1,(LOOKUP(B154,$3:$3,$4:$4)-LOOKUP($B$24,$3:$3,$4:$4)+100)/100)</f>
        <v>1</v>
      </c>
      <c r="D154" s="718"/>
      <c r="E154" s="24">
        <f t="shared" ref="E154:E217" si="34">(SUMIF($5:$5,D154,$6:$6)-SUMIF($5:$5,$D$24,$6:$6)+100)/100</f>
        <v>0.1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0">
        <f t="shared" si="32"/>
        <v>0</v>
      </c>
    </row>
    <row r="155" spans="1:19">
      <c r="A155" s="158"/>
      <c r="B155" s="58"/>
      <c r="C155" s="24">
        <f t="shared" si="33"/>
        <v>1</v>
      </c>
      <c r="D155" s="718"/>
      <c r="E155" s="24">
        <f t="shared" si="34"/>
        <v>0.1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0">
        <f t="shared" si="32"/>
        <v>0</v>
      </c>
    </row>
    <row r="156" spans="1:19">
      <c r="A156" s="158"/>
      <c r="B156" s="58"/>
      <c r="C156" s="24">
        <f t="shared" si="33"/>
        <v>1</v>
      </c>
      <c r="D156" s="718"/>
      <c r="E156" s="24">
        <f t="shared" si="34"/>
        <v>0.1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0">
        <f t="shared" si="32"/>
        <v>0</v>
      </c>
    </row>
    <row r="157" spans="1:19">
      <c r="A157" s="158"/>
      <c r="B157" s="58"/>
      <c r="C157" s="24">
        <f t="shared" si="33"/>
        <v>1</v>
      </c>
      <c r="D157" s="718"/>
      <c r="E157" s="24">
        <f t="shared" si="34"/>
        <v>0.1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0">
        <f t="shared" si="32"/>
        <v>0</v>
      </c>
    </row>
    <row r="158" spans="1:19">
      <c r="A158" s="158"/>
      <c r="B158" s="58"/>
      <c r="C158" s="24">
        <f t="shared" si="33"/>
        <v>1</v>
      </c>
      <c r="D158" s="718"/>
      <c r="E158" s="24">
        <f t="shared" si="34"/>
        <v>0.1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0">
        <f t="shared" si="32"/>
        <v>0</v>
      </c>
    </row>
    <row r="159" spans="1:19">
      <c r="A159" s="158"/>
      <c r="B159" s="58"/>
      <c r="C159" s="24">
        <f t="shared" si="33"/>
        <v>1</v>
      </c>
      <c r="D159" s="718"/>
      <c r="E159" s="24">
        <f t="shared" si="34"/>
        <v>0.1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0">
        <f t="shared" si="32"/>
        <v>0</v>
      </c>
    </row>
    <row r="160" spans="1:19">
      <c r="A160" s="158"/>
      <c r="B160" s="58"/>
      <c r="C160" s="24">
        <f t="shared" si="33"/>
        <v>1</v>
      </c>
      <c r="D160" s="718"/>
      <c r="E160" s="24">
        <f t="shared" si="34"/>
        <v>0.1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0">
        <f t="shared" si="32"/>
        <v>0</v>
      </c>
    </row>
    <row r="161" spans="1:19">
      <c r="A161" s="158"/>
      <c r="B161" s="58"/>
      <c r="C161" s="24">
        <f t="shared" si="33"/>
        <v>1</v>
      </c>
      <c r="D161" s="718"/>
      <c r="E161" s="24">
        <f t="shared" si="34"/>
        <v>0.1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0">
        <f t="shared" si="32"/>
        <v>0</v>
      </c>
    </row>
    <row r="162" spans="1:19">
      <c r="A162" s="158"/>
      <c r="B162" s="58"/>
      <c r="C162" s="24">
        <f t="shared" si="33"/>
        <v>1</v>
      </c>
      <c r="D162" s="718"/>
      <c r="E162" s="24">
        <f t="shared" si="34"/>
        <v>0.1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0">
        <f t="shared" si="32"/>
        <v>0</v>
      </c>
    </row>
    <row r="163" spans="1:19">
      <c r="A163" s="158"/>
      <c r="B163" s="58"/>
      <c r="C163" s="24">
        <f t="shared" si="33"/>
        <v>1</v>
      </c>
      <c r="D163" s="718"/>
      <c r="E163" s="24">
        <f t="shared" si="34"/>
        <v>0.1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0">
        <f t="shared" si="32"/>
        <v>0</v>
      </c>
    </row>
    <row r="164" spans="1:19">
      <c r="A164" s="158"/>
      <c r="B164" s="58"/>
      <c r="C164" s="24">
        <f t="shared" si="33"/>
        <v>1</v>
      </c>
      <c r="D164" s="718"/>
      <c r="E164" s="24">
        <f t="shared" si="34"/>
        <v>0.1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0">
        <f t="shared" si="32"/>
        <v>0</v>
      </c>
    </row>
    <row r="165" spans="1:19">
      <c r="A165" s="158"/>
      <c r="B165" s="58"/>
      <c r="C165" s="24">
        <f t="shared" si="33"/>
        <v>1</v>
      </c>
      <c r="D165" s="718"/>
      <c r="E165" s="24">
        <f t="shared" si="34"/>
        <v>0.1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0">
        <f t="shared" si="32"/>
        <v>0</v>
      </c>
    </row>
    <row r="166" spans="1:19">
      <c r="A166" s="158"/>
      <c r="B166" s="58"/>
      <c r="C166" s="24">
        <f t="shared" si="33"/>
        <v>1</v>
      </c>
      <c r="D166" s="718"/>
      <c r="E166" s="24">
        <f t="shared" si="34"/>
        <v>0.1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0">
        <f t="shared" si="32"/>
        <v>0</v>
      </c>
    </row>
    <row r="167" spans="1:19">
      <c r="A167" s="158"/>
      <c r="B167" s="58"/>
      <c r="C167" s="24">
        <f t="shared" si="33"/>
        <v>1</v>
      </c>
      <c r="D167" s="718"/>
      <c r="E167" s="24">
        <f t="shared" si="34"/>
        <v>0.1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0">
        <f t="shared" si="32"/>
        <v>0</v>
      </c>
    </row>
    <row r="168" spans="1:19">
      <c r="A168" s="158"/>
      <c r="B168" s="58"/>
      <c r="C168" s="24">
        <f t="shared" si="33"/>
        <v>1</v>
      </c>
      <c r="D168" s="718"/>
      <c r="E168" s="24">
        <f t="shared" si="34"/>
        <v>0.1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0">
        <f t="shared" si="32"/>
        <v>0</v>
      </c>
    </row>
    <row r="169" spans="1:19">
      <c r="A169" s="158"/>
      <c r="B169" s="58"/>
      <c r="C169" s="24">
        <f t="shared" si="33"/>
        <v>1</v>
      </c>
      <c r="D169" s="718"/>
      <c r="E169" s="24">
        <f t="shared" si="34"/>
        <v>0.1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0">
        <f t="shared" si="32"/>
        <v>0</v>
      </c>
    </row>
    <row r="170" spans="1:19">
      <c r="A170" s="158"/>
      <c r="B170" s="58"/>
      <c r="C170" s="24">
        <f t="shared" si="33"/>
        <v>1</v>
      </c>
      <c r="D170" s="718"/>
      <c r="E170" s="24">
        <f t="shared" si="34"/>
        <v>0.1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0">
        <f t="shared" si="32"/>
        <v>0</v>
      </c>
    </row>
    <row r="171" spans="1:19">
      <c r="A171" s="158"/>
      <c r="B171" s="58"/>
      <c r="C171" s="24">
        <f t="shared" si="33"/>
        <v>1</v>
      </c>
      <c r="D171" s="718"/>
      <c r="E171" s="24">
        <f t="shared" si="34"/>
        <v>0.1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0">
        <f t="shared" si="32"/>
        <v>0</v>
      </c>
    </row>
    <row r="172" spans="1:19">
      <c r="A172" s="158"/>
      <c r="B172" s="58"/>
      <c r="C172" s="24">
        <f t="shared" si="33"/>
        <v>1</v>
      </c>
      <c r="D172" s="718"/>
      <c r="E172" s="24">
        <f t="shared" si="34"/>
        <v>0.1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0">
        <f t="shared" si="32"/>
        <v>0</v>
      </c>
    </row>
    <row r="173" spans="1:19">
      <c r="A173" s="158"/>
      <c r="B173" s="58"/>
      <c r="C173" s="24">
        <f t="shared" si="33"/>
        <v>1</v>
      </c>
      <c r="D173" s="718"/>
      <c r="E173" s="24">
        <f t="shared" si="34"/>
        <v>0.1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0">
        <f t="shared" si="32"/>
        <v>0</v>
      </c>
    </row>
    <row r="174" spans="1:19">
      <c r="A174" s="158"/>
      <c r="B174" s="58"/>
      <c r="C174" s="24">
        <f t="shared" si="33"/>
        <v>1</v>
      </c>
      <c r="D174" s="718"/>
      <c r="E174" s="24">
        <f t="shared" si="34"/>
        <v>0.1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0">
        <f t="shared" si="32"/>
        <v>0</v>
      </c>
    </row>
    <row r="175" spans="1:19">
      <c r="A175" s="158"/>
      <c r="B175" s="58"/>
      <c r="C175" s="24">
        <f t="shared" si="33"/>
        <v>1</v>
      </c>
      <c r="D175" s="718"/>
      <c r="E175" s="24">
        <f t="shared" si="34"/>
        <v>0.1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0">
        <f t="shared" si="32"/>
        <v>0</v>
      </c>
    </row>
    <row r="176" spans="1:19">
      <c r="A176" s="158"/>
      <c r="B176" s="58"/>
      <c r="C176" s="24">
        <f t="shared" si="33"/>
        <v>1</v>
      </c>
      <c r="D176" s="718"/>
      <c r="E176" s="24">
        <f t="shared" si="34"/>
        <v>0.1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0">
        <f t="shared" si="32"/>
        <v>0</v>
      </c>
    </row>
    <row r="177" spans="1:19">
      <c r="A177" s="158"/>
      <c r="B177" s="58"/>
      <c r="C177" s="24">
        <f t="shared" si="33"/>
        <v>1</v>
      </c>
      <c r="D177" s="718"/>
      <c r="E177" s="24">
        <f t="shared" si="34"/>
        <v>0.1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0">
        <f t="shared" si="32"/>
        <v>0</v>
      </c>
    </row>
    <row r="178" spans="1:19">
      <c r="A178" s="158"/>
      <c r="B178" s="58"/>
      <c r="C178" s="24">
        <f t="shared" si="33"/>
        <v>1</v>
      </c>
      <c r="D178" s="718"/>
      <c r="E178" s="24">
        <f t="shared" si="34"/>
        <v>0.1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0">
        <f t="shared" si="32"/>
        <v>0</v>
      </c>
    </row>
    <row r="179" spans="1:19">
      <c r="A179" s="158"/>
      <c r="B179" s="58"/>
      <c r="C179" s="24">
        <f t="shared" si="33"/>
        <v>1</v>
      </c>
      <c r="D179" s="718"/>
      <c r="E179" s="24">
        <f t="shared" si="34"/>
        <v>0.1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0">
        <f t="shared" si="32"/>
        <v>0</v>
      </c>
    </row>
    <row r="180" spans="1:19">
      <c r="A180" s="158"/>
      <c r="B180" s="58"/>
      <c r="C180" s="24">
        <f t="shared" si="33"/>
        <v>1</v>
      </c>
      <c r="D180" s="718"/>
      <c r="E180" s="24">
        <f t="shared" si="34"/>
        <v>0.1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0">
        <f t="shared" si="32"/>
        <v>0</v>
      </c>
    </row>
    <row r="181" spans="1:19">
      <c r="A181" s="158"/>
      <c r="B181" s="58"/>
      <c r="C181" s="24">
        <f t="shared" si="33"/>
        <v>1</v>
      </c>
      <c r="D181" s="718"/>
      <c r="E181" s="24">
        <f t="shared" si="34"/>
        <v>0.1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0">
        <f t="shared" si="32"/>
        <v>0</v>
      </c>
    </row>
    <row r="182" spans="1:19">
      <c r="A182" s="158"/>
      <c r="B182" s="58"/>
      <c r="C182" s="24">
        <f t="shared" si="33"/>
        <v>1</v>
      </c>
      <c r="D182" s="718"/>
      <c r="E182" s="24">
        <f t="shared" si="34"/>
        <v>0.1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0">
        <f t="shared" si="32"/>
        <v>0</v>
      </c>
    </row>
    <row r="183" spans="1:19">
      <c r="A183" s="158"/>
      <c r="B183" s="58"/>
      <c r="C183" s="24">
        <f t="shared" si="33"/>
        <v>1</v>
      </c>
      <c r="D183" s="718"/>
      <c r="E183" s="24">
        <f t="shared" si="34"/>
        <v>0.1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0">
        <f t="shared" si="32"/>
        <v>0</v>
      </c>
    </row>
    <row r="184" spans="1:19">
      <c r="A184" s="158"/>
      <c r="B184" s="58"/>
      <c r="C184" s="24">
        <f t="shared" si="33"/>
        <v>1</v>
      </c>
      <c r="D184" s="718"/>
      <c r="E184" s="24">
        <f t="shared" si="34"/>
        <v>0.1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0">
        <f t="shared" si="32"/>
        <v>0</v>
      </c>
    </row>
    <row r="185" spans="1:19">
      <c r="A185" s="158"/>
      <c r="B185" s="58"/>
      <c r="C185" s="24">
        <f t="shared" si="33"/>
        <v>1</v>
      </c>
      <c r="D185" s="718"/>
      <c r="E185" s="24">
        <f t="shared" si="34"/>
        <v>0.1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0">
        <f t="shared" si="32"/>
        <v>0</v>
      </c>
    </row>
    <row r="186" spans="1:19">
      <c r="A186" s="158"/>
      <c r="B186" s="58"/>
      <c r="C186" s="24">
        <f t="shared" si="33"/>
        <v>1</v>
      </c>
      <c r="D186" s="718"/>
      <c r="E186" s="24">
        <f t="shared" si="34"/>
        <v>0.1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0">
        <f t="shared" si="32"/>
        <v>0</v>
      </c>
    </row>
    <row r="187" spans="1:19">
      <c r="A187" s="158"/>
      <c r="B187" s="58"/>
      <c r="C187" s="24">
        <f t="shared" si="33"/>
        <v>1</v>
      </c>
      <c r="D187" s="718"/>
      <c r="E187" s="24">
        <f t="shared" si="34"/>
        <v>0.1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0">
        <f t="shared" ref="S187:S222" si="42">ROUND(R187*B187/10000,0)</f>
        <v>0</v>
      </c>
    </row>
    <row r="188" spans="1:19">
      <c r="A188" s="158"/>
      <c r="B188" s="58"/>
      <c r="C188" s="24">
        <f t="shared" si="33"/>
        <v>1</v>
      </c>
      <c r="D188" s="718"/>
      <c r="E188" s="24">
        <f t="shared" si="34"/>
        <v>0.1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0">
        <f t="shared" si="42"/>
        <v>0</v>
      </c>
    </row>
    <row r="189" spans="1:19">
      <c r="A189" s="158"/>
      <c r="B189" s="58"/>
      <c r="C189" s="24">
        <f t="shared" si="33"/>
        <v>1</v>
      </c>
      <c r="D189" s="718"/>
      <c r="E189" s="24">
        <f t="shared" si="34"/>
        <v>0.1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0">
        <f t="shared" si="42"/>
        <v>0</v>
      </c>
    </row>
    <row r="190" spans="1:19">
      <c r="A190" s="158"/>
      <c r="B190" s="58"/>
      <c r="C190" s="24">
        <f t="shared" si="33"/>
        <v>1</v>
      </c>
      <c r="D190" s="718"/>
      <c r="E190" s="24">
        <f t="shared" si="34"/>
        <v>0.1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0">
        <f t="shared" si="42"/>
        <v>0</v>
      </c>
    </row>
    <row r="191" spans="1:19">
      <c r="A191" s="158"/>
      <c r="B191" s="58"/>
      <c r="C191" s="24">
        <f t="shared" si="33"/>
        <v>1</v>
      </c>
      <c r="D191" s="718"/>
      <c r="E191" s="24">
        <f t="shared" si="34"/>
        <v>0.1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0">
        <f t="shared" si="42"/>
        <v>0</v>
      </c>
    </row>
    <row r="192" spans="1:19">
      <c r="A192" s="158"/>
      <c r="B192" s="58"/>
      <c r="C192" s="24">
        <f t="shared" si="33"/>
        <v>1</v>
      </c>
      <c r="D192" s="718"/>
      <c r="E192" s="24">
        <f t="shared" si="34"/>
        <v>0.1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0">
        <f t="shared" si="42"/>
        <v>0</v>
      </c>
    </row>
    <row r="193" spans="1:19">
      <c r="A193" s="158"/>
      <c r="B193" s="58"/>
      <c r="C193" s="24">
        <f t="shared" si="33"/>
        <v>1</v>
      </c>
      <c r="D193" s="718"/>
      <c r="E193" s="24">
        <f t="shared" si="34"/>
        <v>0.1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0">
        <f t="shared" si="42"/>
        <v>0</v>
      </c>
    </row>
    <row r="194" spans="1:19">
      <c r="A194" s="158"/>
      <c r="B194" s="58"/>
      <c r="C194" s="24">
        <f t="shared" si="33"/>
        <v>1</v>
      </c>
      <c r="D194" s="718"/>
      <c r="E194" s="24">
        <f t="shared" si="34"/>
        <v>0.1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0">
        <f t="shared" si="42"/>
        <v>0</v>
      </c>
    </row>
    <row r="195" spans="1:19">
      <c r="A195" s="158"/>
      <c r="B195" s="58"/>
      <c r="C195" s="24">
        <f t="shared" si="33"/>
        <v>1</v>
      </c>
      <c r="D195" s="718"/>
      <c r="E195" s="24">
        <f t="shared" si="34"/>
        <v>0.1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0">
        <f t="shared" si="42"/>
        <v>0</v>
      </c>
    </row>
    <row r="196" spans="1:19">
      <c r="A196" s="158"/>
      <c r="B196" s="58"/>
      <c r="C196" s="24">
        <f t="shared" si="33"/>
        <v>1</v>
      </c>
      <c r="D196" s="718"/>
      <c r="E196" s="24">
        <f t="shared" si="34"/>
        <v>0.1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0">
        <f t="shared" si="42"/>
        <v>0</v>
      </c>
    </row>
    <row r="197" spans="1:19">
      <c r="A197" s="158"/>
      <c r="B197" s="58"/>
      <c r="C197" s="24">
        <f t="shared" si="33"/>
        <v>1</v>
      </c>
      <c r="D197" s="718"/>
      <c r="E197" s="24">
        <f t="shared" si="34"/>
        <v>0.1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0">
        <f t="shared" si="42"/>
        <v>0</v>
      </c>
    </row>
    <row r="198" spans="1:19">
      <c r="A198" s="158"/>
      <c r="B198" s="58"/>
      <c r="C198" s="24">
        <f t="shared" si="33"/>
        <v>1</v>
      </c>
      <c r="D198" s="718"/>
      <c r="E198" s="24">
        <f t="shared" si="34"/>
        <v>0.1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0">
        <f t="shared" si="42"/>
        <v>0</v>
      </c>
    </row>
    <row r="199" spans="1:19">
      <c r="A199" s="158"/>
      <c r="B199" s="58"/>
      <c r="C199" s="24">
        <f t="shared" si="33"/>
        <v>1</v>
      </c>
      <c r="D199" s="718"/>
      <c r="E199" s="24">
        <f t="shared" si="34"/>
        <v>0.1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0">
        <f t="shared" si="42"/>
        <v>0</v>
      </c>
    </row>
    <row r="200" spans="1:19">
      <c r="A200" s="158"/>
      <c r="B200" s="58"/>
      <c r="C200" s="24">
        <f t="shared" si="33"/>
        <v>1</v>
      </c>
      <c r="D200" s="718"/>
      <c r="E200" s="24">
        <f t="shared" si="34"/>
        <v>0.1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0">
        <f t="shared" si="42"/>
        <v>0</v>
      </c>
    </row>
    <row r="201" spans="1:19">
      <c r="A201" s="158"/>
      <c r="B201" s="58"/>
      <c r="C201" s="24">
        <f t="shared" si="33"/>
        <v>1</v>
      </c>
      <c r="D201" s="718"/>
      <c r="E201" s="24">
        <f t="shared" si="34"/>
        <v>0.1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0">
        <f t="shared" si="42"/>
        <v>0</v>
      </c>
    </row>
    <row r="202" spans="1:19">
      <c r="A202" s="158"/>
      <c r="B202" s="58"/>
      <c r="C202" s="24">
        <f t="shared" si="33"/>
        <v>1</v>
      </c>
      <c r="D202" s="718"/>
      <c r="E202" s="24">
        <f t="shared" si="34"/>
        <v>0.1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0">
        <f t="shared" si="42"/>
        <v>0</v>
      </c>
    </row>
    <row r="203" spans="1:19">
      <c r="A203" s="158"/>
      <c r="B203" s="58"/>
      <c r="C203" s="24">
        <f t="shared" si="33"/>
        <v>1</v>
      </c>
      <c r="D203" s="718"/>
      <c r="E203" s="24">
        <f t="shared" si="34"/>
        <v>0.1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0">
        <f t="shared" si="42"/>
        <v>0</v>
      </c>
    </row>
    <row r="204" spans="1:19">
      <c r="A204" s="158"/>
      <c r="B204" s="58"/>
      <c r="C204" s="24">
        <f t="shared" si="33"/>
        <v>1</v>
      </c>
      <c r="D204" s="718"/>
      <c r="E204" s="24">
        <f t="shared" si="34"/>
        <v>0.1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0">
        <f t="shared" si="42"/>
        <v>0</v>
      </c>
    </row>
    <row r="205" spans="1:19">
      <c r="A205" s="158"/>
      <c r="B205" s="58"/>
      <c r="C205" s="24">
        <f t="shared" si="33"/>
        <v>1</v>
      </c>
      <c r="D205" s="718"/>
      <c r="E205" s="24">
        <f t="shared" si="34"/>
        <v>0.1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0">
        <f t="shared" si="42"/>
        <v>0</v>
      </c>
    </row>
    <row r="206" spans="1:19">
      <c r="A206" s="158"/>
      <c r="B206" s="58"/>
      <c r="C206" s="24">
        <f t="shared" si="33"/>
        <v>1</v>
      </c>
      <c r="D206" s="718"/>
      <c r="E206" s="24">
        <f t="shared" si="34"/>
        <v>0.1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0">
        <f t="shared" si="42"/>
        <v>0</v>
      </c>
    </row>
    <row r="207" spans="1:19">
      <c r="A207" s="158"/>
      <c r="B207" s="58"/>
      <c r="C207" s="24">
        <f t="shared" si="33"/>
        <v>1</v>
      </c>
      <c r="D207" s="718"/>
      <c r="E207" s="24">
        <f t="shared" si="34"/>
        <v>0.1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0">
        <f t="shared" si="42"/>
        <v>0</v>
      </c>
    </row>
    <row r="208" spans="1:19">
      <c r="A208" s="158"/>
      <c r="B208" s="58"/>
      <c r="C208" s="24">
        <f t="shared" si="33"/>
        <v>1</v>
      </c>
      <c r="D208" s="718"/>
      <c r="E208" s="24">
        <f t="shared" si="34"/>
        <v>0.1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0">
        <f t="shared" si="42"/>
        <v>0</v>
      </c>
    </row>
    <row r="209" spans="1:19">
      <c r="A209" s="158"/>
      <c r="B209" s="58"/>
      <c r="C209" s="24">
        <f t="shared" si="33"/>
        <v>1</v>
      </c>
      <c r="D209" s="718"/>
      <c r="E209" s="24">
        <f t="shared" si="34"/>
        <v>0.1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0">
        <f t="shared" si="42"/>
        <v>0</v>
      </c>
    </row>
    <row r="210" spans="1:19">
      <c r="A210" s="158"/>
      <c r="B210" s="58"/>
      <c r="C210" s="24">
        <f t="shared" si="33"/>
        <v>1</v>
      </c>
      <c r="D210" s="718"/>
      <c r="E210" s="24">
        <f t="shared" si="34"/>
        <v>0.1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0">
        <f t="shared" si="42"/>
        <v>0</v>
      </c>
    </row>
    <row r="211" spans="1:19">
      <c r="A211" s="158"/>
      <c r="B211" s="58"/>
      <c r="C211" s="24">
        <f t="shared" si="33"/>
        <v>1</v>
      </c>
      <c r="D211" s="718"/>
      <c r="E211" s="24">
        <f t="shared" si="34"/>
        <v>0.1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0">
        <f t="shared" si="42"/>
        <v>0</v>
      </c>
    </row>
    <row r="212" spans="1:19">
      <c r="A212" s="158"/>
      <c r="B212" s="58"/>
      <c r="C212" s="24">
        <f t="shared" si="33"/>
        <v>1</v>
      </c>
      <c r="D212" s="718"/>
      <c r="E212" s="24">
        <f t="shared" si="34"/>
        <v>0.1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0">
        <f t="shared" si="42"/>
        <v>0</v>
      </c>
    </row>
    <row r="213" spans="1:19">
      <c r="A213" s="158"/>
      <c r="B213" s="58"/>
      <c r="C213" s="24">
        <f t="shared" si="33"/>
        <v>1</v>
      </c>
      <c r="D213" s="718"/>
      <c r="E213" s="24">
        <f t="shared" si="34"/>
        <v>0.1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0">
        <f t="shared" si="42"/>
        <v>0</v>
      </c>
    </row>
    <row r="214" spans="1:19">
      <c r="A214" s="158"/>
      <c r="B214" s="58"/>
      <c r="C214" s="24">
        <f t="shared" si="33"/>
        <v>1</v>
      </c>
      <c r="D214" s="718"/>
      <c r="E214" s="24">
        <f t="shared" si="34"/>
        <v>0.1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0">
        <f t="shared" si="42"/>
        <v>0</v>
      </c>
    </row>
    <row r="215" spans="1:19">
      <c r="A215" s="158"/>
      <c r="B215" s="58"/>
      <c r="C215" s="24">
        <f t="shared" si="33"/>
        <v>1</v>
      </c>
      <c r="D215" s="718"/>
      <c r="E215" s="24">
        <f t="shared" si="34"/>
        <v>0.1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0">
        <f t="shared" si="42"/>
        <v>0</v>
      </c>
    </row>
    <row r="216" spans="1:19">
      <c r="A216" s="158"/>
      <c r="B216" s="58"/>
      <c r="C216" s="24">
        <f t="shared" si="33"/>
        <v>1</v>
      </c>
      <c r="D216" s="718"/>
      <c r="E216" s="24">
        <f t="shared" si="34"/>
        <v>0.1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0">
        <f t="shared" si="42"/>
        <v>0</v>
      </c>
    </row>
    <row r="217" spans="1:19">
      <c r="A217" s="158"/>
      <c r="B217" s="58"/>
      <c r="C217" s="24">
        <f t="shared" si="33"/>
        <v>1</v>
      </c>
      <c r="D217" s="718"/>
      <c r="E217" s="24">
        <f t="shared" si="34"/>
        <v>0.1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0">
        <f t="shared" si="42"/>
        <v>0</v>
      </c>
    </row>
    <row r="218" spans="1:19">
      <c r="A218" s="158"/>
      <c r="B218" s="58"/>
      <c r="C218" s="24">
        <f t="shared" ref="C218:C281" si="43">IF(B218="",1,(LOOKUP(B218,$3:$3,$4:$4)-LOOKUP($B$24,$3:$3,$4:$4)+100)/100)</f>
        <v>1</v>
      </c>
      <c r="D218" s="718"/>
      <c r="E218" s="24">
        <f t="shared" ref="E218:E281" si="44">(SUMIF($5:$5,D218,$6:$6)-SUMIF($5:$5,$D$24,$6:$6)+100)/100</f>
        <v>0.1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0">
        <f t="shared" si="42"/>
        <v>0</v>
      </c>
    </row>
    <row r="219" spans="1:19">
      <c r="A219" s="158"/>
      <c r="B219" s="58"/>
      <c r="C219" s="24">
        <f t="shared" si="43"/>
        <v>1</v>
      </c>
      <c r="D219" s="718"/>
      <c r="E219" s="24">
        <f t="shared" si="44"/>
        <v>0.1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0">
        <f t="shared" si="42"/>
        <v>0</v>
      </c>
    </row>
    <row r="220" spans="1:19">
      <c r="A220" s="158"/>
      <c r="B220" s="58"/>
      <c r="C220" s="24">
        <f t="shared" si="43"/>
        <v>1</v>
      </c>
      <c r="D220" s="718"/>
      <c r="E220" s="24">
        <f t="shared" si="44"/>
        <v>0.1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0">
        <f t="shared" si="42"/>
        <v>0</v>
      </c>
    </row>
    <row r="221" spans="1:19">
      <c r="A221" s="158"/>
      <c r="B221" s="58"/>
      <c r="C221" s="24">
        <f t="shared" si="43"/>
        <v>1</v>
      </c>
      <c r="D221" s="718"/>
      <c r="E221" s="24">
        <f t="shared" si="44"/>
        <v>0.1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0">
        <f t="shared" si="42"/>
        <v>0</v>
      </c>
    </row>
    <row r="222" spans="1:19">
      <c r="A222" s="158"/>
      <c r="B222" s="58"/>
      <c r="C222" s="24">
        <f t="shared" si="43"/>
        <v>1</v>
      </c>
      <c r="D222" s="718"/>
      <c r="E222" s="24">
        <f t="shared" si="44"/>
        <v>0.1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0">
        <f t="shared" si="42"/>
        <v>0</v>
      </c>
    </row>
    <row r="223" spans="1:19">
      <c r="A223" s="158"/>
      <c r="B223" s="58"/>
      <c r="C223" s="24">
        <f t="shared" si="43"/>
        <v>1</v>
      </c>
      <c r="D223" s="718"/>
      <c r="E223" s="24">
        <f t="shared" si="44"/>
        <v>0.1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0">
        <f t="shared" ref="S223:S286" si="52">ROUND(R223*B223/10000,0)</f>
        <v>0</v>
      </c>
    </row>
    <row r="224" spans="1:19">
      <c r="A224" s="158"/>
      <c r="B224" s="58"/>
      <c r="C224" s="24">
        <f t="shared" si="43"/>
        <v>1</v>
      </c>
      <c r="D224" s="718"/>
      <c r="E224" s="24">
        <f t="shared" si="44"/>
        <v>0.1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0">
        <f t="shared" si="52"/>
        <v>0</v>
      </c>
    </row>
    <row r="225" spans="1:19">
      <c r="A225" s="158"/>
      <c r="B225" s="58"/>
      <c r="C225" s="24">
        <f t="shared" si="43"/>
        <v>1</v>
      </c>
      <c r="D225" s="718"/>
      <c r="E225" s="24">
        <f t="shared" si="44"/>
        <v>0.1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0">
        <f t="shared" si="52"/>
        <v>0</v>
      </c>
    </row>
    <row r="226" spans="1:19">
      <c r="A226" s="158"/>
      <c r="B226" s="58"/>
      <c r="C226" s="24">
        <f t="shared" si="43"/>
        <v>1</v>
      </c>
      <c r="D226" s="718"/>
      <c r="E226" s="24">
        <f t="shared" si="44"/>
        <v>0.1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0">
        <f t="shared" si="52"/>
        <v>0</v>
      </c>
    </row>
    <row r="227" spans="1:19">
      <c r="A227" s="158"/>
      <c r="B227" s="58"/>
      <c r="C227" s="24">
        <f t="shared" si="43"/>
        <v>1</v>
      </c>
      <c r="D227" s="718"/>
      <c r="E227" s="24">
        <f t="shared" si="44"/>
        <v>0.1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0">
        <f t="shared" si="52"/>
        <v>0</v>
      </c>
    </row>
    <row r="228" spans="1:19">
      <c r="A228" s="158"/>
      <c r="B228" s="58"/>
      <c r="C228" s="24">
        <f t="shared" si="43"/>
        <v>1</v>
      </c>
      <c r="D228" s="718"/>
      <c r="E228" s="24">
        <f t="shared" si="44"/>
        <v>0.1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0">
        <f t="shared" si="52"/>
        <v>0</v>
      </c>
    </row>
    <row r="229" spans="1:19">
      <c r="A229" s="158"/>
      <c r="B229" s="58"/>
      <c r="C229" s="24">
        <f t="shared" si="43"/>
        <v>1</v>
      </c>
      <c r="D229" s="718"/>
      <c r="E229" s="24">
        <f t="shared" si="44"/>
        <v>0.1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0">
        <f t="shared" si="52"/>
        <v>0</v>
      </c>
    </row>
    <row r="230" spans="1:19">
      <c r="A230" s="158"/>
      <c r="B230" s="58"/>
      <c r="C230" s="24">
        <f t="shared" si="43"/>
        <v>1</v>
      </c>
      <c r="D230" s="718"/>
      <c r="E230" s="24">
        <f t="shared" si="44"/>
        <v>0.1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0">
        <f t="shared" si="52"/>
        <v>0</v>
      </c>
    </row>
    <row r="231" spans="1:19">
      <c r="A231" s="158"/>
      <c r="B231" s="58"/>
      <c r="C231" s="24">
        <f t="shared" si="43"/>
        <v>1</v>
      </c>
      <c r="D231" s="718"/>
      <c r="E231" s="24">
        <f t="shared" si="44"/>
        <v>0.1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0">
        <f t="shared" si="52"/>
        <v>0</v>
      </c>
    </row>
    <row r="232" spans="1:19">
      <c r="A232" s="158"/>
      <c r="B232" s="58"/>
      <c r="C232" s="24">
        <f t="shared" si="43"/>
        <v>1</v>
      </c>
      <c r="D232" s="718"/>
      <c r="E232" s="24">
        <f t="shared" si="44"/>
        <v>0.1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0">
        <f t="shared" si="52"/>
        <v>0</v>
      </c>
    </row>
    <row r="233" spans="1:19">
      <c r="A233" s="158"/>
      <c r="B233" s="58"/>
      <c r="C233" s="24">
        <f t="shared" si="43"/>
        <v>1</v>
      </c>
      <c r="D233" s="718"/>
      <c r="E233" s="24">
        <f t="shared" si="44"/>
        <v>0.1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0">
        <f t="shared" si="52"/>
        <v>0</v>
      </c>
    </row>
    <row r="234" spans="1:19">
      <c r="A234" s="158"/>
      <c r="B234" s="58"/>
      <c r="C234" s="24">
        <f t="shared" si="43"/>
        <v>1</v>
      </c>
      <c r="D234" s="718"/>
      <c r="E234" s="24">
        <f t="shared" si="44"/>
        <v>0.1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0">
        <f t="shared" si="52"/>
        <v>0</v>
      </c>
    </row>
    <row r="235" spans="1:19">
      <c r="A235" s="158"/>
      <c r="B235" s="58"/>
      <c r="C235" s="24">
        <f t="shared" si="43"/>
        <v>1</v>
      </c>
      <c r="D235" s="718"/>
      <c r="E235" s="24">
        <f t="shared" si="44"/>
        <v>0.1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0">
        <f t="shared" si="52"/>
        <v>0</v>
      </c>
    </row>
    <row r="236" spans="1:19">
      <c r="A236" s="158"/>
      <c r="B236" s="58"/>
      <c r="C236" s="24">
        <f t="shared" si="43"/>
        <v>1</v>
      </c>
      <c r="D236" s="718"/>
      <c r="E236" s="24">
        <f t="shared" si="44"/>
        <v>0.1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0">
        <f t="shared" si="52"/>
        <v>0</v>
      </c>
    </row>
    <row r="237" spans="1:19">
      <c r="A237" s="158"/>
      <c r="B237" s="58"/>
      <c r="C237" s="24">
        <f t="shared" si="43"/>
        <v>1</v>
      </c>
      <c r="D237" s="718"/>
      <c r="E237" s="24">
        <f t="shared" si="44"/>
        <v>0.1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0">
        <f t="shared" si="52"/>
        <v>0</v>
      </c>
    </row>
    <row r="238" spans="1:19">
      <c r="A238" s="158"/>
      <c r="B238" s="58"/>
      <c r="C238" s="24">
        <f t="shared" si="43"/>
        <v>1</v>
      </c>
      <c r="D238" s="718"/>
      <c r="E238" s="24">
        <f t="shared" si="44"/>
        <v>0.1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0">
        <f t="shared" si="52"/>
        <v>0</v>
      </c>
    </row>
    <row r="239" spans="1:19">
      <c r="A239" s="158"/>
      <c r="B239" s="58"/>
      <c r="C239" s="24">
        <f t="shared" si="43"/>
        <v>1</v>
      </c>
      <c r="D239" s="718"/>
      <c r="E239" s="24">
        <f t="shared" si="44"/>
        <v>0.1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0">
        <f t="shared" si="52"/>
        <v>0</v>
      </c>
    </row>
    <row r="240" spans="1:19">
      <c r="A240" s="158"/>
      <c r="B240" s="58"/>
      <c r="C240" s="24">
        <f t="shared" si="43"/>
        <v>1</v>
      </c>
      <c r="D240" s="718"/>
      <c r="E240" s="24">
        <f t="shared" si="44"/>
        <v>0.1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0">
        <f t="shared" si="52"/>
        <v>0</v>
      </c>
    </row>
    <row r="241" spans="1:19">
      <c r="A241" s="158"/>
      <c r="B241" s="58"/>
      <c r="C241" s="24">
        <f t="shared" si="43"/>
        <v>1</v>
      </c>
      <c r="D241" s="718"/>
      <c r="E241" s="24">
        <f t="shared" si="44"/>
        <v>0.1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0">
        <f t="shared" si="52"/>
        <v>0</v>
      </c>
    </row>
    <row r="242" spans="1:19">
      <c r="A242" s="158"/>
      <c r="B242" s="58"/>
      <c r="C242" s="24">
        <f t="shared" si="43"/>
        <v>1</v>
      </c>
      <c r="D242" s="718"/>
      <c r="E242" s="24">
        <f t="shared" si="44"/>
        <v>0.1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0">
        <f t="shared" si="52"/>
        <v>0</v>
      </c>
    </row>
    <row r="243" spans="1:19">
      <c r="A243" s="158"/>
      <c r="B243" s="58"/>
      <c r="C243" s="24">
        <f t="shared" si="43"/>
        <v>1</v>
      </c>
      <c r="D243" s="718"/>
      <c r="E243" s="24">
        <f t="shared" si="44"/>
        <v>0.1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0">
        <f t="shared" si="52"/>
        <v>0</v>
      </c>
    </row>
    <row r="244" spans="1:19">
      <c r="A244" s="158"/>
      <c r="B244" s="58"/>
      <c r="C244" s="24">
        <f t="shared" si="43"/>
        <v>1</v>
      </c>
      <c r="D244" s="718"/>
      <c r="E244" s="24">
        <f t="shared" si="44"/>
        <v>0.1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0">
        <f t="shared" si="52"/>
        <v>0</v>
      </c>
    </row>
    <row r="245" spans="1:19">
      <c r="A245" s="158"/>
      <c r="B245" s="58"/>
      <c r="C245" s="24">
        <f t="shared" si="43"/>
        <v>1</v>
      </c>
      <c r="D245" s="718"/>
      <c r="E245" s="24">
        <f t="shared" si="44"/>
        <v>0.1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0">
        <f t="shared" si="52"/>
        <v>0</v>
      </c>
    </row>
    <row r="246" spans="1:19">
      <c r="A246" s="158"/>
      <c r="B246" s="58"/>
      <c r="C246" s="24">
        <f t="shared" si="43"/>
        <v>1</v>
      </c>
      <c r="D246" s="718"/>
      <c r="E246" s="24">
        <f t="shared" si="44"/>
        <v>0.1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0">
        <f t="shared" si="52"/>
        <v>0</v>
      </c>
    </row>
    <row r="247" spans="1:19">
      <c r="A247" s="158"/>
      <c r="B247" s="58"/>
      <c r="C247" s="24">
        <f t="shared" si="43"/>
        <v>1</v>
      </c>
      <c r="D247" s="718"/>
      <c r="E247" s="24">
        <f t="shared" si="44"/>
        <v>0.1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0">
        <f t="shared" si="52"/>
        <v>0</v>
      </c>
    </row>
    <row r="248" spans="1:19">
      <c r="A248" s="158"/>
      <c r="B248" s="58"/>
      <c r="C248" s="24">
        <f t="shared" si="43"/>
        <v>1</v>
      </c>
      <c r="D248" s="718"/>
      <c r="E248" s="24">
        <f t="shared" si="44"/>
        <v>0.1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0">
        <f t="shared" si="52"/>
        <v>0</v>
      </c>
    </row>
    <row r="249" spans="1:19">
      <c r="A249" s="158"/>
      <c r="B249" s="58"/>
      <c r="C249" s="24">
        <f t="shared" si="43"/>
        <v>1</v>
      </c>
      <c r="D249" s="718"/>
      <c r="E249" s="24">
        <f t="shared" si="44"/>
        <v>0.1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0">
        <f t="shared" si="52"/>
        <v>0</v>
      </c>
    </row>
    <row r="250" spans="1:19">
      <c r="A250" s="158"/>
      <c r="B250" s="58"/>
      <c r="C250" s="24">
        <f t="shared" si="43"/>
        <v>1</v>
      </c>
      <c r="D250" s="718"/>
      <c r="E250" s="24">
        <f t="shared" si="44"/>
        <v>0.1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0">
        <f t="shared" si="52"/>
        <v>0</v>
      </c>
    </row>
    <row r="251" spans="1:19">
      <c r="A251" s="158"/>
      <c r="B251" s="58"/>
      <c r="C251" s="24">
        <f t="shared" si="43"/>
        <v>1</v>
      </c>
      <c r="D251" s="718"/>
      <c r="E251" s="24">
        <f t="shared" si="44"/>
        <v>0.1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0">
        <f t="shared" si="52"/>
        <v>0</v>
      </c>
    </row>
    <row r="252" spans="1:19">
      <c r="A252" s="158"/>
      <c r="B252" s="58"/>
      <c r="C252" s="24">
        <f t="shared" si="43"/>
        <v>1</v>
      </c>
      <c r="D252" s="718"/>
      <c r="E252" s="24">
        <f t="shared" si="44"/>
        <v>0.1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0">
        <f t="shared" si="52"/>
        <v>0</v>
      </c>
    </row>
    <row r="253" spans="1:19">
      <c r="A253" s="158"/>
      <c r="B253" s="58"/>
      <c r="C253" s="24">
        <f t="shared" si="43"/>
        <v>1</v>
      </c>
      <c r="D253" s="718"/>
      <c r="E253" s="24">
        <f t="shared" si="44"/>
        <v>0.1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0">
        <f t="shared" si="52"/>
        <v>0</v>
      </c>
    </row>
    <row r="254" spans="1:19">
      <c r="A254" s="158"/>
      <c r="B254" s="58"/>
      <c r="C254" s="24">
        <f t="shared" si="43"/>
        <v>1</v>
      </c>
      <c r="D254" s="718"/>
      <c r="E254" s="24">
        <f t="shared" si="44"/>
        <v>0.1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0">
        <f t="shared" si="52"/>
        <v>0</v>
      </c>
    </row>
    <row r="255" spans="1:19">
      <c r="A255" s="158"/>
      <c r="B255" s="58"/>
      <c r="C255" s="24">
        <f t="shared" si="43"/>
        <v>1</v>
      </c>
      <c r="D255" s="718"/>
      <c r="E255" s="24">
        <f t="shared" si="44"/>
        <v>0.1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0">
        <f t="shared" si="52"/>
        <v>0</v>
      </c>
    </row>
    <row r="256" spans="1:19">
      <c r="A256" s="158"/>
      <c r="B256" s="58"/>
      <c r="C256" s="24">
        <f t="shared" si="43"/>
        <v>1</v>
      </c>
      <c r="D256" s="718"/>
      <c r="E256" s="24">
        <f t="shared" si="44"/>
        <v>0.1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0">
        <f t="shared" si="52"/>
        <v>0</v>
      </c>
    </row>
    <row r="257" spans="1:19">
      <c r="A257" s="158"/>
      <c r="B257" s="58"/>
      <c r="C257" s="24">
        <f t="shared" si="43"/>
        <v>1</v>
      </c>
      <c r="D257" s="718"/>
      <c r="E257" s="24">
        <f t="shared" si="44"/>
        <v>0.1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0">
        <f t="shared" si="52"/>
        <v>0</v>
      </c>
    </row>
    <row r="258" spans="1:19">
      <c r="A258" s="158"/>
      <c r="B258" s="58"/>
      <c r="C258" s="24">
        <f t="shared" si="43"/>
        <v>1</v>
      </c>
      <c r="D258" s="718"/>
      <c r="E258" s="24">
        <f t="shared" si="44"/>
        <v>0.1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0">
        <f t="shared" si="52"/>
        <v>0</v>
      </c>
    </row>
    <row r="259" spans="1:19">
      <c r="A259" s="158"/>
      <c r="B259" s="58"/>
      <c r="C259" s="24">
        <f t="shared" si="43"/>
        <v>1</v>
      </c>
      <c r="D259" s="718"/>
      <c r="E259" s="24">
        <f t="shared" si="44"/>
        <v>0.1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0">
        <f t="shared" si="52"/>
        <v>0</v>
      </c>
    </row>
    <row r="260" spans="1:19">
      <c r="A260" s="158"/>
      <c r="B260" s="58"/>
      <c r="C260" s="24">
        <f t="shared" si="43"/>
        <v>1</v>
      </c>
      <c r="D260" s="718"/>
      <c r="E260" s="24">
        <f t="shared" si="44"/>
        <v>0.1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0">
        <f t="shared" si="52"/>
        <v>0</v>
      </c>
    </row>
    <row r="261" spans="1:19">
      <c r="A261" s="158"/>
      <c r="B261" s="58"/>
      <c r="C261" s="24">
        <f t="shared" si="43"/>
        <v>1</v>
      </c>
      <c r="D261" s="718"/>
      <c r="E261" s="24">
        <f t="shared" si="44"/>
        <v>0.1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0">
        <f t="shared" si="52"/>
        <v>0</v>
      </c>
    </row>
    <row r="262" spans="1:19">
      <c r="A262" s="158"/>
      <c r="B262" s="58"/>
      <c r="C262" s="24">
        <f t="shared" si="43"/>
        <v>1</v>
      </c>
      <c r="D262" s="718"/>
      <c r="E262" s="24">
        <f t="shared" si="44"/>
        <v>0.1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0">
        <f t="shared" si="52"/>
        <v>0</v>
      </c>
    </row>
    <row r="263" spans="1:19">
      <c r="A263" s="158"/>
      <c r="B263" s="58"/>
      <c r="C263" s="24">
        <f t="shared" si="43"/>
        <v>1</v>
      </c>
      <c r="D263" s="718"/>
      <c r="E263" s="24">
        <f t="shared" si="44"/>
        <v>0.1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0">
        <f t="shared" si="52"/>
        <v>0</v>
      </c>
    </row>
    <row r="264" spans="1:19">
      <c r="A264" s="158"/>
      <c r="B264" s="58"/>
      <c r="C264" s="24">
        <f t="shared" si="43"/>
        <v>1</v>
      </c>
      <c r="D264" s="718"/>
      <c r="E264" s="24">
        <f t="shared" si="44"/>
        <v>0.1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0">
        <f t="shared" si="52"/>
        <v>0</v>
      </c>
    </row>
    <row r="265" spans="1:19">
      <c r="A265" s="158"/>
      <c r="B265" s="58"/>
      <c r="C265" s="24">
        <f t="shared" si="43"/>
        <v>1</v>
      </c>
      <c r="D265" s="718"/>
      <c r="E265" s="24">
        <f t="shared" si="44"/>
        <v>0.1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0">
        <f t="shared" si="52"/>
        <v>0</v>
      </c>
    </row>
    <row r="266" spans="1:19">
      <c r="A266" s="158"/>
      <c r="B266" s="58"/>
      <c r="C266" s="24">
        <f t="shared" si="43"/>
        <v>1</v>
      </c>
      <c r="D266" s="718"/>
      <c r="E266" s="24">
        <f t="shared" si="44"/>
        <v>0.1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0">
        <f t="shared" si="52"/>
        <v>0</v>
      </c>
    </row>
    <row r="267" spans="1:19">
      <c r="A267" s="158"/>
      <c r="B267" s="58"/>
      <c r="C267" s="24">
        <f t="shared" si="43"/>
        <v>1</v>
      </c>
      <c r="D267" s="718"/>
      <c r="E267" s="24">
        <f t="shared" si="44"/>
        <v>0.1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0">
        <f t="shared" si="52"/>
        <v>0</v>
      </c>
    </row>
    <row r="268" spans="1:19">
      <c r="A268" s="158"/>
      <c r="B268" s="58"/>
      <c r="C268" s="24">
        <f t="shared" si="43"/>
        <v>1</v>
      </c>
      <c r="D268" s="718"/>
      <c r="E268" s="24">
        <f t="shared" si="44"/>
        <v>0.1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0">
        <f t="shared" si="52"/>
        <v>0</v>
      </c>
    </row>
    <row r="269" spans="1:19">
      <c r="A269" s="158"/>
      <c r="B269" s="58"/>
      <c r="C269" s="24">
        <f t="shared" si="43"/>
        <v>1</v>
      </c>
      <c r="D269" s="718"/>
      <c r="E269" s="24">
        <f t="shared" si="44"/>
        <v>0.1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0">
        <f t="shared" si="52"/>
        <v>0</v>
      </c>
    </row>
    <row r="270" spans="1:19">
      <c r="A270" s="158"/>
      <c r="B270" s="58"/>
      <c r="C270" s="24">
        <f t="shared" si="43"/>
        <v>1</v>
      </c>
      <c r="D270" s="718"/>
      <c r="E270" s="24">
        <f t="shared" si="44"/>
        <v>0.1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0">
        <f t="shared" si="52"/>
        <v>0</v>
      </c>
    </row>
    <row r="271" spans="1:19">
      <c r="A271" s="158"/>
      <c r="B271" s="58"/>
      <c r="C271" s="24">
        <f t="shared" si="43"/>
        <v>1</v>
      </c>
      <c r="D271" s="718"/>
      <c r="E271" s="24">
        <f t="shared" si="44"/>
        <v>0.1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0">
        <f t="shared" si="52"/>
        <v>0</v>
      </c>
    </row>
    <row r="272" spans="1:19">
      <c r="A272" s="158"/>
      <c r="B272" s="58"/>
      <c r="C272" s="24">
        <f t="shared" si="43"/>
        <v>1</v>
      </c>
      <c r="D272" s="718"/>
      <c r="E272" s="24">
        <f t="shared" si="44"/>
        <v>0.1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0">
        <f t="shared" si="52"/>
        <v>0</v>
      </c>
    </row>
    <row r="273" spans="1:19">
      <c r="A273" s="158"/>
      <c r="B273" s="58"/>
      <c r="C273" s="24">
        <f t="shared" si="43"/>
        <v>1</v>
      </c>
      <c r="D273" s="718"/>
      <c r="E273" s="24">
        <f t="shared" si="44"/>
        <v>0.1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0">
        <f t="shared" si="52"/>
        <v>0</v>
      </c>
    </row>
    <row r="274" spans="1:19">
      <c r="A274" s="158"/>
      <c r="B274" s="58"/>
      <c r="C274" s="24">
        <f t="shared" si="43"/>
        <v>1</v>
      </c>
      <c r="D274" s="718"/>
      <c r="E274" s="24">
        <f t="shared" si="44"/>
        <v>0.1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0">
        <f t="shared" si="52"/>
        <v>0</v>
      </c>
    </row>
    <row r="275" spans="1:19">
      <c r="A275" s="158"/>
      <c r="B275" s="58"/>
      <c r="C275" s="24">
        <f t="shared" si="43"/>
        <v>1</v>
      </c>
      <c r="D275" s="718"/>
      <c r="E275" s="24">
        <f t="shared" si="44"/>
        <v>0.1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0">
        <f t="shared" si="52"/>
        <v>0</v>
      </c>
    </row>
    <row r="276" spans="1:19">
      <c r="A276" s="158"/>
      <c r="B276" s="58"/>
      <c r="C276" s="24">
        <f t="shared" si="43"/>
        <v>1</v>
      </c>
      <c r="D276" s="718"/>
      <c r="E276" s="24">
        <f t="shared" si="44"/>
        <v>0.1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0">
        <f t="shared" si="52"/>
        <v>0</v>
      </c>
    </row>
    <row r="277" spans="1:19">
      <c r="A277" s="158"/>
      <c r="B277" s="58"/>
      <c r="C277" s="24">
        <f t="shared" si="43"/>
        <v>1</v>
      </c>
      <c r="D277" s="718"/>
      <c r="E277" s="24">
        <f t="shared" si="44"/>
        <v>0.1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0">
        <f t="shared" si="52"/>
        <v>0</v>
      </c>
    </row>
    <row r="278" spans="1:19">
      <c r="A278" s="158"/>
      <c r="B278" s="58"/>
      <c r="C278" s="24">
        <f t="shared" si="43"/>
        <v>1</v>
      </c>
      <c r="D278" s="718"/>
      <c r="E278" s="24">
        <f t="shared" si="44"/>
        <v>0.1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0">
        <f t="shared" si="52"/>
        <v>0</v>
      </c>
    </row>
    <row r="279" spans="1:19">
      <c r="A279" s="158"/>
      <c r="B279" s="58"/>
      <c r="C279" s="24">
        <f t="shared" si="43"/>
        <v>1</v>
      </c>
      <c r="D279" s="718"/>
      <c r="E279" s="24">
        <f t="shared" si="44"/>
        <v>0.1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0">
        <f t="shared" si="52"/>
        <v>0</v>
      </c>
    </row>
    <row r="280" spans="1:19">
      <c r="A280" s="158"/>
      <c r="B280" s="58"/>
      <c r="C280" s="24">
        <f t="shared" si="43"/>
        <v>1</v>
      </c>
      <c r="D280" s="718"/>
      <c r="E280" s="24">
        <f t="shared" si="44"/>
        <v>0.1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0">
        <f t="shared" si="52"/>
        <v>0</v>
      </c>
    </row>
    <row r="281" spans="1:19">
      <c r="A281" s="158"/>
      <c r="B281" s="58"/>
      <c r="C281" s="24">
        <f t="shared" si="43"/>
        <v>1</v>
      </c>
      <c r="D281" s="718"/>
      <c r="E281" s="24">
        <f t="shared" si="44"/>
        <v>0.1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0">
        <f t="shared" si="52"/>
        <v>0</v>
      </c>
    </row>
    <row r="282" spans="1:19">
      <c r="A282" s="158"/>
      <c r="B282" s="58"/>
      <c r="C282" s="24">
        <f t="shared" ref="C282:C345" si="53">IF(B282="",1,(LOOKUP(B282,$3:$3,$4:$4)-LOOKUP($B$24,$3:$3,$4:$4)+100)/100)</f>
        <v>1</v>
      </c>
      <c r="D282" s="718"/>
      <c r="E282" s="24">
        <f t="shared" ref="E282:E345" si="54">(SUMIF($5:$5,D282,$6:$6)-SUMIF($5:$5,$D$24,$6:$6)+100)/100</f>
        <v>0.1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0">
        <f t="shared" si="52"/>
        <v>0</v>
      </c>
    </row>
    <row r="283" spans="1:19">
      <c r="A283" s="158"/>
      <c r="B283" s="58"/>
      <c r="C283" s="24">
        <f t="shared" si="53"/>
        <v>1</v>
      </c>
      <c r="D283" s="718"/>
      <c r="E283" s="24">
        <f t="shared" si="54"/>
        <v>0.1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0">
        <f t="shared" si="52"/>
        <v>0</v>
      </c>
    </row>
    <row r="284" spans="1:19">
      <c r="A284" s="158"/>
      <c r="B284" s="58"/>
      <c r="C284" s="24">
        <f t="shared" si="53"/>
        <v>1</v>
      </c>
      <c r="D284" s="718"/>
      <c r="E284" s="24">
        <f t="shared" si="54"/>
        <v>0.1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0">
        <f t="shared" si="52"/>
        <v>0</v>
      </c>
    </row>
    <row r="285" spans="1:19">
      <c r="A285" s="158"/>
      <c r="B285" s="58"/>
      <c r="C285" s="24">
        <f t="shared" si="53"/>
        <v>1</v>
      </c>
      <c r="D285" s="718"/>
      <c r="E285" s="24">
        <f t="shared" si="54"/>
        <v>0.1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0">
        <f t="shared" si="52"/>
        <v>0</v>
      </c>
    </row>
    <row r="286" spans="1:19">
      <c r="A286" s="158"/>
      <c r="B286" s="58"/>
      <c r="C286" s="24">
        <f t="shared" si="53"/>
        <v>1</v>
      </c>
      <c r="D286" s="718"/>
      <c r="E286" s="24">
        <f t="shared" si="54"/>
        <v>0.1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0">
        <f t="shared" si="52"/>
        <v>0</v>
      </c>
    </row>
    <row r="287" spans="1:19">
      <c r="A287" s="158"/>
      <c r="B287" s="58"/>
      <c r="C287" s="24">
        <f t="shared" si="53"/>
        <v>1</v>
      </c>
      <c r="D287" s="718"/>
      <c r="E287" s="24">
        <f t="shared" si="54"/>
        <v>0.1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0">
        <f t="shared" ref="S287:S320" si="62">ROUND(R287*B287/10000,0)</f>
        <v>0</v>
      </c>
    </row>
    <row r="288" spans="1:19">
      <c r="A288" s="158"/>
      <c r="B288" s="58"/>
      <c r="C288" s="24">
        <f t="shared" si="53"/>
        <v>1</v>
      </c>
      <c r="D288" s="718"/>
      <c r="E288" s="24">
        <f t="shared" si="54"/>
        <v>0.1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0">
        <f t="shared" si="62"/>
        <v>0</v>
      </c>
    </row>
    <row r="289" spans="1:19">
      <c r="A289" s="158"/>
      <c r="B289" s="58"/>
      <c r="C289" s="24">
        <f t="shared" si="53"/>
        <v>1</v>
      </c>
      <c r="D289" s="718"/>
      <c r="E289" s="24">
        <f t="shared" si="54"/>
        <v>0.1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0">
        <f t="shared" si="62"/>
        <v>0</v>
      </c>
    </row>
    <row r="290" spans="1:19">
      <c r="A290" s="158"/>
      <c r="B290" s="58"/>
      <c r="C290" s="24">
        <f t="shared" si="53"/>
        <v>1</v>
      </c>
      <c r="D290" s="718"/>
      <c r="E290" s="24">
        <f t="shared" si="54"/>
        <v>0.1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0">
        <f t="shared" si="62"/>
        <v>0</v>
      </c>
    </row>
    <row r="291" spans="1:19">
      <c r="A291" s="158"/>
      <c r="B291" s="58"/>
      <c r="C291" s="24">
        <f t="shared" si="53"/>
        <v>1</v>
      </c>
      <c r="D291" s="718"/>
      <c r="E291" s="24">
        <f t="shared" si="54"/>
        <v>0.1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0">
        <f t="shared" si="62"/>
        <v>0</v>
      </c>
    </row>
    <row r="292" spans="1:19">
      <c r="A292" s="158"/>
      <c r="B292" s="58"/>
      <c r="C292" s="24">
        <f t="shared" si="53"/>
        <v>1</v>
      </c>
      <c r="D292" s="718"/>
      <c r="E292" s="24">
        <f t="shared" si="54"/>
        <v>0.1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0">
        <f t="shared" si="62"/>
        <v>0</v>
      </c>
    </row>
    <row r="293" spans="1:19">
      <c r="A293" s="158"/>
      <c r="B293" s="58"/>
      <c r="C293" s="24">
        <f t="shared" si="53"/>
        <v>1</v>
      </c>
      <c r="D293" s="718"/>
      <c r="E293" s="24">
        <f t="shared" si="54"/>
        <v>0.1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0">
        <f t="shared" si="62"/>
        <v>0</v>
      </c>
    </row>
    <row r="294" spans="1:19">
      <c r="A294" s="158"/>
      <c r="B294" s="58"/>
      <c r="C294" s="24">
        <f t="shared" si="53"/>
        <v>1</v>
      </c>
      <c r="D294" s="718"/>
      <c r="E294" s="24">
        <f t="shared" si="54"/>
        <v>0.1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0">
        <f t="shared" si="62"/>
        <v>0</v>
      </c>
    </row>
    <row r="295" spans="1:19">
      <c r="A295" s="158"/>
      <c r="B295" s="58"/>
      <c r="C295" s="24">
        <f t="shared" si="53"/>
        <v>1</v>
      </c>
      <c r="D295" s="718"/>
      <c r="E295" s="24">
        <f t="shared" si="54"/>
        <v>0.1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0">
        <f t="shared" si="62"/>
        <v>0</v>
      </c>
    </row>
    <row r="296" spans="1:19">
      <c r="A296" s="158"/>
      <c r="B296" s="58"/>
      <c r="C296" s="24">
        <f t="shared" si="53"/>
        <v>1</v>
      </c>
      <c r="D296" s="718"/>
      <c r="E296" s="24">
        <f t="shared" si="54"/>
        <v>0.1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0">
        <f t="shared" si="62"/>
        <v>0</v>
      </c>
    </row>
    <row r="297" spans="1:19">
      <c r="A297" s="158"/>
      <c r="B297" s="58"/>
      <c r="C297" s="24">
        <f t="shared" si="53"/>
        <v>1</v>
      </c>
      <c r="D297" s="718"/>
      <c r="E297" s="24">
        <f t="shared" si="54"/>
        <v>0.1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0">
        <f t="shared" si="62"/>
        <v>0</v>
      </c>
    </row>
    <row r="298" spans="1:19">
      <c r="A298" s="158"/>
      <c r="B298" s="58"/>
      <c r="C298" s="24">
        <f t="shared" si="53"/>
        <v>1</v>
      </c>
      <c r="D298" s="718"/>
      <c r="E298" s="24">
        <f t="shared" si="54"/>
        <v>0.1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0">
        <f t="shared" si="62"/>
        <v>0</v>
      </c>
    </row>
    <row r="299" spans="1:19">
      <c r="A299" s="158"/>
      <c r="B299" s="58"/>
      <c r="C299" s="24">
        <f t="shared" si="53"/>
        <v>1</v>
      </c>
      <c r="D299" s="718"/>
      <c r="E299" s="24">
        <f t="shared" si="54"/>
        <v>0.1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0">
        <f t="shared" si="62"/>
        <v>0</v>
      </c>
    </row>
    <row r="300" spans="1:19">
      <c r="A300" s="158"/>
      <c r="B300" s="58"/>
      <c r="C300" s="24">
        <f t="shared" si="53"/>
        <v>1</v>
      </c>
      <c r="D300" s="718"/>
      <c r="E300" s="24">
        <f t="shared" si="54"/>
        <v>0.1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0">
        <f t="shared" si="62"/>
        <v>0</v>
      </c>
    </row>
    <row r="301" spans="1:19">
      <c r="A301" s="158"/>
      <c r="B301" s="58"/>
      <c r="C301" s="24">
        <f t="shared" si="53"/>
        <v>1</v>
      </c>
      <c r="D301" s="718"/>
      <c r="E301" s="24">
        <f t="shared" si="54"/>
        <v>0.1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0">
        <f t="shared" si="62"/>
        <v>0</v>
      </c>
    </row>
    <row r="302" spans="1:19">
      <c r="A302" s="158"/>
      <c r="B302" s="58"/>
      <c r="C302" s="24">
        <f t="shared" si="53"/>
        <v>1</v>
      </c>
      <c r="D302" s="718"/>
      <c r="E302" s="24">
        <f t="shared" si="54"/>
        <v>0.1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0">
        <f t="shared" si="62"/>
        <v>0</v>
      </c>
    </row>
    <row r="303" spans="1:19">
      <c r="A303" s="158"/>
      <c r="B303" s="58"/>
      <c r="C303" s="24">
        <f t="shared" si="53"/>
        <v>1</v>
      </c>
      <c r="D303" s="718"/>
      <c r="E303" s="24">
        <f t="shared" si="54"/>
        <v>0.1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0">
        <f t="shared" si="62"/>
        <v>0</v>
      </c>
    </row>
    <row r="304" spans="1:19">
      <c r="A304" s="158"/>
      <c r="B304" s="58"/>
      <c r="C304" s="24">
        <f t="shared" si="53"/>
        <v>1</v>
      </c>
      <c r="D304" s="718"/>
      <c r="E304" s="24">
        <f t="shared" si="54"/>
        <v>0.1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0">
        <f t="shared" si="62"/>
        <v>0</v>
      </c>
    </row>
    <row r="305" spans="1:19">
      <c r="A305" s="158"/>
      <c r="B305" s="58"/>
      <c r="C305" s="24">
        <f t="shared" si="53"/>
        <v>1</v>
      </c>
      <c r="D305" s="718"/>
      <c r="E305" s="24">
        <f t="shared" si="54"/>
        <v>0.1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0">
        <f t="shared" si="62"/>
        <v>0</v>
      </c>
    </row>
    <row r="306" spans="1:19">
      <c r="A306" s="158"/>
      <c r="B306" s="58"/>
      <c r="C306" s="24">
        <f t="shared" si="53"/>
        <v>1</v>
      </c>
      <c r="D306" s="718"/>
      <c r="E306" s="24">
        <f t="shared" si="54"/>
        <v>0.1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0">
        <f t="shared" si="62"/>
        <v>0</v>
      </c>
    </row>
    <row r="307" spans="1:19">
      <c r="A307" s="158"/>
      <c r="B307" s="58"/>
      <c r="C307" s="24">
        <f t="shared" si="53"/>
        <v>1</v>
      </c>
      <c r="D307" s="718"/>
      <c r="E307" s="24">
        <f t="shared" si="54"/>
        <v>0.1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0">
        <f t="shared" si="62"/>
        <v>0</v>
      </c>
    </row>
    <row r="308" spans="1:19">
      <c r="A308" s="158"/>
      <c r="B308" s="58"/>
      <c r="C308" s="24">
        <f t="shared" si="53"/>
        <v>1</v>
      </c>
      <c r="D308" s="718"/>
      <c r="E308" s="24">
        <f t="shared" si="54"/>
        <v>0.1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0">
        <f t="shared" si="62"/>
        <v>0</v>
      </c>
    </row>
    <row r="309" spans="1:19">
      <c r="A309" s="158"/>
      <c r="B309" s="58"/>
      <c r="C309" s="24">
        <f t="shared" si="53"/>
        <v>1</v>
      </c>
      <c r="D309" s="718"/>
      <c r="E309" s="24">
        <f t="shared" si="54"/>
        <v>0.1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0">
        <f t="shared" si="62"/>
        <v>0</v>
      </c>
    </row>
    <row r="310" spans="1:19">
      <c r="A310" s="158"/>
      <c r="B310" s="58"/>
      <c r="C310" s="24">
        <f t="shared" si="53"/>
        <v>1</v>
      </c>
      <c r="D310" s="718"/>
      <c r="E310" s="24">
        <f t="shared" si="54"/>
        <v>0.1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0">
        <f t="shared" si="62"/>
        <v>0</v>
      </c>
    </row>
    <row r="311" spans="1:19">
      <c r="A311" s="158"/>
      <c r="B311" s="58"/>
      <c r="C311" s="24">
        <f t="shared" si="53"/>
        <v>1</v>
      </c>
      <c r="D311" s="718"/>
      <c r="E311" s="24">
        <f t="shared" si="54"/>
        <v>0.1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0">
        <f t="shared" si="62"/>
        <v>0</v>
      </c>
    </row>
    <row r="312" spans="1:19">
      <c r="A312" s="158"/>
      <c r="B312" s="58"/>
      <c r="C312" s="24">
        <f t="shared" si="53"/>
        <v>1</v>
      </c>
      <c r="D312" s="718"/>
      <c r="E312" s="24">
        <f t="shared" si="54"/>
        <v>0.1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0">
        <f t="shared" si="62"/>
        <v>0</v>
      </c>
    </row>
    <row r="313" spans="1:19">
      <c r="A313" s="158"/>
      <c r="B313" s="58"/>
      <c r="C313" s="24">
        <f t="shared" si="53"/>
        <v>1</v>
      </c>
      <c r="D313" s="718"/>
      <c r="E313" s="24">
        <f t="shared" si="54"/>
        <v>0.1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0">
        <f t="shared" si="62"/>
        <v>0</v>
      </c>
    </row>
    <row r="314" spans="1:19">
      <c r="A314" s="158"/>
      <c r="B314" s="58"/>
      <c r="C314" s="24">
        <f t="shared" si="53"/>
        <v>1</v>
      </c>
      <c r="D314" s="718"/>
      <c r="E314" s="24">
        <f t="shared" si="54"/>
        <v>0.1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0">
        <f t="shared" si="62"/>
        <v>0</v>
      </c>
    </row>
    <row r="315" spans="1:19">
      <c r="A315" s="158"/>
      <c r="B315" s="58"/>
      <c r="C315" s="24">
        <f t="shared" si="53"/>
        <v>1</v>
      </c>
      <c r="D315" s="718"/>
      <c r="E315" s="24">
        <f t="shared" si="54"/>
        <v>0.1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0">
        <f t="shared" si="62"/>
        <v>0</v>
      </c>
    </row>
    <row r="316" spans="1:19">
      <c r="A316" s="158"/>
      <c r="B316" s="58"/>
      <c r="C316" s="24">
        <f t="shared" si="53"/>
        <v>1</v>
      </c>
      <c r="D316" s="718"/>
      <c r="E316" s="24">
        <f t="shared" si="54"/>
        <v>0.1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0">
        <f t="shared" si="62"/>
        <v>0</v>
      </c>
    </row>
    <row r="317" spans="1:19">
      <c r="A317" s="158"/>
      <c r="B317" s="58"/>
      <c r="C317" s="24">
        <f t="shared" si="53"/>
        <v>1</v>
      </c>
      <c r="D317" s="718"/>
      <c r="E317" s="24">
        <f t="shared" si="54"/>
        <v>0.1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0">
        <f t="shared" si="62"/>
        <v>0</v>
      </c>
    </row>
    <row r="318" spans="1:19">
      <c r="A318" s="158"/>
      <c r="B318" s="58"/>
      <c r="C318" s="24">
        <f t="shared" si="53"/>
        <v>1</v>
      </c>
      <c r="D318" s="718"/>
      <c r="E318" s="24">
        <f t="shared" si="54"/>
        <v>0.1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0">
        <f t="shared" si="62"/>
        <v>0</v>
      </c>
    </row>
    <row r="319" spans="1:19">
      <c r="A319" s="158"/>
      <c r="B319" s="58"/>
      <c r="C319" s="24">
        <f t="shared" si="53"/>
        <v>1</v>
      </c>
      <c r="D319" s="718"/>
      <c r="E319" s="24">
        <f t="shared" si="54"/>
        <v>0.1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0">
        <f t="shared" si="62"/>
        <v>0</v>
      </c>
    </row>
    <row r="320" spans="1:19">
      <c r="A320" s="158"/>
      <c r="B320" s="58"/>
      <c r="C320" s="24">
        <f t="shared" si="53"/>
        <v>1</v>
      </c>
      <c r="D320" s="718"/>
      <c r="E320" s="24">
        <f t="shared" si="54"/>
        <v>0.1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0">
        <f t="shared" si="62"/>
        <v>0</v>
      </c>
    </row>
    <row r="321" spans="1:19">
      <c r="A321" s="158"/>
      <c r="B321" s="58"/>
      <c r="C321" s="24">
        <f t="shared" si="53"/>
        <v>1</v>
      </c>
      <c r="D321" s="718"/>
      <c r="E321" s="24">
        <f t="shared" si="54"/>
        <v>0.1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0">
        <f t="shared" ref="S321:S384" si="63">ROUND(R321*B321/10000,0)</f>
        <v>0</v>
      </c>
    </row>
    <row r="322" spans="1:19">
      <c r="A322" s="158"/>
      <c r="B322" s="58"/>
      <c r="C322" s="24">
        <f t="shared" si="53"/>
        <v>1</v>
      </c>
      <c r="D322" s="718"/>
      <c r="E322" s="24">
        <f t="shared" si="54"/>
        <v>0.1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0">
        <f t="shared" si="63"/>
        <v>0</v>
      </c>
    </row>
    <row r="323" spans="1:19">
      <c r="A323" s="158"/>
      <c r="B323" s="58"/>
      <c r="C323" s="24">
        <f t="shared" si="53"/>
        <v>1</v>
      </c>
      <c r="D323" s="718"/>
      <c r="E323" s="24">
        <f t="shared" si="54"/>
        <v>0.1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0">
        <f t="shared" si="63"/>
        <v>0</v>
      </c>
    </row>
    <row r="324" spans="1:19">
      <c r="A324" s="158"/>
      <c r="B324" s="58"/>
      <c r="C324" s="24">
        <f t="shared" si="53"/>
        <v>1</v>
      </c>
      <c r="D324" s="718"/>
      <c r="E324" s="24">
        <f t="shared" si="54"/>
        <v>0.1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0">
        <f t="shared" si="63"/>
        <v>0</v>
      </c>
    </row>
    <row r="325" spans="1:19">
      <c r="A325" s="158"/>
      <c r="B325" s="58"/>
      <c r="C325" s="24">
        <f t="shared" si="53"/>
        <v>1</v>
      </c>
      <c r="D325" s="718"/>
      <c r="E325" s="24">
        <f t="shared" si="54"/>
        <v>0.1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0">
        <f t="shared" si="63"/>
        <v>0</v>
      </c>
    </row>
    <row r="326" spans="1:19">
      <c r="A326" s="158"/>
      <c r="B326" s="58"/>
      <c r="C326" s="24">
        <f t="shared" si="53"/>
        <v>1</v>
      </c>
      <c r="D326" s="718"/>
      <c r="E326" s="24">
        <f t="shared" si="54"/>
        <v>0.1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0">
        <f t="shared" si="63"/>
        <v>0</v>
      </c>
    </row>
    <row r="327" spans="1:19">
      <c r="A327" s="158"/>
      <c r="B327" s="58"/>
      <c r="C327" s="24">
        <f t="shared" si="53"/>
        <v>1</v>
      </c>
      <c r="D327" s="718"/>
      <c r="E327" s="24">
        <f t="shared" si="54"/>
        <v>0.1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0">
        <f t="shared" si="63"/>
        <v>0</v>
      </c>
    </row>
    <row r="328" spans="1:19">
      <c r="A328" s="158"/>
      <c r="B328" s="58"/>
      <c r="C328" s="24">
        <f t="shared" si="53"/>
        <v>1</v>
      </c>
      <c r="D328" s="718"/>
      <c r="E328" s="24">
        <f t="shared" si="54"/>
        <v>0.1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0">
        <f t="shared" si="63"/>
        <v>0</v>
      </c>
    </row>
    <row r="329" spans="1:19">
      <c r="A329" s="158"/>
      <c r="B329" s="58"/>
      <c r="C329" s="24">
        <f t="shared" si="53"/>
        <v>1</v>
      </c>
      <c r="D329" s="718"/>
      <c r="E329" s="24">
        <f t="shared" si="54"/>
        <v>0.1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0">
        <f t="shared" si="63"/>
        <v>0</v>
      </c>
    </row>
    <row r="330" spans="1:19">
      <c r="A330" s="158"/>
      <c r="B330" s="58"/>
      <c r="C330" s="24">
        <f t="shared" si="53"/>
        <v>1</v>
      </c>
      <c r="D330" s="718"/>
      <c r="E330" s="24">
        <f t="shared" si="54"/>
        <v>0.1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0">
        <f t="shared" si="63"/>
        <v>0</v>
      </c>
    </row>
    <row r="331" spans="1:19">
      <c r="A331" s="158"/>
      <c r="B331" s="58"/>
      <c r="C331" s="24">
        <f t="shared" si="53"/>
        <v>1</v>
      </c>
      <c r="D331" s="718"/>
      <c r="E331" s="24">
        <f t="shared" si="54"/>
        <v>0.1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0">
        <f t="shared" si="63"/>
        <v>0</v>
      </c>
    </row>
    <row r="332" spans="1:19">
      <c r="A332" s="158"/>
      <c r="B332" s="58"/>
      <c r="C332" s="24">
        <f t="shared" si="53"/>
        <v>1</v>
      </c>
      <c r="D332" s="718"/>
      <c r="E332" s="24">
        <f t="shared" si="54"/>
        <v>0.1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0">
        <f t="shared" si="63"/>
        <v>0</v>
      </c>
    </row>
    <row r="333" spans="1:19">
      <c r="A333" s="158"/>
      <c r="B333" s="58"/>
      <c r="C333" s="24">
        <f t="shared" si="53"/>
        <v>1</v>
      </c>
      <c r="D333" s="718"/>
      <c r="E333" s="24">
        <f t="shared" si="54"/>
        <v>0.1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0">
        <f t="shared" si="63"/>
        <v>0</v>
      </c>
    </row>
    <row r="334" spans="1:19">
      <c r="A334" s="158"/>
      <c r="B334" s="58"/>
      <c r="C334" s="24">
        <f t="shared" si="53"/>
        <v>1</v>
      </c>
      <c r="D334" s="718"/>
      <c r="E334" s="24">
        <f t="shared" si="54"/>
        <v>0.1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0">
        <f t="shared" si="63"/>
        <v>0</v>
      </c>
    </row>
    <row r="335" spans="1:19">
      <c r="A335" s="158"/>
      <c r="B335" s="58"/>
      <c r="C335" s="24">
        <f t="shared" si="53"/>
        <v>1</v>
      </c>
      <c r="D335" s="718"/>
      <c r="E335" s="24">
        <f t="shared" si="54"/>
        <v>0.1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0">
        <f t="shared" si="63"/>
        <v>0</v>
      </c>
    </row>
    <row r="336" spans="1:19">
      <c r="A336" s="158"/>
      <c r="B336" s="58"/>
      <c r="C336" s="24">
        <f t="shared" si="53"/>
        <v>1</v>
      </c>
      <c r="D336" s="718"/>
      <c r="E336" s="24">
        <f t="shared" si="54"/>
        <v>0.1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0">
        <f t="shared" si="63"/>
        <v>0</v>
      </c>
    </row>
    <row r="337" spans="1:19">
      <c r="A337" s="158"/>
      <c r="B337" s="58"/>
      <c r="C337" s="24">
        <f t="shared" si="53"/>
        <v>1</v>
      </c>
      <c r="D337" s="718"/>
      <c r="E337" s="24">
        <f t="shared" si="54"/>
        <v>0.1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0">
        <f t="shared" si="63"/>
        <v>0</v>
      </c>
    </row>
    <row r="338" spans="1:19">
      <c r="A338" s="158"/>
      <c r="B338" s="58"/>
      <c r="C338" s="24">
        <f t="shared" si="53"/>
        <v>1</v>
      </c>
      <c r="D338" s="718"/>
      <c r="E338" s="24">
        <f t="shared" si="54"/>
        <v>0.1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0">
        <f t="shared" si="63"/>
        <v>0</v>
      </c>
    </row>
    <row r="339" spans="1:19">
      <c r="A339" s="158"/>
      <c r="B339" s="58"/>
      <c r="C339" s="24">
        <f t="shared" si="53"/>
        <v>1</v>
      </c>
      <c r="D339" s="718"/>
      <c r="E339" s="24">
        <f t="shared" si="54"/>
        <v>0.1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0">
        <f t="shared" si="63"/>
        <v>0</v>
      </c>
    </row>
    <row r="340" spans="1:19">
      <c r="A340" s="158"/>
      <c r="B340" s="58"/>
      <c r="C340" s="24">
        <f t="shared" si="53"/>
        <v>1</v>
      </c>
      <c r="D340" s="718"/>
      <c r="E340" s="24">
        <f t="shared" si="54"/>
        <v>0.1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0">
        <f t="shared" si="63"/>
        <v>0</v>
      </c>
    </row>
    <row r="341" spans="1:19">
      <c r="A341" s="158"/>
      <c r="B341" s="58"/>
      <c r="C341" s="24">
        <f t="shared" si="53"/>
        <v>1</v>
      </c>
      <c r="D341" s="718"/>
      <c r="E341" s="24">
        <f t="shared" si="54"/>
        <v>0.1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0">
        <f t="shared" si="63"/>
        <v>0</v>
      </c>
    </row>
    <row r="342" spans="1:19">
      <c r="A342" s="158"/>
      <c r="B342" s="58"/>
      <c r="C342" s="24">
        <f t="shared" si="53"/>
        <v>1</v>
      </c>
      <c r="D342" s="718"/>
      <c r="E342" s="24">
        <f t="shared" si="54"/>
        <v>0.1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0">
        <f t="shared" si="63"/>
        <v>0</v>
      </c>
    </row>
    <row r="343" spans="1:19">
      <c r="A343" s="158"/>
      <c r="B343" s="58"/>
      <c r="C343" s="24">
        <f t="shared" si="53"/>
        <v>1</v>
      </c>
      <c r="D343" s="718"/>
      <c r="E343" s="24">
        <f t="shared" si="54"/>
        <v>0.1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0">
        <f t="shared" si="63"/>
        <v>0</v>
      </c>
    </row>
    <row r="344" spans="1:19">
      <c r="A344" s="158"/>
      <c r="B344" s="58"/>
      <c r="C344" s="24">
        <f t="shared" si="53"/>
        <v>1</v>
      </c>
      <c r="D344" s="718"/>
      <c r="E344" s="24">
        <f t="shared" si="54"/>
        <v>0.1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0">
        <f t="shared" si="63"/>
        <v>0</v>
      </c>
    </row>
    <row r="345" spans="1:19">
      <c r="A345" s="158"/>
      <c r="B345" s="58"/>
      <c r="C345" s="24">
        <f t="shared" si="53"/>
        <v>1</v>
      </c>
      <c r="D345" s="718"/>
      <c r="E345" s="24">
        <f t="shared" si="54"/>
        <v>0.1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0">
        <f t="shared" si="63"/>
        <v>0</v>
      </c>
    </row>
    <row r="346" spans="1:19">
      <c r="A346" s="158"/>
      <c r="B346" s="58"/>
      <c r="C346" s="24">
        <f t="shared" ref="C346:C409" si="64">IF(B346="",1,(LOOKUP(B346,$3:$3,$4:$4)-LOOKUP($B$24,$3:$3,$4:$4)+100)/100)</f>
        <v>1</v>
      </c>
      <c r="D346" s="718"/>
      <c r="E346" s="24">
        <f t="shared" ref="E346:E409" si="65">(SUMIF($5:$5,D346,$6:$6)-SUMIF($5:$5,$D$24,$6:$6)+100)/100</f>
        <v>0.1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0">
        <f t="shared" si="63"/>
        <v>0</v>
      </c>
    </row>
    <row r="347" spans="1:19">
      <c r="A347" s="158"/>
      <c r="B347" s="58"/>
      <c r="C347" s="24">
        <f t="shared" si="64"/>
        <v>1</v>
      </c>
      <c r="D347" s="718"/>
      <c r="E347" s="24">
        <f t="shared" si="65"/>
        <v>0.1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0">
        <f t="shared" si="63"/>
        <v>0</v>
      </c>
    </row>
    <row r="348" spans="1:19">
      <c r="A348" s="158"/>
      <c r="B348" s="58"/>
      <c r="C348" s="24">
        <f t="shared" si="64"/>
        <v>1</v>
      </c>
      <c r="D348" s="718"/>
      <c r="E348" s="24">
        <f t="shared" si="65"/>
        <v>0.1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0">
        <f t="shared" si="63"/>
        <v>0</v>
      </c>
    </row>
    <row r="349" spans="1:19">
      <c r="A349" s="158"/>
      <c r="B349" s="58"/>
      <c r="C349" s="24">
        <f t="shared" si="64"/>
        <v>1</v>
      </c>
      <c r="D349" s="718"/>
      <c r="E349" s="24">
        <f t="shared" si="65"/>
        <v>0.1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0">
        <f t="shared" si="63"/>
        <v>0</v>
      </c>
    </row>
    <row r="350" spans="1:19">
      <c r="A350" s="158"/>
      <c r="B350" s="58"/>
      <c r="C350" s="24">
        <f t="shared" si="64"/>
        <v>1</v>
      </c>
      <c r="D350" s="718"/>
      <c r="E350" s="24">
        <f t="shared" si="65"/>
        <v>0.1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0">
        <f t="shared" si="63"/>
        <v>0</v>
      </c>
    </row>
    <row r="351" spans="1:19">
      <c r="A351" s="158"/>
      <c r="B351" s="58"/>
      <c r="C351" s="24">
        <f t="shared" si="64"/>
        <v>1</v>
      </c>
      <c r="D351" s="718"/>
      <c r="E351" s="24">
        <f t="shared" si="65"/>
        <v>0.1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0">
        <f t="shared" si="63"/>
        <v>0</v>
      </c>
    </row>
    <row r="352" spans="1:19">
      <c r="A352" s="158"/>
      <c r="B352" s="58"/>
      <c r="C352" s="24">
        <f t="shared" si="64"/>
        <v>1</v>
      </c>
      <c r="D352" s="718"/>
      <c r="E352" s="24">
        <f t="shared" si="65"/>
        <v>0.1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0">
        <f t="shared" si="63"/>
        <v>0</v>
      </c>
    </row>
    <row r="353" spans="1:19">
      <c r="A353" s="158"/>
      <c r="B353" s="58"/>
      <c r="C353" s="24">
        <f t="shared" si="64"/>
        <v>1</v>
      </c>
      <c r="D353" s="718"/>
      <c r="E353" s="24">
        <f t="shared" si="65"/>
        <v>0.1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0">
        <f t="shared" si="63"/>
        <v>0</v>
      </c>
    </row>
    <row r="354" spans="1:19">
      <c r="A354" s="158"/>
      <c r="B354" s="58"/>
      <c r="C354" s="24">
        <f t="shared" si="64"/>
        <v>1</v>
      </c>
      <c r="D354" s="718"/>
      <c r="E354" s="24">
        <f t="shared" si="65"/>
        <v>0.1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0">
        <f t="shared" si="63"/>
        <v>0</v>
      </c>
    </row>
    <row r="355" spans="1:19">
      <c r="A355" s="158"/>
      <c r="B355" s="58"/>
      <c r="C355" s="24">
        <f t="shared" si="64"/>
        <v>1</v>
      </c>
      <c r="D355" s="718"/>
      <c r="E355" s="24">
        <f t="shared" si="65"/>
        <v>0.1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0">
        <f t="shared" si="63"/>
        <v>0</v>
      </c>
    </row>
    <row r="356" spans="1:19">
      <c r="A356" s="158"/>
      <c r="B356" s="58"/>
      <c r="C356" s="24">
        <f t="shared" si="64"/>
        <v>1</v>
      </c>
      <c r="D356" s="718"/>
      <c r="E356" s="24">
        <f t="shared" si="65"/>
        <v>0.1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0">
        <f t="shared" si="63"/>
        <v>0</v>
      </c>
    </row>
    <row r="357" spans="1:19">
      <c r="A357" s="158"/>
      <c r="B357" s="58"/>
      <c r="C357" s="24">
        <f t="shared" si="64"/>
        <v>1</v>
      </c>
      <c r="D357" s="718"/>
      <c r="E357" s="24">
        <f t="shared" si="65"/>
        <v>0.1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0">
        <f t="shared" si="63"/>
        <v>0</v>
      </c>
    </row>
    <row r="358" spans="1:19">
      <c r="A358" s="158"/>
      <c r="B358" s="58"/>
      <c r="C358" s="24">
        <f t="shared" si="64"/>
        <v>1</v>
      </c>
      <c r="D358" s="718"/>
      <c r="E358" s="24">
        <f t="shared" si="65"/>
        <v>0.1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0">
        <f t="shared" si="63"/>
        <v>0</v>
      </c>
    </row>
    <row r="359" spans="1:19">
      <c r="A359" s="158"/>
      <c r="B359" s="58"/>
      <c r="C359" s="24">
        <f t="shared" si="64"/>
        <v>1</v>
      </c>
      <c r="D359" s="718"/>
      <c r="E359" s="24">
        <f t="shared" si="65"/>
        <v>0.1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0">
        <f t="shared" si="63"/>
        <v>0</v>
      </c>
    </row>
    <row r="360" spans="1:19">
      <c r="A360" s="158"/>
      <c r="B360" s="58"/>
      <c r="C360" s="24">
        <f t="shared" si="64"/>
        <v>1</v>
      </c>
      <c r="D360" s="718"/>
      <c r="E360" s="24">
        <f t="shared" si="65"/>
        <v>0.1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0">
        <f t="shared" si="63"/>
        <v>0</v>
      </c>
    </row>
    <row r="361" spans="1:19">
      <c r="A361" s="158"/>
      <c r="B361" s="58"/>
      <c r="C361" s="24">
        <f t="shared" si="64"/>
        <v>1</v>
      </c>
      <c r="D361" s="718"/>
      <c r="E361" s="24">
        <f t="shared" si="65"/>
        <v>0.1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0">
        <f t="shared" si="63"/>
        <v>0</v>
      </c>
    </row>
    <row r="362" spans="1:19">
      <c r="A362" s="158"/>
      <c r="B362" s="58"/>
      <c r="C362" s="24">
        <f t="shared" si="64"/>
        <v>1</v>
      </c>
      <c r="D362" s="718"/>
      <c r="E362" s="24">
        <f t="shared" si="65"/>
        <v>0.1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0">
        <f t="shared" si="63"/>
        <v>0</v>
      </c>
    </row>
    <row r="363" spans="1:19">
      <c r="A363" s="158"/>
      <c r="B363" s="58"/>
      <c r="C363" s="24">
        <f t="shared" si="64"/>
        <v>1</v>
      </c>
      <c r="D363" s="718"/>
      <c r="E363" s="24">
        <f t="shared" si="65"/>
        <v>0.1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0">
        <f t="shared" si="63"/>
        <v>0</v>
      </c>
    </row>
    <row r="364" spans="1:19">
      <c r="A364" s="158"/>
      <c r="B364" s="58"/>
      <c r="C364" s="24">
        <f t="shared" si="64"/>
        <v>1</v>
      </c>
      <c r="D364" s="718"/>
      <c r="E364" s="24">
        <f t="shared" si="65"/>
        <v>0.1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0">
        <f t="shared" si="63"/>
        <v>0</v>
      </c>
    </row>
    <row r="365" spans="1:19">
      <c r="A365" s="158"/>
      <c r="B365" s="58"/>
      <c r="C365" s="24">
        <f t="shared" si="64"/>
        <v>1</v>
      </c>
      <c r="D365" s="718"/>
      <c r="E365" s="24">
        <f t="shared" si="65"/>
        <v>0.1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0">
        <f t="shared" si="63"/>
        <v>0</v>
      </c>
    </row>
    <row r="366" spans="1:19">
      <c r="A366" s="158"/>
      <c r="B366" s="58"/>
      <c r="C366" s="24">
        <f t="shared" si="64"/>
        <v>1</v>
      </c>
      <c r="D366" s="718"/>
      <c r="E366" s="24">
        <f t="shared" si="65"/>
        <v>0.1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0">
        <f t="shared" si="63"/>
        <v>0</v>
      </c>
    </row>
    <row r="367" spans="1:19">
      <c r="A367" s="158"/>
      <c r="B367" s="58"/>
      <c r="C367" s="24">
        <f t="shared" si="64"/>
        <v>1</v>
      </c>
      <c r="D367" s="718"/>
      <c r="E367" s="24">
        <f t="shared" si="65"/>
        <v>0.1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0">
        <f t="shared" si="63"/>
        <v>0</v>
      </c>
    </row>
    <row r="368" spans="1:19">
      <c r="A368" s="158"/>
      <c r="B368" s="58"/>
      <c r="C368" s="24">
        <f t="shared" si="64"/>
        <v>1</v>
      </c>
      <c r="D368" s="718"/>
      <c r="E368" s="24">
        <f t="shared" si="65"/>
        <v>0.1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0">
        <f t="shared" si="63"/>
        <v>0</v>
      </c>
    </row>
    <row r="369" spans="1:19">
      <c r="A369" s="158"/>
      <c r="B369" s="58"/>
      <c r="C369" s="24">
        <f t="shared" si="64"/>
        <v>1</v>
      </c>
      <c r="D369" s="718"/>
      <c r="E369" s="24">
        <f t="shared" si="65"/>
        <v>0.1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0">
        <f t="shared" si="63"/>
        <v>0</v>
      </c>
    </row>
    <row r="370" spans="1:19">
      <c r="A370" s="158"/>
      <c r="B370" s="58"/>
      <c r="C370" s="24">
        <f t="shared" si="64"/>
        <v>1</v>
      </c>
      <c r="D370" s="718"/>
      <c r="E370" s="24">
        <f t="shared" si="65"/>
        <v>0.1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0">
        <f t="shared" si="63"/>
        <v>0</v>
      </c>
    </row>
    <row r="371" spans="1:19">
      <c r="A371" s="158"/>
      <c r="B371" s="58"/>
      <c r="C371" s="24">
        <f t="shared" si="64"/>
        <v>1</v>
      </c>
      <c r="D371" s="718"/>
      <c r="E371" s="24">
        <f t="shared" si="65"/>
        <v>0.1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0">
        <f t="shared" si="63"/>
        <v>0</v>
      </c>
    </row>
    <row r="372" spans="1:19">
      <c r="A372" s="158"/>
      <c r="B372" s="58"/>
      <c r="C372" s="24">
        <f t="shared" si="64"/>
        <v>1</v>
      </c>
      <c r="D372" s="718"/>
      <c r="E372" s="24">
        <f t="shared" si="65"/>
        <v>0.1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0">
        <f t="shared" si="63"/>
        <v>0</v>
      </c>
    </row>
    <row r="373" spans="1:19">
      <c r="A373" s="158"/>
      <c r="B373" s="58"/>
      <c r="C373" s="24">
        <f t="shared" si="64"/>
        <v>1</v>
      </c>
      <c r="D373" s="718"/>
      <c r="E373" s="24">
        <f t="shared" si="65"/>
        <v>0.1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0">
        <f t="shared" si="63"/>
        <v>0</v>
      </c>
    </row>
    <row r="374" spans="1:19">
      <c r="A374" s="158"/>
      <c r="B374" s="58"/>
      <c r="C374" s="24">
        <f t="shared" si="64"/>
        <v>1</v>
      </c>
      <c r="D374" s="718"/>
      <c r="E374" s="24">
        <f t="shared" si="65"/>
        <v>0.1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0">
        <f t="shared" si="63"/>
        <v>0</v>
      </c>
    </row>
    <row r="375" spans="1:19">
      <c r="A375" s="158"/>
      <c r="B375" s="58"/>
      <c r="C375" s="24">
        <f t="shared" si="64"/>
        <v>1</v>
      </c>
      <c r="D375" s="718"/>
      <c r="E375" s="24">
        <f t="shared" si="65"/>
        <v>0.1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0">
        <f t="shared" si="63"/>
        <v>0</v>
      </c>
    </row>
    <row r="376" spans="1:19">
      <c r="A376" s="158"/>
      <c r="B376" s="58"/>
      <c r="C376" s="24">
        <f t="shared" si="64"/>
        <v>1</v>
      </c>
      <c r="D376" s="718"/>
      <c r="E376" s="24">
        <f t="shared" si="65"/>
        <v>0.1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0">
        <f t="shared" si="63"/>
        <v>0</v>
      </c>
    </row>
    <row r="377" spans="1:19">
      <c r="A377" s="158"/>
      <c r="B377" s="58"/>
      <c r="C377" s="24">
        <f t="shared" si="64"/>
        <v>1</v>
      </c>
      <c r="D377" s="718"/>
      <c r="E377" s="24">
        <f t="shared" si="65"/>
        <v>0.1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0">
        <f t="shared" si="63"/>
        <v>0</v>
      </c>
    </row>
    <row r="378" spans="1:19">
      <c r="A378" s="158"/>
      <c r="B378" s="58"/>
      <c r="C378" s="24">
        <f t="shared" si="64"/>
        <v>1</v>
      </c>
      <c r="D378" s="718"/>
      <c r="E378" s="24">
        <f t="shared" si="65"/>
        <v>0.1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0">
        <f t="shared" si="63"/>
        <v>0</v>
      </c>
    </row>
    <row r="379" spans="1:19">
      <c r="A379" s="158"/>
      <c r="B379" s="58"/>
      <c r="C379" s="24">
        <f t="shared" si="64"/>
        <v>1</v>
      </c>
      <c r="D379" s="718"/>
      <c r="E379" s="24">
        <f t="shared" si="65"/>
        <v>0.1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0">
        <f t="shared" si="63"/>
        <v>0</v>
      </c>
    </row>
    <row r="380" spans="1:19">
      <c r="A380" s="158"/>
      <c r="B380" s="58"/>
      <c r="C380" s="24">
        <f t="shared" si="64"/>
        <v>1</v>
      </c>
      <c r="D380" s="718"/>
      <c r="E380" s="24">
        <f t="shared" si="65"/>
        <v>0.1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0">
        <f t="shared" si="63"/>
        <v>0</v>
      </c>
    </row>
    <row r="381" spans="1:19">
      <c r="A381" s="158"/>
      <c r="B381" s="58"/>
      <c r="C381" s="24">
        <f t="shared" si="64"/>
        <v>1</v>
      </c>
      <c r="D381" s="718"/>
      <c r="E381" s="24">
        <f t="shared" si="65"/>
        <v>0.1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0">
        <f t="shared" si="63"/>
        <v>0</v>
      </c>
    </row>
    <row r="382" spans="1:19">
      <c r="A382" s="158"/>
      <c r="B382" s="58"/>
      <c r="C382" s="24">
        <f t="shared" si="64"/>
        <v>1</v>
      </c>
      <c r="D382" s="718"/>
      <c r="E382" s="24">
        <f t="shared" si="65"/>
        <v>0.1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0">
        <f t="shared" si="63"/>
        <v>0</v>
      </c>
    </row>
    <row r="383" spans="1:19">
      <c r="A383" s="158"/>
      <c r="B383" s="58"/>
      <c r="C383" s="24">
        <f t="shared" si="64"/>
        <v>1</v>
      </c>
      <c r="D383" s="718"/>
      <c r="E383" s="24">
        <f t="shared" si="65"/>
        <v>0.1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0">
        <f t="shared" si="63"/>
        <v>0</v>
      </c>
    </row>
    <row r="384" spans="1:19">
      <c r="A384" s="158"/>
      <c r="B384" s="58"/>
      <c r="C384" s="24">
        <f t="shared" si="64"/>
        <v>1</v>
      </c>
      <c r="D384" s="718"/>
      <c r="E384" s="24">
        <f t="shared" si="65"/>
        <v>0.1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0">
        <f t="shared" si="63"/>
        <v>0</v>
      </c>
    </row>
    <row r="385" spans="1:19">
      <c r="A385" s="158"/>
      <c r="B385" s="58"/>
      <c r="C385" s="24">
        <f t="shared" si="64"/>
        <v>1</v>
      </c>
      <c r="D385" s="718"/>
      <c r="E385" s="24">
        <f t="shared" si="65"/>
        <v>0.1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0">
        <f t="shared" ref="S385:S422" si="73">ROUND(R385*B385/10000,0)</f>
        <v>0</v>
      </c>
    </row>
    <row r="386" spans="1:19">
      <c r="A386" s="158"/>
      <c r="B386" s="58"/>
      <c r="C386" s="24">
        <f t="shared" si="64"/>
        <v>1</v>
      </c>
      <c r="D386" s="718"/>
      <c r="E386" s="24">
        <f t="shared" si="65"/>
        <v>0.1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0">
        <f t="shared" si="73"/>
        <v>0</v>
      </c>
    </row>
    <row r="387" spans="1:19">
      <c r="A387" s="158"/>
      <c r="B387" s="58"/>
      <c r="C387" s="24">
        <f t="shared" si="64"/>
        <v>1</v>
      </c>
      <c r="D387" s="718"/>
      <c r="E387" s="24">
        <f t="shared" si="65"/>
        <v>0.1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0">
        <f t="shared" si="73"/>
        <v>0</v>
      </c>
    </row>
    <row r="388" spans="1:19">
      <c r="A388" s="158"/>
      <c r="B388" s="58"/>
      <c r="C388" s="24">
        <f t="shared" si="64"/>
        <v>1</v>
      </c>
      <c r="D388" s="718"/>
      <c r="E388" s="24">
        <f t="shared" si="65"/>
        <v>0.1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0">
        <f t="shared" si="73"/>
        <v>0</v>
      </c>
    </row>
    <row r="389" spans="1:19">
      <c r="A389" s="158"/>
      <c r="B389" s="58"/>
      <c r="C389" s="24">
        <f t="shared" si="64"/>
        <v>1</v>
      </c>
      <c r="D389" s="718"/>
      <c r="E389" s="24">
        <f t="shared" si="65"/>
        <v>0.1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0">
        <f t="shared" si="73"/>
        <v>0</v>
      </c>
    </row>
    <row r="390" spans="1:19">
      <c r="A390" s="158"/>
      <c r="B390" s="58"/>
      <c r="C390" s="24">
        <f t="shared" si="64"/>
        <v>1</v>
      </c>
      <c r="D390" s="718"/>
      <c r="E390" s="24">
        <f t="shared" si="65"/>
        <v>0.1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0">
        <f t="shared" si="73"/>
        <v>0</v>
      </c>
    </row>
    <row r="391" spans="1:19">
      <c r="A391" s="158"/>
      <c r="B391" s="58"/>
      <c r="C391" s="24">
        <f t="shared" si="64"/>
        <v>1</v>
      </c>
      <c r="D391" s="718"/>
      <c r="E391" s="24">
        <f t="shared" si="65"/>
        <v>0.1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0">
        <f t="shared" si="73"/>
        <v>0</v>
      </c>
    </row>
    <row r="392" spans="1:19">
      <c r="A392" s="158"/>
      <c r="B392" s="58"/>
      <c r="C392" s="24">
        <f t="shared" si="64"/>
        <v>1</v>
      </c>
      <c r="D392" s="718"/>
      <c r="E392" s="24">
        <f t="shared" si="65"/>
        <v>0.1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0">
        <f t="shared" si="73"/>
        <v>0</v>
      </c>
    </row>
    <row r="393" spans="1:19">
      <c r="A393" s="158"/>
      <c r="B393" s="58"/>
      <c r="C393" s="24">
        <f t="shared" si="64"/>
        <v>1</v>
      </c>
      <c r="D393" s="718"/>
      <c r="E393" s="24">
        <f t="shared" si="65"/>
        <v>0.1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0">
        <f t="shared" si="73"/>
        <v>0</v>
      </c>
    </row>
    <row r="394" spans="1:19">
      <c r="A394" s="158"/>
      <c r="B394" s="58"/>
      <c r="C394" s="24">
        <f t="shared" si="64"/>
        <v>1</v>
      </c>
      <c r="D394" s="718"/>
      <c r="E394" s="24">
        <f t="shared" si="65"/>
        <v>0.1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0">
        <f t="shared" si="73"/>
        <v>0</v>
      </c>
    </row>
    <row r="395" spans="1:19">
      <c r="A395" s="158"/>
      <c r="B395" s="58"/>
      <c r="C395" s="24">
        <f t="shared" si="64"/>
        <v>1</v>
      </c>
      <c r="D395" s="718"/>
      <c r="E395" s="24">
        <f t="shared" si="65"/>
        <v>0.1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0">
        <f t="shared" si="73"/>
        <v>0</v>
      </c>
    </row>
    <row r="396" spans="1:19">
      <c r="A396" s="158"/>
      <c r="B396" s="58"/>
      <c r="C396" s="24">
        <f t="shared" si="64"/>
        <v>1</v>
      </c>
      <c r="D396" s="718"/>
      <c r="E396" s="24">
        <f t="shared" si="65"/>
        <v>0.1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0">
        <f t="shared" si="73"/>
        <v>0</v>
      </c>
    </row>
    <row r="397" spans="1:19">
      <c r="A397" s="158"/>
      <c r="B397" s="58"/>
      <c r="C397" s="24">
        <f t="shared" si="64"/>
        <v>1</v>
      </c>
      <c r="D397" s="718"/>
      <c r="E397" s="24">
        <f t="shared" si="65"/>
        <v>0.1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0">
        <f t="shared" si="73"/>
        <v>0</v>
      </c>
    </row>
    <row r="398" spans="1:19">
      <c r="A398" s="158"/>
      <c r="B398" s="58"/>
      <c r="C398" s="24">
        <f t="shared" si="64"/>
        <v>1</v>
      </c>
      <c r="D398" s="718"/>
      <c r="E398" s="24">
        <f t="shared" si="65"/>
        <v>0.1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0">
        <f t="shared" si="73"/>
        <v>0</v>
      </c>
    </row>
    <row r="399" spans="1:19">
      <c r="A399" s="158"/>
      <c r="B399" s="58"/>
      <c r="C399" s="24">
        <f t="shared" si="64"/>
        <v>1</v>
      </c>
      <c r="D399" s="718"/>
      <c r="E399" s="24">
        <f t="shared" si="65"/>
        <v>0.1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0">
        <f t="shared" si="73"/>
        <v>0</v>
      </c>
    </row>
    <row r="400" spans="1:19">
      <c r="A400" s="158"/>
      <c r="B400" s="58"/>
      <c r="C400" s="24">
        <f t="shared" si="64"/>
        <v>1</v>
      </c>
      <c r="D400" s="718"/>
      <c r="E400" s="24">
        <f t="shared" si="65"/>
        <v>0.1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0">
        <f t="shared" si="73"/>
        <v>0</v>
      </c>
    </row>
    <row r="401" spans="1:19">
      <c r="A401" s="158"/>
      <c r="B401" s="58"/>
      <c r="C401" s="24">
        <f t="shared" si="64"/>
        <v>1</v>
      </c>
      <c r="D401" s="718"/>
      <c r="E401" s="24">
        <f t="shared" si="65"/>
        <v>0.1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0">
        <f t="shared" si="73"/>
        <v>0</v>
      </c>
    </row>
    <row r="402" spans="1:19">
      <c r="A402" s="158"/>
      <c r="B402" s="58"/>
      <c r="C402" s="24">
        <f t="shared" si="64"/>
        <v>1</v>
      </c>
      <c r="D402" s="718"/>
      <c r="E402" s="24">
        <f t="shared" si="65"/>
        <v>0.1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0">
        <f t="shared" si="73"/>
        <v>0</v>
      </c>
    </row>
    <row r="403" spans="1:19">
      <c r="A403" s="158"/>
      <c r="B403" s="58"/>
      <c r="C403" s="24">
        <f t="shared" si="64"/>
        <v>1</v>
      </c>
      <c r="D403" s="718"/>
      <c r="E403" s="24">
        <f t="shared" si="65"/>
        <v>0.1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0">
        <f t="shared" si="73"/>
        <v>0</v>
      </c>
    </row>
    <row r="404" spans="1:19">
      <c r="A404" s="158"/>
      <c r="B404" s="58"/>
      <c r="C404" s="24">
        <f t="shared" si="64"/>
        <v>1</v>
      </c>
      <c r="D404" s="718"/>
      <c r="E404" s="24">
        <f t="shared" si="65"/>
        <v>0.1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0">
        <f t="shared" si="73"/>
        <v>0</v>
      </c>
    </row>
    <row r="405" spans="1:19">
      <c r="A405" s="158"/>
      <c r="B405" s="58"/>
      <c r="C405" s="24">
        <f t="shared" si="64"/>
        <v>1</v>
      </c>
      <c r="D405" s="718"/>
      <c r="E405" s="24">
        <f t="shared" si="65"/>
        <v>0.1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0">
        <f t="shared" si="73"/>
        <v>0</v>
      </c>
    </row>
    <row r="406" spans="1:19">
      <c r="A406" s="158"/>
      <c r="B406" s="58"/>
      <c r="C406" s="24">
        <f t="shared" si="64"/>
        <v>1</v>
      </c>
      <c r="D406" s="718"/>
      <c r="E406" s="24">
        <f t="shared" si="65"/>
        <v>0.1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0">
        <f t="shared" si="73"/>
        <v>0</v>
      </c>
    </row>
    <row r="407" spans="1:19">
      <c r="A407" s="158"/>
      <c r="B407" s="58"/>
      <c r="C407" s="24">
        <f t="shared" si="64"/>
        <v>1</v>
      </c>
      <c r="D407" s="718"/>
      <c r="E407" s="24">
        <f t="shared" si="65"/>
        <v>0.1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0">
        <f t="shared" si="73"/>
        <v>0</v>
      </c>
    </row>
    <row r="408" spans="1:19">
      <c r="A408" s="158"/>
      <c r="B408" s="58"/>
      <c r="C408" s="24">
        <f t="shared" si="64"/>
        <v>1</v>
      </c>
      <c r="D408" s="718"/>
      <c r="E408" s="24">
        <f t="shared" si="65"/>
        <v>0.1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0">
        <f t="shared" si="73"/>
        <v>0</v>
      </c>
    </row>
    <row r="409" spans="1:19">
      <c r="A409" s="158"/>
      <c r="B409" s="58"/>
      <c r="C409" s="24">
        <f t="shared" si="64"/>
        <v>1</v>
      </c>
      <c r="D409" s="718"/>
      <c r="E409" s="24">
        <f t="shared" si="65"/>
        <v>0.1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0">
        <f t="shared" si="73"/>
        <v>0</v>
      </c>
    </row>
    <row r="410" spans="1:19">
      <c r="A410" s="158"/>
      <c r="B410" s="58"/>
      <c r="C410" s="24">
        <f t="shared" ref="C410:C473" si="74">IF(B410="",1,(LOOKUP(B410,$3:$3,$4:$4)-LOOKUP($B$24,$3:$3,$4:$4)+100)/100)</f>
        <v>1</v>
      </c>
      <c r="D410" s="718"/>
      <c r="E410" s="24">
        <f t="shared" ref="E410:E473" si="75">(SUMIF($5:$5,D410,$6:$6)-SUMIF($5:$5,$D$24,$6:$6)+100)/100</f>
        <v>0.1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0">
        <f t="shared" si="73"/>
        <v>0</v>
      </c>
    </row>
    <row r="411" spans="1:19">
      <c r="A411" s="158"/>
      <c r="B411" s="58"/>
      <c r="C411" s="24">
        <f t="shared" si="74"/>
        <v>1</v>
      </c>
      <c r="D411" s="718"/>
      <c r="E411" s="24">
        <f t="shared" si="75"/>
        <v>0.1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0">
        <f t="shared" si="73"/>
        <v>0</v>
      </c>
    </row>
    <row r="412" spans="1:19">
      <c r="A412" s="158"/>
      <c r="B412" s="58"/>
      <c r="C412" s="24">
        <f t="shared" si="74"/>
        <v>1</v>
      </c>
      <c r="D412" s="718"/>
      <c r="E412" s="24">
        <f t="shared" si="75"/>
        <v>0.1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0">
        <f t="shared" si="73"/>
        <v>0</v>
      </c>
    </row>
    <row r="413" spans="1:19">
      <c r="A413" s="158"/>
      <c r="B413" s="58"/>
      <c r="C413" s="24">
        <f t="shared" si="74"/>
        <v>1</v>
      </c>
      <c r="D413" s="718"/>
      <c r="E413" s="24">
        <f t="shared" si="75"/>
        <v>0.1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0">
        <f t="shared" si="73"/>
        <v>0</v>
      </c>
    </row>
    <row r="414" spans="1:19">
      <c r="A414" s="158"/>
      <c r="B414" s="58"/>
      <c r="C414" s="24">
        <f t="shared" si="74"/>
        <v>1</v>
      </c>
      <c r="D414" s="718"/>
      <c r="E414" s="24">
        <f t="shared" si="75"/>
        <v>0.1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0">
        <f t="shared" si="73"/>
        <v>0</v>
      </c>
    </row>
    <row r="415" spans="1:19">
      <c r="A415" s="158"/>
      <c r="B415" s="58"/>
      <c r="C415" s="24">
        <f t="shared" si="74"/>
        <v>1</v>
      </c>
      <c r="D415" s="718"/>
      <c r="E415" s="24">
        <f t="shared" si="75"/>
        <v>0.1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0">
        <f t="shared" si="73"/>
        <v>0</v>
      </c>
    </row>
    <row r="416" spans="1:19">
      <c r="A416" s="158"/>
      <c r="B416" s="58"/>
      <c r="C416" s="24">
        <f t="shared" si="74"/>
        <v>1</v>
      </c>
      <c r="D416" s="718"/>
      <c r="E416" s="24">
        <f t="shared" si="75"/>
        <v>0.1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0">
        <f t="shared" si="73"/>
        <v>0</v>
      </c>
    </row>
    <row r="417" spans="1:19">
      <c r="A417" s="158"/>
      <c r="B417" s="58"/>
      <c r="C417" s="24">
        <f t="shared" si="74"/>
        <v>1</v>
      </c>
      <c r="D417" s="718"/>
      <c r="E417" s="24">
        <f t="shared" si="75"/>
        <v>0.1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0">
        <f t="shared" si="73"/>
        <v>0</v>
      </c>
    </row>
    <row r="418" spans="1:19">
      <c r="A418" s="158"/>
      <c r="B418" s="58"/>
      <c r="C418" s="24">
        <f t="shared" si="74"/>
        <v>1</v>
      </c>
      <c r="D418" s="718"/>
      <c r="E418" s="24">
        <f t="shared" si="75"/>
        <v>0.1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0">
        <f t="shared" si="73"/>
        <v>0</v>
      </c>
    </row>
    <row r="419" spans="1:19">
      <c r="A419" s="158"/>
      <c r="B419" s="58"/>
      <c r="C419" s="24">
        <f t="shared" si="74"/>
        <v>1</v>
      </c>
      <c r="D419" s="718"/>
      <c r="E419" s="24">
        <f t="shared" si="75"/>
        <v>0.1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0">
        <f t="shared" si="73"/>
        <v>0</v>
      </c>
    </row>
    <row r="420" spans="1:19">
      <c r="A420" s="158"/>
      <c r="B420" s="58"/>
      <c r="C420" s="24">
        <f t="shared" si="74"/>
        <v>1</v>
      </c>
      <c r="D420" s="718"/>
      <c r="E420" s="24">
        <f t="shared" si="75"/>
        <v>0.1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0">
        <f t="shared" si="73"/>
        <v>0</v>
      </c>
    </row>
    <row r="421" spans="1:19">
      <c r="A421" s="158"/>
      <c r="B421" s="58"/>
      <c r="C421" s="24">
        <f t="shared" si="74"/>
        <v>1</v>
      </c>
      <c r="D421" s="718"/>
      <c r="E421" s="24">
        <f t="shared" si="75"/>
        <v>0.1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0">
        <f t="shared" si="73"/>
        <v>0</v>
      </c>
    </row>
    <row r="422" spans="1:19">
      <c r="A422" s="158"/>
      <c r="B422" s="58"/>
      <c r="C422" s="24">
        <f t="shared" si="74"/>
        <v>1</v>
      </c>
      <c r="D422" s="718"/>
      <c r="E422" s="24">
        <f t="shared" si="75"/>
        <v>0.1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0">
        <f t="shared" si="73"/>
        <v>0</v>
      </c>
    </row>
    <row r="423" spans="1:19">
      <c r="A423" s="158"/>
      <c r="B423" s="58"/>
      <c r="C423" s="24">
        <f t="shared" si="74"/>
        <v>1</v>
      </c>
      <c r="D423" s="718"/>
      <c r="E423" s="24">
        <f t="shared" si="75"/>
        <v>0.1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0">
        <f t="shared" ref="S423:S467" si="83">ROUND(R423*B423/10000,0)</f>
        <v>0</v>
      </c>
    </row>
    <row r="424" spans="1:19">
      <c r="A424" s="158"/>
      <c r="B424" s="58"/>
      <c r="C424" s="24">
        <f t="shared" si="74"/>
        <v>1</v>
      </c>
      <c r="D424" s="718"/>
      <c r="E424" s="24">
        <f t="shared" si="75"/>
        <v>0.1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0">
        <f t="shared" si="83"/>
        <v>0</v>
      </c>
    </row>
    <row r="425" spans="1:19">
      <c r="A425" s="158"/>
      <c r="B425" s="58"/>
      <c r="C425" s="24">
        <f t="shared" si="74"/>
        <v>1</v>
      </c>
      <c r="D425" s="718"/>
      <c r="E425" s="24">
        <f t="shared" si="75"/>
        <v>0.1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0">
        <f t="shared" si="83"/>
        <v>0</v>
      </c>
    </row>
    <row r="426" spans="1:19">
      <c r="A426" s="158"/>
      <c r="B426" s="58"/>
      <c r="C426" s="24">
        <f t="shared" si="74"/>
        <v>1</v>
      </c>
      <c r="D426" s="718"/>
      <c r="E426" s="24">
        <f t="shared" si="75"/>
        <v>0.1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0">
        <f t="shared" si="83"/>
        <v>0</v>
      </c>
    </row>
    <row r="427" spans="1:19">
      <c r="A427" s="158"/>
      <c r="B427" s="58"/>
      <c r="C427" s="24">
        <f t="shared" si="74"/>
        <v>1</v>
      </c>
      <c r="D427" s="718"/>
      <c r="E427" s="24">
        <f t="shared" si="75"/>
        <v>0.1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0">
        <f t="shared" si="83"/>
        <v>0</v>
      </c>
    </row>
    <row r="428" spans="1:19">
      <c r="A428" s="158"/>
      <c r="B428" s="58"/>
      <c r="C428" s="24">
        <f t="shared" si="74"/>
        <v>1</v>
      </c>
      <c r="D428" s="718"/>
      <c r="E428" s="24">
        <f t="shared" si="75"/>
        <v>0.1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0">
        <f t="shared" si="83"/>
        <v>0</v>
      </c>
    </row>
    <row r="429" spans="1:19">
      <c r="A429" s="158"/>
      <c r="B429" s="58"/>
      <c r="C429" s="24">
        <f t="shared" si="74"/>
        <v>1</v>
      </c>
      <c r="D429" s="718"/>
      <c r="E429" s="24">
        <f t="shared" si="75"/>
        <v>0.1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0">
        <f t="shared" si="83"/>
        <v>0</v>
      </c>
    </row>
    <row r="430" spans="1:19">
      <c r="A430" s="158"/>
      <c r="B430" s="58"/>
      <c r="C430" s="24">
        <f t="shared" si="74"/>
        <v>1</v>
      </c>
      <c r="D430" s="718"/>
      <c r="E430" s="24">
        <f t="shared" si="75"/>
        <v>0.1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0">
        <f t="shared" si="83"/>
        <v>0</v>
      </c>
    </row>
    <row r="431" spans="1:19">
      <c r="A431" s="158"/>
      <c r="B431" s="58"/>
      <c r="C431" s="24">
        <f t="shared" si="74"/>
        <v>1</v>
      </c>
      <c r="D431" s="718"/>
      <c r="E431" s="24">
        <f t="shared" si="75"/>
        <v>0.1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0">
        <f t="shared" si="83"/>
        <v>0</v>
      </c>
    </row>
    <row r="432" spans="1:19">
      <c r="A432" s="158"/>
      <c r="B432" s="58"/>
      <c r="C432" s="24">
        <f t="shared" si="74"/>
        <v>1</v>
      </c>
      <c r="D432" s="718"/>
      <c r="E432" s="24">
        <f t="shared" si="75"/>
        <v>0.1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0">
        <f t="shared" si="83"/>
        <v>0</v>
      </c>
    </row>
    <row r="433" spans="1:19">
      <c r="A433" s="158"/>
      <c r="B433" s="58"/>
      <c r="C433" s="24">
        <f t="shared" si="74"/>
        <v>1</v>
      </c>
      <c r="D433" s="718"/>
      <c r="E433" s="24">
        <f t="shared" si="75"/>
        <v>0.1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0">
        <f t="shared" si="83"/>
        <v>0</v>
      </c>
    </row>
    <row r="434" spans="1:19">
      <c r="A434" s="158"/>
      <c r="B434" s="58"/>
      <c r="C434" s="24">
        <f t="shared" si="74"/>
        <v>1</v>
      </c>
      <c r="D434" s="718"/>
      <c r="E434" s="24">
        <f t="shared" si="75"/>
        <v>0.1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0">
        <f t="shared" si="83"/>
        <v>0</v>
      </c>
    </row>
    <row r="435" spans="1:19">
      <c r="A435" s="158"/>
      <c r="B435" s="58"/>
      <c r="C435" s="24">
        <f t="shared" si="74"/>
        <v>1</v>
      </c>
      <c r="D435" s="718"/>
      <c r="E435" s="24">
        <f t="shared" si="75"/>
        <v>0.1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0">
        <f t="shared" si="83"/>
        <v>0</v>
      </c>
    </row>
    <row r="436" spans="1:19">
      <c r="A436" s="158"/>
      <c r="B436" s="58"/>
      <c r="C436" s="24">
        <f t="shared" si="74"/>
        <v>1</v>
      </c>
      <c r="D436" s="718"/>
      <c r="E436" s="24">
        <f t="shared" si="75"/>
        <v>0.1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0">
        <f t="shared" si="83"/>
        <v>0</v>
      </c>
    </row>
    <row r="437" spans="1:19">
      <c r="A437" s="158"/>
      <c r="B437" s="58"/>
      <c r="C437" s="24">
        <f t="shared" si="74"/>
        <v>1</v>
      </c>
      <c r="D437" s="718"/>
      <c r="E437" s="24">
        <f t="shared" si="75"/>
        <v>0.1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0">
        <f t="shared" si="83"/>
        <v>0</v>
      </c>
    </row>
    <row r="438" spans="1:19">
      <c r="A438" s="158"/>
      <c r="B438" s="58"/>
      <c r="C438" s="24">
        <f t="shared" si="74"/>
        <v>1</v>
      </c>
      <c r="D438" s="718"/>
      <c r="E438" s="24">
        <f t="shared" si="75"/>
        <v>0.1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0">
        <f t="shared" si="83"/>
        <v>0</v>
      </c>
    </row>
    <row r="439" spans="1:19">
      <c r="A439" s="158"/>
      <c r="B439" s="58"/>
      <c r="C439" s="24">
        <f t="shared" si="74"/>
        <v>1</v>
      </c>
      <c r="D439" s="718"/>
      <c r="E439" s="24">
        <f t="shared" si="75"/>
        <v>0.1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0">
        <f t="shared" si="83"/>
        <v>0</v>
      </c>
    </row>
    <row r="440" spans="1:19">
      <c r="A440" s="158"/>
      <c r="B440" s="58"/>
      <c r="C440" s="24">
        <f t="shared" si="74"/>
        <v>1</v>
      </c>
      <c r="D440" s="718"/>
      <c r="E440" s="24">
        <f t="shared" si="75"/>
        <v>0.1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0">
        <f t="shared" si="83"/>
        <v>0</v>
      </c>
    </row>
    <row r="441" spans="1:19">
      <c r="A441" s="158"/>
      <c r="B441" s="58"/>
      <c r="C441" s="24">
        <f t="shared" si="74"/>
        <v>1</v>
      </c>
      <c r="D441" s="718"/>
      <c r="E441" s="24">
        <f t="shared" si="75"/>
        <v>0.1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0">
        <f t="shared" si="83"/>
        <v>0</v>
      </c>
    </row>
    <row r="442" spans="1:19">
      <c r="A442" s="158"/>
      <c r="B442" s="58"/>
      <c r="C442" s="24">
        <f t="shared" si="74"/>
        <v>1</v>
      </c>
      <c r="D442" s="718"/>
      <c r="E442" s="24">
        <f t="shared" si="75"/>
        <v>0.1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0">
        <f t="shared" si="83"/>
        <v>0</v>
      </c>
    </row>
    <row r="443" spans="1:19">
      <c r="A443" s="158"/>
      <c r="B443" s="58"/>
      <c r="C443" s="24">
        <f t="shared" si="74"/>
        <v>1</v>
      </c>
      <c r="D443" s="718"/>
      <c r="E443" s="24">
        <f t="shared" si="75"/>
        <v>0.1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0">
        <f t="shared" si="83"/>
        <v>0</v>
      </c>
    </row>
    <row r="444" spans="1:19">
      <c r="A444" s="158"/>
      <c r="B444" s="58"/>
      <c r="C444" s="24">
        <f t="shared" si="74"/>
        <v>1</v>
      </c>
      <c r="D444" s="718"/>
      <c r="E444" s="24">
        <f t="shared" si="75"/>
        <v>0.1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0">
        <f t="shared" si="83"/>
        <v>0</v>
      </c>
    </row>
    <row r="445" spans="1:19">
      <c r="A445" s="158"/>
      <c r="B445" s="58"/>
      <c r="C445" s="24">
        <f t="shared" si="74"/>
        <v>1</v>
      </c>
      <c r="D445" s="718"/>
      <c r="E445" s="24">
        <f t="shared" si="75"/>
        <v>0.1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0">
        <f t="shared" si="83"/>
        <v>0</v>
      </c>
    </row>
    <row r="446" spans="1:19">
      <c r="A446" s="158"/>
      <c r="B446" s="58"/>
      <c r="C446" s="24">
        <f t="shared" si="74"/>
        <v>1</v>
      </c>
      <c r="D446" s="718"/>
      <c r="E446" s="24">
        <f t="shared" si="75"/>
        <v>0.1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0">
        <f t="shared" si="83"/>
        <v>0</v>
      </c>
    </row>
    <row r="447" spans="1:19">
      <c r="A447" s="158"/>
      <c r="B447" s="58"/>
      <c r="C447" s="24">
        <f t="shared" si="74"/>
        <v>1</v>
      </c>
      <c r="D447" s="718"/>
      <c r="E447" s="24">
        <f t="shared" si="75"/>
        <v>0.1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0">
        <f t="shared" si="83"/>
        <v>0</v>
      </c>
    </row>
    <row r="448" spans="1:19">
      <c r="A448" s="158"/>
      <c r="B448" s="58"/>
      <c r="C448" s="24">
        <f t="shared" si="74"/>
        <v>1</v>
      </c>
      <c r="D448" s="718"/>
      <c r="E448" s="24">
        <f t="shared" si="75"/>
        <v>0.1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0">
        <f t="shared" si="83"/>
        <v>0</v>
      </c>
    </row>
    <row r="449" spans="1:19">
      <c r="A449" s="158"/>
      <c r="B449" s="58"/>
      <c r="C449" s="24">
        <f t="shared" si="74"/>
        <v>1</v>
      </c>
      <c r="D449" s="718"/>
      <c r="E449" s="24">
        <f t="shared" si="75"/>
        <v>0.1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0">
        <f t="shared" si="83"/>
        <v>0</v>
      </c>
    </row>
    <row r="450" spans="1:19">
      <c r="A450" s="158"/>
      <c r="B450" s="58"/>
      <c r="C450" s="24">
        <f t="shared" si="74"/>
        <v>1</v>
      </c>
      <c r="D450" s="718"/>
      <c r="E450" s="24">
        <f t="shared" si="75"/>
        <v>0.1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0">
        <f t="shared" si="83"/>
        <v>0</v>
      </c>
    </row>
    <row r="451" spans="1:19">
      <c r="A451" s="158"/>
      <c r="B451" s="58"/>
      <c r="C451" s="24">
        <f t="shared" si="74"/>
        <v>1</v>
      </c>
      <c r="D451" s="718"/>
      <c r="E451" s="24">
        <f t="shared" si="75"/>
        <v>0.1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0">
        <f t="shared" si="83"/>
        <v>0</v>
      </c>
    </row>
    <row r="452" spans="1:19">
      <c r="A452" s="158"/>
      <c r="B452" s="58"/>
      <c r="C452" s="24">
        <f t="shared" si="74"/>
        <v>1</v>
      </c>
      <c r="D452" s="718"/>
      <c r="E452" s="24">
        <f t="shared" si="75"/>
        <v>0.1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0">
        <f t="shared" si="83"/>
        <v>0</v>
      </c>
    </row>
    <row r="453" spans="1:19">
      <c r="A453" s="158"/>
      <c r="B453" s="58"/>
      <c r="C453" s="24">
        <f t="shared" si="74"/>
        <v>1</v>
      </c>
      <c r="D453" s="718"/>
      <c r="E453" s="24">
        <f t="shared" si="75"/>
        <v>0.1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0">
        <f t="shared" si="83"/>
        <v>0</v>
      </c>
    </row>
    <row r="454" spans="1:19">
      <c r="A454" s="158"/>
      <c r="B454" s="58"/>
      <c r="C454" s="24">
        <f t="shared" si="74"/>
        <v>1</v>
      </c>
      <c r="D454" s="718"/>
      <c r="E454" s="24">
        <f t="shared" si="75"/>
        <v>0.1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0">
        <f t="shared" si="83"/>
        <v>0</v>
      </c>
    </row>
    <row r="455" spans="1:19">
      <c r="A455" s="158"/>
      <c r="B455" s="58"/>
      <c r="C455" s="24">
        <f t="shared" si="74"/>
        <v>1</v>
      </c>
      <c r="D455" s="718"/>
      <c r="E455" s="24">
        <f t="shared" si="75"/>
        <v>0.1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0">
        <f t="shared" si="83"/>
        <v>0</v>
      </c>
    </row>
    <row r="456" spans="1:19">
      <c r="A456" s="158"/>
      <c r="B456" s="58"/>
      <c r="C456" s="24">
        <f t="shared" si="74"/>
        <v>1</v>
      </c>
      <c r="D456" s="718"/>
      <c r="E456" s="24">
        <f t="shared" si="75"/>
        <v>0.1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0">
        <f t="shared" si="83"/>
        <v>0</v>
      </c>
    </row>
    <row r="457" spans="1:19">
      <c r="A457" s="158"/>
      <c r="B457" s="58"/>
      <c r="C457" s="24">
        <f t="shared" si="74"/>
        <v>1</v>
      </c>
      <c r="D457" s="718"/>
      <c r="E457" s="24">
        <f t="shared" si="75"/>
        <v>0.1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0">
        <f t="shared" si="83"/>
        <v>0</v>
      </c>
    </row>
    <row r="458" spans="1:19">
      <c r="A458" s="158"/>
      <c r="B458" s="58"/>
      <c r="C458" s="24">
        <f t="shared" si="74"/>
        <v>1</v>
      </c>
      <c r="D458" s="718"/>
      <c r="E458" s="24">
        <f t="shared" si="75"/>
        <v>0.1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0">
        <f t="shared" si="83"/>
        <v>0</v>
      </c>
    </row>
    <row r="459" spans="1:19">
      <c r="A459" s="158"/>
      <c r="B459" s="58"/>
      <c r="C459" s="24">
        <f t="shared" si="74"/>
        <v>1</v>
      </c>
      <c r="D459" s="718"/>
      <c r="E459" s="24">
        <f t="shared" si="75"/>
        <v>0.1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0">
        <f t="shared" si="83"/>
        <v>0</v>
      </c>
    </row>
    <row r="460" spans="1:19">
      <c r="A460" s="158"/>
      <c r="B460" s="58"/>
      <c r="C460" s="24">
        <f t="shared" si="74"/>
        <v>1</v>
      </c>
      <c r="D460" s="718"/>
      <c r="E460" s="24">
        <f t="shared" si="75"/>
        <v>0.1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0">
        <f t="shared" si="83"/>
        <v>0</v>
      </c>
    </row>
    <row r="461" spans="1:19">
      <c r="A461" s="158"/>
      <c r="B461" s="58"/>
      <c r="C461" s="24">
        <f t="shared" si="74"/>
        <v>1</v>
      </c>
      <c r="D461" s="718"/>
      <c r="E461" s="24">
        <f t="shared" si="75"/>
        <v>0.1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0">
        <f t="shared" si="83"/>
        <v>0</v>
      </c>
    </row>
    <row r="462" spans="1:19">
      <c r="A462" s="158"/>
      <c r="B462" s="58"/>
      <c r="C462" s="24">
        <f t="shared" si="74"/>
        <v>1</v>
      </c>
      <c r="D462" s="718"/>
      <c r="E462" s="24">
        <f t="shared" si="75"/>
        <v>0.1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0">
        <f t="shared" si="83"/>
        <v>0</v>
      </c>
    </row>
    <row r="463" spans="1:19">
      <c r="A463" s="158"/>
      <c r="B463" s="58"/>
      <c r="C463" s="24">
        <f t="shared" si="74"/>
        <v>1</v>
      </c>
      <c r="D463" s="718"/>
      <c r="E463" s="24">
        <f t="shared" si="75"/>
        <v>0.1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0">
        <f t="shared" si="83"/>
        <v>0</v>
      </c>
    </row>
    <row r="464" spans="1:19">
      <c r="A464" s="158"/>
      <c r="B464" s="58"/>
      <c r="C464" s="24">
        <f t="shared" si="74"/>
        <v>1</v>
      </c>
      <c r="D464" s="718"/>
      <c r="E464" s="24">
        <f t="shared" si="75"/>
        <v>0.1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0">
        <f t="shared" si="83"/>
        <v>0</v>
      </c>
    </row>
    <row r="465" spans="1:19">
      <c r="A465" s="158"/>
      <c r="B465" s="58"/>
      <c r="C465" s="24">
        <f t="shared" si="74"/>
        <v>1</v>
      </c>
      <c r="D465" s="718"/>
      <c r="E465" s="24">
        <f t="shared" si="75"/>
        <v>0.1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0">
        <f t="shared" si="83"/>
        <v>0</v>
      </c>
    </row>
    <row r="466" spans="1:19">
      <c r="A466" s="158"/>
      <c r="B466" s="58"/>
      <c r="C466" s="24">
        <f t="shared" si="74"/>
        <v>1</v>
      </c>
      <c r="D466" s="718"/>
      <c r="E466" s="24">
        <f t="shared" si="75"/>
        <v>0.1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0">
        <f t="shared" si="83"/>
        <v>0</v>
      </c>
    </row>
    <row r="467" spans="1:19">
      <c r="A467" s="158"/>
      <c r="B467" s="58"/>
      <c r="C467" s="24">
        <f t="shared" si="74"/>
        <v>1</v>
      </c>
      <c r="D467" s="718"/>
      <c r="E467" s="24">
        <f t="shared" si="75"/>
        <v>0.1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0">
        <f t="shared" si="83"/>
        <v>0</v>
      </c>
    </row>
    <row r="468" spans="1:19">
      <c r="A468" s="158"/>
      <c r="B468" s="58"/>
      <c r="C468" s="24">
        <f t="shared" si="74"/>
        <v>1</v>
      </c>
      <c r="D468" s="718"/>
      <c r="E468" s="24">
        <f t="shared" si="75"/>
        <v>0.1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0">
        <f t="shared" ref="S468:S497" si="84">ROUND(R468*B468/10000,0)</f>
        <v>0</v>
      </c>
    </row>
    <row r="469" spans="1:19">
      <c r="A469" s="158"/>
      <c r="B469" s="58"/>
      <c r="C469" s="24">
        <f t="shared" si="74"/>
        <v>1</v>
      </c>
      <c r="D469" s="718"/>
      <c r="E469" s="24">
        <f t="shared" si="75"/>
        <v>0.1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0">
        <f t="shared" si="84"/>
        <v>0</v>
      </c>
    </row>
    <row r="470" spans="1:19">
      <c r="A470" s="158"/>
      <c r="B470" s="58"/>
      <c r="C470" s="24">
        <f t="shared" si="74"/>
        <v>1</v>
      </c>
      <c r="D470" s="718"/>
      <c r="E470" s="24">
        <f t="shared" si="75"/>
        <v>0.1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0">
        <f t="shared" si="84"/>
        <v>0</v>
      </c>
    </row>
    <row r="471" spans="1:19">
      <c r="A471" s="158"/>
      <c r="B471" s="58"/>
      <c r="C471" s="24">
        <f t="shared" si="74"/>
        <v>1</v>
      </c>
      <c r="D471" s="718"/>
      <c r="E471" s="24">
        <f t="shared" si="75"/>
        <v>0.1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0">
        <f t="shared" si="84"/>
        <v>0</v>
      </c>
    </row>
    <row r="472" spans="1:19">
      <c r="A472" s="158"/>
      <c r="B472" s="58"/>
      <c r="C472" s="24">
        <f t="shared" si="74"/>
        <v>1</v>
      </c>
      <c r="D472" s="718"/>
      <c r="E472" s="24">
        <f t="shared" si="75"/>
        <v>0.1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0">
        <f t="shared" si="84"/>
        <v>0</v>
      </c>
    </row>
    <row r="473" spans="1:19">
      <c r="A473" s="158"/>
      <c r="B473" s="58"/>
      <c r="C473" s="24">
        <f t="shared" si="74"/>
        <v>1</v>
      </c>
      <c r="D473" s="718"/>
      <c r="E473" s="24">
        <f t="shared" si="75"/>
        <v>0.1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0">
        <f t="shared" si="84"/>
        <v>0</v>
      </c>
    </row>
    <row r="474" spans="1:19">
      <c r="A474" s="158"/>
      <c r="B474" s="58"/>
      <c r="C474" s="24">
        <f t="shared" ref="C474:C524" si="85">IF(B474="",1,(LOOKUP(B474,$3:$3,$4:$4)-LOOKUP($B$24,$3:$3,$4:$4)+100)/100)</f>
        <v>1</v>
      </c>
      <c r="D474" s="718"/>
      <c r="E474" s="24">
        <f t="shared" ref="E474:E524" si="86">(SUMIF($5:$5,D474,$6:$6)-SUMIF($5:$5,$D$24,$6:$6)+100)/100</f>
        <v>0.1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0">
        <f t="shared" si="84"/>
        <v>0</v>
      </c>
    </row>
    <row r="475" spans="1:19">
      <c r="A475" s="158"/>
      <c r="B475" s="58"/>
      <c r="C475" s="24">
        <f t="shared" si="85"/>
        <v>1</v>
      </c>
      <c r="D475" s="718"/>
      <c r="E475" s="24">
        <f t="shared" si="86"/>
        <v>0.1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0">
        <f t="shared" si="84"/>
        <v>0</v>
      </c>
    </row>
    <row r="476" spans="1:19">
      <c r="A476" s="158"/>
      <c r="B476" s="58"/>
      <c r="C476" s="24">
        <f t="shared" si="85"/>
        <v>1</v>
      </c>
      <c r="D476" s="718"/>
      <c r="E476" s="24">
        <f t="shared" si="86"/>
        <v>0.1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0">
        <f t="shared" si="84"/>
        <v>0</v>
      </c>
    </row>
    <row r="477" spans="1:19">
      <c r="A477" s="158"/>
      <c r="B477" s="58"/>
      <c r="C477" s="24">
        <f t="shared" si="85"/>
        <v>1</v>
      </c>
      <c r="D477" s="718"/>
      <c r="E477" s="24">
        <f t="shared" si="86"/>
        <v>0.1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0">
        <f t="shared" si="84"/>
        <v>0</v>
      </c>
    </row>
    <row r="478" spans="1:19">
      <c r="A478" s="158"/>
      <c r="B478" s="58"/>
      <c r="C478" s="24">
        <f t="shared" si="85"/>
        <v>1</v>
      </c>
      <c r="D478" s="718"/>
      <c r="E478" s="24">
        <f t="shared" si="86"/>
        <v>0.1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0">
        <f t="shared" si="84"/>
        <v>0</v>
      </c>
    </row>
    <row r="479" spans="1:19">
      <c r="A479" s="158"/>
      <c r="B479" s="58"/>
      <c r="C479" s="24">
        <f t="shared" si="85"/>
        <v>1</v>
      </c>
      <c r="D479" s="718"/>
      <c r="E479" s="24">
        <f t="shared" si="86"/>
        <v>0.1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0">
        <f t="shared" si="84"/>
        <v>0</v>
      </c>
    </row>
    <row r="480" spans="1:19">
      <c r="A480" s="158"/>
      <c r="B480" s="58"/>
      <c r="C480" s="24">
        <f t="shared" si="85"/>
        <v>1</v>
      </c>
      <c r="D480" s="718"/>
      <c r="E480" s="24">
        <f t="shared" si="86"/>
        <v>0.1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0">
        <f t="shared" si="84"/>
        <v>0</v>
      </c>
    </row>
    <row r="481" spans="1:19">
      <c r="A481" s="158"/>
      <c r="B481" s="58"/>
      <c r="C481" s="24">
        <f t="shared" si="85"/>
        <v>1</v>
      </c>
      <c r="D481" s="718"/>
      <c r="E481" s="24">
        <f t="shared" si="86"/>
        <v>0.1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0">
        <f t="shared" si="84"/>
        <v>0</v>
      </c>
    </row>
    <row r="482" spans="1:19">
      <c r="A482" s="158"/>
      <c r="B482" s="58"/>
      <c r="C482" s="24">
        <f t="shared" si="85"/>
        <v>1</v>
      </c>
      <c r="D482" s="718"/>
      <c r="E482" s="24">
        <f t="shared" si="86"/>
        <v>0.1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0">
        <f t="shared" si="84"/>
        <v>0</v>
      </c>
    </row>
    <row r="483" spans="1:19">
      <c r="A483" s="158"/>
      <c r="B483" s="58"/>
      <c r="C483" s="24">
        <f t="shared" si="85"/>
        <v>1</v>
      </c>
      <c r="D483" s="718"/>
      <c r="E483" s="24">
        <f t="shared" si="86"/>
        <v>0.1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0">
        <f t="shared" si="84"/>
        <v>0</v>
      </c>
    </row>
    <row r="484" spans="1:19">
      <c r="A484" s="158"/>
      <c r="B484" s="58"/>
      <c r="C484" s="24">
        <f t="shared" si="85"/>
        <v>1</v>
      </c>
      <c r="D484" s="718"/>
      <c r="E484" s="24">
        <f t="shared" si="86"/>
        <v>0.1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0">
        <f t="shared" si="84"/>
        <v>0</v>
      </c>
    </row>
    <row r="485" spans="1:19">
      <c r="A485" s="158"/>
      <c r="B485" s="58"/>
      <c r="C485" s="24">
        <f t="shared" si="85"/>
        <v>1</v>
      </c>
      <c r="D485" s="718"/>
      <c r="E485" s="24">
        <f t="shared" si="86"/>
        <v>0.1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0">
        <f t="shared" si="84"/>
        <v>0</v>
      </c>
    </row>
    <row r="486" spans="1:19">
      <c r="A486" s="158"/>
      <c r="B486" s="58"/>
      <c r="C486" s="24">
        <f t="shared" si="85"/>
        <v>1</v>
      </c>
      <c r="D486" s="718"/>
      <c r="E486" s="24">
        <f t="shared" si="86"/>
        <v>0.1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0">
        <f t="shared" si="84"/>
        <v>0</v>
      </c>
    </row>
    <row r="487" spans="1:19">
      <c r="A487" s="158"/>
      <c r="B487" s="58"/>
      <c r="C487" s="24">
        <f t="shared" si="85"/>
        <v>1</v>
      </c>
      <c r="D487" s="718"/>
      <c r="E487" s="24">
        <f t="shared" si="86"/>
        <v>0.1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0">
        <f t="shared" si="84"/>
        <v>0</v>
      </c>
    </row>
    <row r="488" spans="1:19">
      <c r="A488" s="158"/>
      <c r="B488" s="58"/>
      <c r="C488" s="24">
        <f t="shared" si="85"/>
        <v>1</v>
      </c>
      <c r="D488" s="718"/>
      <c r="E488" s="24">
        <f t="shared" si="86"/>
        <v>0.1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0">
        <f t="shared" si="84"/>
        <v>0</v>
      </c>
    </row>
    <row r="489" spans="1:19">
      <c r="A489" s="158"/>
      <c r="B489" s="58"/>
      <c r="C489" s="24">
        <f t="shared" si="85"/>
        <v>1</v>
      </c>
      <c r="D489" s="718"/>
      <c r="E489" s="24">
        <f t="shared" si="86"/>
        <v>0.1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0">
        <f t="shared" si="84"/>
        <v>0</v>
      </c>
    </row>
    <row r="490" spans="1:19">
      <c r="A490" s="158"/>
      <c r="B490" s="58"/>
      <c r="C490" s="24">
        <f t="shared" si="85"/>
        <v>1</v>
      </c>
      <c r="D490" s="718"/>
      <c r="E490" s="24">
        <f t="shared" si="86"/>
        <v>0.1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0">
        <f t="shared" si="84"/>
        <v>0</v>
      </c>
    </row>
    <row r="491" spans="1:19">
      <c r="A491" s="158"/>
      <c r="B491" s="58"/>
      <c r="C491" s="24">
        <f t="shared" si="85"/>
        <v>1</v>
      </c>
      <c r="D491" s="718"/>
      <c r="E491" s="24">
        <f t="shared" si="86"/>
        <v>0.1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0">
        <f t="shared" si="84"/>
        <v>0</v>
      </c>
    </row>
    <row r="492" spans="1:19">
      <c r="A492" s="158"/>
      <c r="B492" s="58"/>
      <c r="C492" s="24">
        <f t="shared" si="85"/>
        <v>1</v>
      </c>
      <c r="D492" s="718"/>
      <c r="E492" s="24">
        <f t="shared" si="86"/>
        <v>0.1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0">
        <f t="shared" si="84"/>
        <v>0</v>
      </c>
    </row>
    <row r="493" spans="1:19">
      <c r="A493" s="158"/>
      <c r="B493" s="58"/>
      <c r="C493" s="24">
        <f t="shared" si="85"/>
        <v>1</v>
      </c>
      <c r="D493" s="718"/>
      <c r="E493" s="24">
        <f t="shared" si="86"/>
        <v>0.1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0">
        <f t="shared" si="84"/>
        <v>0</v>
      </c>
    </row>
    <row r="494" spans="1:19">
      <c r="A494" s="158"/>
      <c r="B494" s="58"/>
      <c r="C494" s="24">
        <f t="shared" si="85"/>
        <v>1</v>
      </c>
      <c r="D494" s="718"/>
      <c r="E494" s="24">
        <f t="shared" si="86"/>
        <v>0.1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0">
        <f t="shared" si="84"/>
        <v>0</v>
      </c>
    </row>
    <row r="495" spans="1:19">
      <c r="A495" s="158"/>
      <c r="B495" s="58"/>
      <c r="C495" s="24">
        <f t="shared" si="85"/>
        <v>1</v>
      </c>
      <c r="D495" s="718"/>
      <c r="E495" s="24">
        <f t="shared" si="86"/>
        <v>0.1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0">
        <f t="shared" si="84"/>
        <v>0</v>
      </c>
    </row>
    <row r="496" spans="1:19">
      <c r="A496" s="158"/>
      <c r="B496" s="58"/>
      <c r="C496" s="24">
        <f t="shared" si="85"/>
        <v>1</v>
      </c>
      <c r="D496" s="718"/>
      <c r="E496" s="24">
        <f t="shared" si="86"/>
        <v>0.1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0">
        <f t="shared" si="84"/>
        <v>0</v>
      </c>
    </row>
    <row r="497" spans="1:19">
      <c r="A497" s="158"/>
      <c r="B497" s="58"/>
      <c r="C497" s="24">
        <f t="shared" si="85"/>
        <v>1</v>
      </c>
      <c r="D497" s="718"/>
      <c r="E497" s="24">
        <f t="shared" si="86"/>
        <v>0.1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0">
        <f t="shared" si="84"/>
        <v>0</v>
      </c>
    </row>
    <row r="498" spans="1:19">
      <c r="A498" s="158"/>
      <c r="B498" s="58"/>
      <c r="C498" s="24">
        <f t="shared" si="85"/>
        <v>1</v>
      </c>
      <c r="D498" s="718"/>
      <c r="E498" s="24">
        <f t="shared" si="86"/>
        <v>0.1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0">
        <f t="shared" ref="S498:S524" si="94">ROUND(R498*B498/10000,0)</f>
        <v>0</v>
      </c>
    </row>
    <row r="499" spans="1:19">
      <c r="A499" s="158"/>
      <c r="B499" s="58"/>
      <c r="C499" s="24">
        <f t="shared" si="85"/>
        <v>1</v>
      </c>
      <c r="D499" s="718"/>
      <c r="E499" s="24">
        <f t="shared" si="86"/>
        <v>0.1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0">
        <f t="shared" si="94"/>
        <v>0</v>
      </c>
    </row>
    <row r="500" spans="1:19">
      <c r="A500" s="158"/>
      <c r="B500" s="58"/>
      <c r="C500" s="24">
        <f t="shared" si="85"/>
        <v>1</v>
      </c>
      <c r="D500" s="718"/>
      <c r="E500" s="24">
        <f t="shared" si="86"/>
        <v>0.1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0">
        <f t="shared" si="94"/>
        <v>0</v>
      </c>
    </row>
    <row r="501" spans="1:19">
      <c r="A501" s="158"/>
      <c r="B501" s="58"/>
      <c r="C501" s="24">
        <f t="shared" si="85"/>
        <v>1</v>
      </c>
      <c r="D501" s="718"/>
      <c r="E501" s="24">
        <f t="shared" si="86"/>
        <v>0.1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0">
        <f t="shared" si="94"/>
        <v>0</v>
      </c>
    </row>
    <row r="502" spans="1:19">
      <c r="A502" s="158"/>
      <c r="B502" s="58"/>
      <c r="C502" s="24">
        <f t="shared" si="85"/>
        <v>1</v>
      </c>
      <c r="D502" s="718"/>
      <c r="E502" s="24">
        <f t="shared" si="86"/>
        <v>0.1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0">
        <f t="shared" si="94"/>
        <v>0</v>
      </c>
    </row>
    <row r="503" spans="1:19">
      <c r="A503" s="158"/>
      <c r="B503" s="58"/>
      <c r="C503" s="24">
        <f t="shared" si="85"/>
        <v>1</v>
      </c>
      <c r="D503" s="718"/>
      <c r="E503" s="24">
        <f t="shared" si="86"/>
        <v>0.1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0">
        <f t="shared" si="94"/>
        <v>0</v>
      </c>
    </row>
    <row r="504" spans="1:19">
      <c r="A504" s="158"/>
      <c r="B504" s="58"/>
      <c r="C504" s="24">
        <f t="shared" si="85"/>
        <v>1</v>
      </c>
      <c r="D504" s="718"/>
      <c r="E504" s="24">
        <f t="shared" si="86"/>
        <v>0.1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0">
        <f t="shared" si="94"/>
        <v>0</v>
      </c>
    </row>
    <row r="505" spans="1:19">
      <c r="A505" s="158"/>
      <c r="B505" s="58"/>
      <c r="C505" s="24">
        <f t="shared" si="85"/>
        <v>1</v>
      </c>
      <c r="D505" s="718"/>
      <c r="E505" s="24">
        <f t="shared" si="86"/>
        <v>0.1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0">
        <f t="shared" si="94"/>
        <v>0</v>
      </c>
    </row>
    <row r="506" spans="1:19">
      <c r="A506" s="158"/>
      <c r="B506" s="58"/>
      <c r="C506" s="24">
        <f t="shared" si="85"/>
        <v>1</v>
      </c>
      <c r="D506" s="718"/>
      <c r="E506" s="24">
        <f t="shared" si="86"/>
        <v>0.1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0">
        <f t="shared" si="94"/>
        <v>0</v>
      </c>
    </row>
    <row r="507" spans="1:19">
      <c r="A507" s="158"/>
      <c r="B507" s="58"/>
      <c r="C507" s="24">
        <f t="shared" si="85"/>
        <v>1</v>
      </c>
      <c r="D507" s="718"/>
      <c r="E507" s="24">
        <f t="shared" si="86"/>
        <v>0.1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0">
        <f t="shared" si="94"/>
        <v>0</v>
      </c>
    </row>
    <row r="508" spans="1:19">
      <c r="A508" s="158"/>
      <c r="B508" s="58"/>
      <c r="C508" s="24">
        <f t="shared" si="85"/>
        <v>1</v>
      </c>
      <c r="D508" s="718"/>
      <c r="E508" s="24">
        <f t="shared" si="86"/>
        <v>0.1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0">
        <f t="shared" si="94"/>
        <v>0</v>
      </c>
    </row>
    <row r="509" spans="1:19">
      <c r="A509" s="158"/>
      <c r="B509" s="58"/>
      <c r="C509" s="24">
        <f t="shared" si="85"/>
        <v>1</v>
      </c>
      <c r="D509" s="718"/>
      <c r="E509" s="24">
        <f t="shared" si="86"/>
        <v>0.1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0">
        <f t="shared" si="94"/>
        <v>0</v>
      </c>
    </row>
    <row r="510" spans="1:19">
      <c r="A510" s="158"/>
      <c r="B510" s="58"/>
      <c r="C510" s="24">
        <f t="shared" si="85"/>
        <v>1</v>
      </c>
      <c r="D510" s="718"/>
      <c r="E510" s="24">
        <f t="shared" si="86"/>
        <v>0.1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0">
        <f t="shared" si="94"/>
        <v>0</v>
      </c>
    </row>
    <row r="511" spans="1:19">
      <c r="A511" s="158"/>
      <c r="B511" s="58"/>
      <c r="C511" s="24">
        <f t="shared" si="85"/>
        <v>1</v>
      </c>
      <c r="D511" s="718"/>
      <c r="E511" s="24">
        <f t="shared" si="86"/>
        <v>0.1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0">
        <f t="shared" si="94"/>
        <v>0</v>
      </c>
    </row>
    <row r="512" spans="1:19">
      <c r="A512" s="158"/>
      <c r="B512" s="58"/>
      <c r="C512" s="24">
        <f t="shared" si="85"/>
        <v>1</v>
      </c>
      <c r="D512" s="718"/>
      <c r="E512" s="24">
        <f t="shared" si="86"/>
        <v>0.1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0">
        <f t="shared" si="94"/>
        <v>0</v>
      </c>
    </row>
    <row r="513" spans="1:19">
      <c r="A513" s="158"/>
      <c r="B513" s="58"/>
      <c r="C513" s="24">
        <f t="shared" si="85"/>
        <v>1</v>
      </c>
      <c r="D513" s="718"/>
      <c r="E513" s="24">
        <f t="shared" si="86"/>
        <v>0.1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0">
        <f t="shared" si="94"/>
        <v>0</v>
      </c>
    </row>
    <row r="514" spans="1:19">
      <c r="A514" s="158"/>
      <c r="B514" s="58"/>
      <c r="C514" s="24">
        <f t="shared" si="85"/>
        <v>1</v>
      </c>
      <c r="D514" s="718"/>
      <c r="E514" s="24">
        <f t="shared" si="86"/>
        <v>0.1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0">
        <f t="shared" si="94"/>
        <v>0</v>
      </c>
    </row>
    <row r="515" spans="1:19">
      <c r="A515" s="158"/>
      <c r="B515" s="58"/>
      <c r="C515" s="24">
        <f t="shared" si="85"/>
        <v>1</v>
      </c>
      <c r="D515" s="718"/>
      <c r="E515" s="24">
        <f t="shared" si="86"/>
        <v>0.1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0">
        <f t="shared" si="94"/>
        <v>0</v>
      </c>
    </row>
    <row r="516" spans="1:19">
      <c r="A516" s="158"/>
      <c r="B516" s="58"/>
      <c r="C516" s="24">
        <f t="shared" si="85"/>
        <v>1</v>
      </c>
      <c r="D516" s="718"/>
      <c r="E516" s="24">
        <f t="shared" si="86"/>
        <v>0.1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0">
        <f t="shared" si="94"/>
        <v>0</v>
      </c>
    </row>
    <row r="517" spans="1:19">
      <c r="A517" s="158"/>
      <c r="B517" s="58"/>
      <c r="C517" s="24">
        <f t="shared" si="85"/>
        <v>1</v>
      </c>
      <c r="D517" s="718"/>
      <c r="E517" s="24">
        <f t="shared" si="86"/>
        <v>0.1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0">
        <f t="shared" si="94"/>
        <v>0</v>
      </c>
    </row>
    <row r="518" spans="1:19">
      <c r="A518" s="158"/>
      <c r="B518" s="58"/>
      <c r="C518" s="24">
        <f t="shared" si="85"/>
        <v>1</v>
      </c>
      <c r="D518" s="718"/>
      <c r="E518" s="24">
        <f t="shared" si="86"/>
        <v>0.1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0">
        <f t="shared" si="94"/>
        <v>0</v>
      </c>
    </row>
    <row r="519" spans="1:19">
      <c r="A519" s="158"/>
      <c r="B519" s="58"/>
      <c r="C519" s="24">
        <f t="shared" si="85"/>
        <v>1</v>
      </c>
      <c r="D519" s="718"/>
      <c r="E519" s="24">
        <f t="shared" si="86"/>
        <v>0.1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0">
        <f t="shared" si="94"/>
        <v>0</v>
      </c>
    </row>
    <row r="520" spans="1:19">
      <c r="A520" s="158"/>
      <c r="B520" s="58"/>
      <c r="C520" s="24">
        <f t="shared" si="85"/>
        <v>1</v>
      </c>
      <c r="D520" s="718"/>
      <c r="E520" s="24">
        <f t="shared" si="86"/>
        <v>0.1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0">
        <f t="shared" si="94"/>
        <v>0</v>
      </c>
    </row>
    <row r="521" spans="1:19">
      <c r="A521" s="158"/>
      <c r="B521" s="58"/>
      <c r="C521" s="24">
        <f t="shared" si="85"/>
        <v>1</v>
      </c>
      <c r="D521" s="718"/>
      <c r="E521" s="24">
        <f t="shared" si="86"/>
        <v>0.1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0">
        <f t="shared" si="94"/>
        <v>0</v>
      </c>
    </row>
    <row r="522" spans="1:19">
      <c r="A522" s="158"/>
      <c r="B522" s="58"/>
      <c r="C522" s="24">
        <f t="shared" si="85"/>
        <v>1</v>
      </c>
      <c r="D522" s="718"/>
      <c r="E522" s="24">
        <f t="shared" si="86"/>
        <v>0.1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0">
        <f t="shared" si="94"/>
        <v>0</v>
      </c>
    </row>
    <row r="523" spans="1:19">
      <c r="A523" s="158"/>
      <c r="B523" s="58"/>
      <c r="C523" s="24">
        <f t="shared" si="85"/>
        <v>1</v>
      </c>
      <c r="D523" s="718"/>
      <c r="E523" s="24">
        <f t="shared" si="86"/>
        <v>0.1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0">
        <f t="shared" si="94"/>
        <v>0</v>
      </c>
    </row>
    <row r="524" spans="1:19">
      <c r="A524" s="158"/>
      <c r="B524" s="58"/>
      <c r="C524" s="24">
        <f t="shared" si="85"/>
        <v>1</v>
      </c>
      <c r="D524" s="718"/>
      <c r="E524" s="24">
        <f t="shared" si="86"/>
        <v>0.1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topLeftCell="A64" zoomScale="90" zoomScaleNormal="90" zoomScaleSheetLayoutView="90" workbookViewId="0">
      <selection activeCell="B2" sqref="B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80"/>
      <c r="C1" s="1833" t="s">
        <v>3087</v>
      </c>
      <c r="D1" s="1816" t="s">
        <v>70</v>
      </c>
      <c r="E1" s="1817" t="s">
        <v>1385</v>
      </c>
      <c r="F1" s="1279">
        <f ca="1">J53</f>
        <v>36.5</v>
      </c>
      <c r="G1" s="1832">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1514</v>
      </c>
      <c r="B2" s="1840">
        <f ca="1">C40+J29+L46</f>
        <v>182349</v>
      </c>
      <c r="C2" s="1841" t="s">
        <v>1515</v>
      </c>
      <c r="D2" s="1841"/>
      <c r="E2" s="1842"/>
      <c r="F2" s="1843"/>
      <c r="G2" s="1844"/>
      <c r="H2" s="1836"/>
      <c r="I2" s="1836"/>
      <c r="J2" s="1836"/>
      <c r="K2" s="1837"/>
      <c r="L2" s="1836"/>
      <c r="M2" s="1836"/>
    </row>
    <row r="3" spans="1:37" ht="18" customHeight="1" thickBot="1">
      <c r="A3" s="1845" t="s">
        <v>1516</v>
      </c>
      <c r="B3" s="1846">
        <f ca="1">IF(ISERROR(B2*10000/F43),0,ROUND(B2*10000/F43,0))</f>
        <v>68340</v>
      </c>
      <c r="C3" s="1841" t="s">
        <v>1517</v>
      </c>
      <c r="D3" s="1841"/>
      <c r="E3" s="1842"/>
      <c r="F3" s="1843"/>
      <c r="G3" s="1844"/>
      <c r="H3" s="742" t="s">
        <v>1587</v>
      </c>
      <c r="I3" s="1836"/>
      <c r="J3" s="1836"/>
      <c r="K3" s="1837"/>
      <c r="L3" s="1836"/>
      <c r="M3" s="1836"/>
    </row>
    <row r="4" spans="1:37" ht="18" customHeight="1">
      <c r="A4" s="339" t="s">
        <v>1394</v>
      </c>
      <c r="B4" s="340" t="s">
        <v>1395</v>
      </c>
      <c r="C4" s="340" t="s">
        <v>1396</v>
      </c>
      <c r="D4" s="340" t="s">
        <v>1397</v>
      </c>
      <c r="E4" s="341" t="s">
        <v>1398</v>
      </c>
      <c r="F4" s="342"/>
      <c r="G4" s="1847"/>
      <c r="H4" s="339" t="s">
        <v>1394</v>
      </c>
      <c r="I4" s="340" t="s">
        <v>1395</v>
      </c>
      <c r="J4" s="340" t="s">
        <v>1396</v>
      </c>
      <c r="K4" s="340" t="s">
        <v>1397</v>
      </c>
      <c r="L4" s="341" t="s">
        <v>1398</v>
      </c>
      <c r="M4" s="342"/>
    </row>
    <row r="5" spans="1:37" ht="18" customHeight="1">
      <c r="A5" s="343">
        <v>1</v>
      </c>
      <c r="B5" s="344" t="s">
        <v>1399</v>
      </c>
      <c r="C5" s="1288">
        <f ca="1">C6+C10+C12</f>
        <v>9176</v>
      </c>
      <c r="D5" s="1818" t="s">
        <v>1400</v>
      </c>
      <c r="E5" s="1289"/>
      <c r="F5" s="1290"/>
      <c r="G5" s="1847"/>
      <c r="H5" s="343">
        <v>1</v>
      </c>
      <c r="I5" s="344" t="s">
        <v>1399</v>
      </c>
      <c r="J5" s="1288">
        <f ca="1">J6+J10+J12</f>
        <v>9830</v>
      </c>
      <c r="K5" s="1818" t="s">
        <v>1400</v>
      </c>
      <c r="L5" s="1289"/>
      <c r="M5" s="1290"/>
    </row>
    <row r="6" spans="1:37" ht="18" customHeight="1">
      <c r="A6" s="1287" t="s">
        <v>1035</v>
      </c>
      <c r="B6" s="3301" t="s">
        <v>1401</v>
      </c>
      <c r="C6" s="1292">
        <f ca="1">ROUND(F6*F8*F7*(1-F9)/10000,0)</f>
        <v>9165</v>
      </c>
      <c r="D6" s="163" t="s">
        <v>3027</v>
      </c>
      <c r="E6" s="346" t="s">
        <v>1403</v>
      </c>
      <c r="F6" s="347">
        <f ca="1">INDIRECT("'数据-取费表'!u"&amp;$G$1)</f>
        <v>9.41</v>
      </c>
      <c r="G6" s="1847"/>
      <c r="H6" s="1287" t="s">
        <v>1035</v>
      </c>
      <c r="I6" s="3301" t="s">
        <v>1401</v>
      </c>
      <c r="J6" s="345">
        <f ca="1">ROUND(M6*M8*M7*(1-M9)/10000,0)</f>
        <v>9817</v>
      </c>
      <c r="K6" s="163" t="s">
        <v>3026</v>
      </c>
      <c r="L6" s="346" t="s">
        <v>1403</v>
      </c>
      <c r="M6" s="347">
        <f ca="1">INDIRECT("'数据-取费表'!z"&amp;$G$1)</f>
        <v>10.61</v>
      </c>
    </row>
    <row r="7" spans="1:37" ht="18" customHeight="1">
      <c r="A7" s="1291"/>
      <c r="B7" s="3302"/>
      <c r="C7" s="1293"/>
      <c r="D7" s="351"/>
      <c r="E7" s="1294" t="s">
        <v>1404</v>
      </c>
      <c r="F7" s="347">
        <f ca="1">IF(INDIRECT("'数据-取费表'!ah"&amp;$G$1)="",INDIRECT("'数据-取费表'!k"&amp;$G$1),INDIRECT("'数据-取费表'!ah"&amp;$G$1))</f>
        <v>26682.59</v>
      </c>
      <c r="G7" s="1847"/>
      <c r="H7" s="348"/>
      <c r="I7" s="3302"/>
      <c r="J7" s="350"/>
      <c r="K7" s="351"/>
      <c r="L7" s="346" t="s">
        <v>1404</v>
      </c>
      <c r="M7" s="347">
        <f ca="1">F7</f>
        <v>26682.59</v>
      </c>
    </row>
    <row r="8" spans="1:37" ht="18" customHeight="1">
      <c r="A8" s="348"/>
      <c r="B8" s="3302"/>
      <c r="C8" s="350"/>
      <c r="D8" s="351"/>
      <c r="E8" s="346" t="s">
        <v>1405</v>
      </c>
      <c r="F8" s="347">
        <f ca="1">INDIRECT("'数据-取费表'!ai"&amp;$G$1)</f>
        <v>365</v>
      </c>
      <c r="G8" s="1847"/>
      <c r="H8" s="348"/>
      <c r="I8" s="3302"/>
      <c r="J8" s="350"/>
      <c r="K8" s="351"/>
      <c r="L8" s="346" t="s">
        <v>1405</v>
      </c>
      <c r="M8" s="347">
        <f ca="1">INDIRECT("'数据-取费表'!ai"&amp;$G$1)</f>
        <v>365</v>
      </c>
    </row>
    <row r="9" spans="1:37" ht="18" customHeight="1">
      <c r="A9" s="348"/>
      <c r="B9" s="3303"/>
      <c r="C9" s="350"/>
      <c r="D9" s="351"/>
      <c r="E9" s="346" t="s">
        <v>1406</v>
      </c>
      <c r="F9" s="356">
        <f ca="1">INDIRECT("'数据-取费表'!w"&amp;$G$1)</f>
        <v>0</v>
      </c>
      <c r="G9" s="1847"/>
      <c r="H9" s="348"/>
      <c r="I9" s="3303"/>
      <c r="J9" s="350"/>
      <c r="K9" s="351"/>
      <c r="L9" s="357" t="s">
        <v>1406</v>
      </c>
      <c r="M9" s="358">
        <f ca="1">INDIRECT("'数据-取费表'!ab"&amp;$G$1)</f>
        <v>0.05</v>
      </c>
    </row>
    <row r="10" spans="1:37" ht="18" customHeight="1">
      <c r="A10" s="1287" t="s">
        <v>1039</v>
      </c>
      <c r="B10" s="1819" t="s">
        <v>1407</v>
      </c>
      <c r="C10" s="360">
        <f ca="1">ROUND(IF(F10="押一",F6*F8*F7/12*F11,IF(F10="押二",F6*F8*F7/12*2*F11,IF(F10="押三",F6*F8*F7/12*3*F11,C11*F11)))/10000,0)</f>
        <v>11</v>
      </c>
      <c r="D10" s="1820" t="s">
        <v>3028</v>
      </c>
      <c r="E10" s="357" t="s">
        <v>1409</v>
      </c>
      <c r="F10" s="1362" t="s">
        <v>3088</v>
      </c>
      <c r="G10" s="1847"/>
      <c r="H10" s="1287" t="s">
        <v>1039</v>
      </c>
      <c r="I10" s="1819" t="s">
        <v>1407</v>
      </c>
      <c r="J10" s="345">
        <f ca="1">ROUND(IF(M10="押一",M6*M8*M7/12*M11,IF(M10="押二",M6*M8*M7/12*2*M11,IF(M10="押三",M6*M8*M7/12*3*M11,J11*M11)))/10000,0)</f>
        <v>13</v>
      </c>
      <c r="K10" s="1820" t="s">
        <v>3029</v>
      </c>
      <c r="L10" s="357" t="s">
        <v>1409</v>
      </c>
      <c r="M10" s="1362" t="s">
        <v>3088</v>
      </c>
    </row>
    <row r="11" spans="1:37" ht="18" customHeight="1">
      <c r="A11" s="352"/>
      <c r="B11" s="1821" t="s">
        <v>1386</v>
      </c>
      <c r="C11" s="1174"/>
      <c r="D11" s="1822"/>
      <c r="E11" s="357" t="s">
        <v>1411</v>
      </c>
      <c r="F11" s="358">
        <f ca="1">'数据-取费表'!B39</f>
        <v>1.4999999999999999E-2</v>
      </c>
      <c r="G11" s="1847"/>
      <c r="H11" s="1295"/>
      <c r="I11" s="1821" t="s">
        <v>1386</v>
      </c>
      <c r="J11" s="1174"/>
      <c r="K11" s="746"/>
      <c r="L11" s="357"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4">
        <f ca="1">ROUND(C29*F13,0)</f>
        <v>17105</v>
      </c>
      <c r="D13" s="1327" t="s">
        <v>1414</v>
      </c>
      <c r="E13" s="1327" t="s">
        <v>1415</v>
      </c>
      <c r="F13" s="1328">
        <f ca="1">INDIRECT("'数据-取费表'!y"&amp;$G$1)</f>
        <v>0.86499999999999999</v>
      </c>
      <c r="G13" s="1847"/>
      <c r="H13" s="1325">
        <v>2</v>
      </c>
      <c r="I13" s="1326" t="s">
        <v>1413</v>
      </c>
      <c r="J13" s="1286">
        <f ca="1">ROUND(J14*J15,0)</f>
        <v>15424</v>
      </c>
      <c r="K13" s="1333" t="s">
        <v>1414</v>
      </c>
      <c r="L13" s="1848"/>
      <c r="M13" s="1849"/>
    </row>
    <row r="14" spans="1:37" ht="18" customHeight="1">
      <c r="A14" s="1197" t="s">
        <v>1034</v>
      </c>
      <c r="B14" s="346" t="s">
        <v>1416</v>
      </c>
      <c r="C14" s="362">
        <f ca="1">INDIRECT("'数据-取费表'!m"&amp;$G$1)+INDIRECT("'数据-取费表'!t"&amp;$G$1)</f>
        <v>12616</v>
      </c>
      <c r="D14" s="1796" t="s">
        <v>1417</v>
      </c>
      <c r="E14" s="1790"/>
      <c r="F14" s="363"/>
      <c r="G14" s="1847"/>
      <c r="H14" s="1197" t="s">
        <v>1035</v>
      </c>
      <c r="I14" s="346" t="s">
        <v>1418</v>
      </c>
      <c r="J14" s="24">
        <f ca="1">C29</f>
        <v>19774</v>
      </c>
      <c r="K14" s="15"/>
      <c r="L14" s="975"/>
      <c r="M14" s="976"/>
    </row>
    <row r="15" spans="1:37" s="1854" customFormat="1" ht="18" customHeight="1" thickBot="1">
      <c r="A15" s="1197" t="s">
        <v>1036</v>
      </c>
      <c r="B15" s="346" t="s">
        <v>1419</v>
      </c>
      <c r="C15" s="24">
        <f ca="1">ROUND(C14*F15,0)</f>
        <v>378</v>
      </c>
      <c r="D15" s="364" t="s">
        <v>1420</v>
      </c>
      <c r="E15" s="364" t="s">
        <v>1421</v>
      </c>
      <c r="F15" s="365">
        <f>'数据-取费表'!B33</f>
        <v>0.03</v>
      </c>
      <c r="G15" s="1850"/>
      <c r="H15" s="1335" t="s">
        <v>1039</v>
      </c>
      <c r="I15" s="1336" t="s">
        <v>1415</v>
      </c>
      <c r="J15" s="1345">
        <f ca="1">INDIRECT("'数据-取费表'!ad"&amp;$G$1)</f>
        <v>0.78</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6" t="s">
        <v>1422</v>
      </c>
      <c r="C16" s="24">
        <f ca="1">ROUND(INDIRECT("'数据-取费表'!m"&amp;$G$1)*F16,0)</f>
        <v>0</v>
      </c>
      <c r="D16" s="346" t="s">
        <v>1420</v>
      </c>
      <c r="E16" s="346" t="s">
        <v>1421</v>
      </c>
      <c r="F16" s="366">
        <f ca="1">IF(INDIRECT("'数据-取费表'!c"&amp;$G$1)="住宅",'数据-取费表'!B34,0)</f>
        <v>0</v>
      </c>
      <c r="G16" s="1847"/>
      <c r="H16" s="1325" t="s">
        <v>1030</v>
      </c>
      <c r="I16" s="1326" t="s">
        <v>1423</v>
      </c>
      <c r="J16" s="354">
        <f ca="1">ROUND(J17+J22+J23+J24,0)</f>
        <v>1120</v>
      </c>
      <c r="K16" s="1333" t="s">
        <v>1424</v>
      </c>
      <c r="L16" s="1334"/>
      <c r="M16" s="1290"/>
    </row>
    <row r="17" spans="1:37" s="1854" customFormat="1" ht="18" customHeight="1">
      <c r="A17" s="1197" t="s">
        <v>1388</v>
      </c>
      <c r="B17" s="346" t="s">
        <v>1425</v>
      </c>
      <c r="C17" s="24">
        <f ca="1">ROUND(F17*(F43+INDIRECT("'数据-取费表'!S"&amp;$G$1))/10000,0)</f>
        <v>574</v>
      </c>
      <c r="D17" s="346" t="s">
        <v>1426</v>
      </c>
      <c r="E17" s="346" t="s">
        <v>1427</v>
      </c>
      <c r="F17" s="26">
        <f>'数据-取费表'!B35</f>
        <v>200</v>
      </c>
      <c r="G17" s="1850"/>
      <c r="H17" s="1197" t="s">
        <v>1035</v>
      </c>
      <c r="I17" s="346" t="s">
        <v>1428</v>
      </c>
      <c r="J17" s="24">
        <f ca="1">ROUND(IF(项目基本情况!B11="自然人",J5*M17,J18+J19+J20),1)</f>
        <v>701.5</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6" t="s">
        <v>1431</v>
      </c>
      <c r="C18" s="24">
        <f ca="1">ROUND(C14*F18,0)</f>
        <v>189</v>
      </c>
      <c r="D18" s="346" t="s">
        <v>1420</v>
      </c>
      <c r="E18" s="346" t="s">
        <v>1421</v>
      </c>
      <c r="F18" s="366">
        <f>'数据-取费表'!B36</f>
        <v>1.4999999999999999E-2</v>
      </c>
      <c r="G18" s="1850"/>
      <c r="H18" s="1197" t="s">
        <v>1034</v>
      </c>
      <c r="I18" s="346" t="s">
        <v>1432</v>
      </c>
      <c r="J18" s="24">
        <f ca="1">ROUND(J5*M18/(1+'数据-取费表'!C42),2)</f>
        <v>524.27</v>
      </c>
      <c r="K18" s="1794"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1434</v>
      </c>
      <c r="C19" s="24">
        <f ca="1">SUM(C14:C18)</f>
        <v>13757</v>
      </c>
      <c r="D19" s="139" t="s">
        <v>1435</v>
      </c>
      <c r="E19" s="1814"/>
      <c r="F19" s="26"/>
      <c r="G19" s="1847"/>
      <c r="H19" s="1197" t="s">
        <v>1036</v>
      </c>
      <c r="I19" s="346" t="s">
        <v>1436</v>
      </c>
      <c r="J19" s="24">
        <f ca="1">IF(K19="按租金收入计税",ROUND(J5*M19,2),ROUND(C29*M19*0.7,2))</f>
        <v>166.1</v>
      </c>
      <c r="K19" s="1824" t="s">
        <v>1437</v>
      </c>
      <c r="L19" s="346" t="s">
        <v>1421</v>
      </c>
      <c r="M19" s="366">
        <f>IF(K19="按租金收入计税",'数据-取费表'!B51,'数据-取费表'!B50)</f>
        <v>1.2E-2</v>
      </c>
    </row>
    <row r="20" spans="1:37" s="1854" customFormat="1" ht="18" customHeight="1">
      <c r="A20" s="1197" t="s">
        <v>1039</v>
      </c>
      <c r="B20" s="346" t="s">
        <v>1438</v>
      </c>
      <c r="C20" s="24">
        <f ca="1">ROUND(C19*F20,0)</f>
        <v>275</v>
      </c>
      <c r="D20" s="368" t="s">
        <v>1439</v>
      </c>
      <c r="E20" s="346" t="s">
        <v>1421</v>
      </c>
      <c r="F20" s="366">
        <f>'数据-取费表'!B37</f>
        <v>0.02</v>
      </c>
      <c r="G20" s="1850"/>
      <c r="H20" s="1197" t="s">
        <v>1387</v>
      </c>
      <c r="I20" s="163" t="s">
        <v>1440</v>
      </c>
      <c r="J20" s="25">
        <f ca="1">ROUND(M20*M21/10000,2)</f>
        <v>11.1</v>
      </c>
      <c r="K20" s="369" t="s">
        <v>1441</v>
      </c>
      <c r="L20" s="346" t="s">
        <v>1442</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1443</v>
      </c>
      <c r="C21" s="24" t="s">
        <v>18</v>
      </c>
      <c r="D21" s="368" t="s">
        <v>1444</v>
      </c>
      <c r="E21" s="346" t="s">
        <v>1445</v>
      </c>
      <c r="F21" s="366">
        <f>'数据-取费表'!B38</f>
        <v>0.02</v>
      </c>
      <c r="G21" s="1850"/>
      <c r="H21" s="371"/>
      <c r="I21" s="355"/>
      <c r="J21" s="29"/>
      <c r="K21" s="372"/>
      <c r="L21" s="346" t="s">
        <v>1446</v>
      </c>
      <c r="M21" s="347">
        <f ca="1">INDIRECT("'数据-取费表'!r"&amp;$G$1)</f>
        <v>4625.9699999999993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6" t="s">
        <v>1447</v>
      </c>
      <c r="C22" s="24"/>
      <c r="D22" s="139" t="str">
        <f>IF(F23&lt;=1,"单利计息。","复利计息。")&amp;"建造成本、管理费用、销售费用产生的利息。"</f>
        <v>复利计息。建造成本、管理费用、销售费用产生的利息。</v>
      </c>
      <c r="E22" s="1814"/>
      <c r="F22" s="26"/>
      <c r="G22" s="1847"/>
      <c r="H22" s="1197" t="s">
        <v>1039</v>
      </c>
      <c r="I22" s="346" t="s">
        <v>1448</v>
      </c>
      <c r="J22" s="24">
        <f ca="1">ROUND(J14*M22,1)</f>
        <v>296.60000000000002</v>
      </c>
      <c r="K22" s="1794" t="s">
        <v>1449</v>
      </c>
      <c r="L22" s="346" t="s">
        <v>1421</v>
      </c>
      <c r="M22" s="373">
        <f ca="1">INDIRECT("'数据-取费表'!Ak"&amp;$G$1)</f>
        <v>1.4999999999999999E-2</v>
      </c>
    </row>
    <row r="23" spans="1:37" s="1854" customFormat="1" ht="18" customHeight="1">
      <c r="A23" s="1197" t="s">
        <v>1034</v>
      </c>
      <c r="B23" s="346" t="s">
        <v>1450</v>
      </c>
      <c r="C23" s="24">
        <f ca="1">IF('数据-取费表'!B22&lt;=1,ROUND(C19*F24*F23/2,0)+ROUND(C20*F24*F23/2,0),ROUND(C19*(POWER((1+F24),F23/2)-1),0)+ROUND(C20*(POWER((1+F24),F23/2)-1),0))</f>
        <v>666</v>
      </c>
      <c r="D23" s="374" t="str">
        <f>IF(F23&lt;=1,"(建造成本+管理费用)×利率×(建设周期÷2)","(建造成本+管理费用)×((1+利率)^(建设周期÷2)-1)")</f>
        <v>(建造成本+管理费用)×((1+利率)^(建设周期÷2)-1)</v>
      </c>
      <c r="E23" s="346" t="s">
        <v>1451</v>
      </c>
      <c r="F23" s="370">
        <f>'数据-取费表'!B20</f>
        <v>2</v>
      </c>
      <c r="G23" s="1850"/>
      <c r="H23" s="1197" t="s">
        <v>1075</v>
      </c>
      <c r="I23" s="346" t="s">
        <v>1452</v>
      </c>
      <c r="J23" s="24">
        <f ca="1">ROUND(J13*M23,1)</f>
        <v>23.1</v>
      </c>
      <c r="K23" s="1794" t="s">
        <v>1453</v>
      </c>
      <c r="L23" s="346" t="s">
        <v>1454</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5" t="s">
        <v>1391</v>
      </c>
      <c r="I24" s="1336" t="s">
        <v>1438</v>
      </c>
      <c r="J24" s="1337">
        <f ca="1">ROUND(J5*M24,1)</f>
        <v>98.3</v>
      </c>
      <c r="K24" s="1338" t="s">
        <v>1458</v>
      </c>
      <c r="L24" s="1336" t="s">
        <v>1454</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1814"/>
      <c r="F25" s="26"/>
      <c r="G25" s="1847"/>
      <c r="H25" s="1325" t="s">
        <v>1031</v>
      </c>
      <c r="I25" s="1340" t="s">
        <v>1462</v>
      </c>
      <c r="J25" s="354">
        <f ca="1">J5-J16</f>
        <v>8710</v>
      </c>
      <c r="K25" s="1341" t="s">
        <v>1463</v>
      </c>
      <c r="L25" s="1342"/>
      <c r="M25" s="1343"/>
    </row>
    <row r="26" spans="1:37">
      <c r="A26" s="1197" t="s">
        <v>1034</v>
      </c>
      <c r="B26" s="346" t="s">
        <v>1464</v>
      </c>
      <c r="C26" s="24">
        <f ca="1">ROUND((C19+C20)*F26,0)</f>
        <v>3508</v>
      </c>
      <c r="D26" s="368" t="s">
        <v>1465</v>
      </c>
      <c r="E26" s="357" t="s">
        <v>1466</v>
      </c>
      <c r="F26" s="356">
        <f ca="1">INDIRECT("'数据-取费表'!q"&amp;$G$1)</f>
        <v>0.25</v>
      </c>
      <c r="G26" s="1847"/>
      <c r="H26" s="343" t="s">
        <v>1032</v>
      </c>
      <c r="I26" s="344" t="s">
        <v>1467</v>
      </c>
      <c r="J26" s="345">
        <f ca="1">IF(J5&lt;&gt;0,ROUND(J25*(1-((1+M28)/(1+M26))^M27)/(M26-M28),0),0)</f>
        <v>191036</v>
      </c>
      <c r="K26" s="369" t="s">
        <v>1468</v>
      </c>
      <c r="L26" s="346" t="s">
        <v>1469</v>
      </c>
      <c r="M26" s="356">
        <f ca="1">INDIRECT("'数据-取费表'!I"&amp;$G$1)</f>
        <v>0.06</v>
      </c>
    </row>
    <row r="27" spans="1:37" ht="18" customHeight="1">
      <c r="A27" s="1197" t="s">
        <v>1036</v>
      </c>
      <c r="B27" s="346" t="s">
        <v>1470</v>
      </c>
      <c r="C27" s="24">
        <f ca="1">ROUND(F21*F26,4)</f>
        <v>5.0000000000000001E-3</v>
      </c>
      <c r="D27" s="368" t="s">
        <v>1471</v>
      </c>
      <c r="E27" s="364"/>
      <c r="F27" s="365"/>
      <c r="G27" s="1847"/>
      <c r="H27" s="348"/>
      <c r="I27" s="349"/>
      <c r="J27" s="350"/>
      <c r="K27" s="377" t="s">
        <v>1472</v>
      </c>
      <c r="L27" s="346" t="s">
        <v>1473</v>
      </c>
      <c r="M27" s="378">
        <f ca="1">INDIRECT("'数据-取费表'!ag"&amp;$G$1)</f>
        <v>33.299999999999997</v>
      </c>
    </row>
    <row r="28" spans="1:37" s="1854" customFormat="1" ht="18" customHeight="1">
      <c r="A28" s="1197"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f ca="1">INDIRECT("'数据-取费表'!aa"&amp;$G$1)</f>
        <v>3.5000000000000003E-2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19774</v>
      </c>
      <c r="D29" s="1338"/>
      <c r="E29" s="1336"/>
      <c r="F29" s="1339"/>
      <c r="G29" s="1850"/>
      <c r="H29" s="379" t="s">
        <v>1033</v>
      </c>
      <c r="I29" s="380" t="s">
        <v>1478</v>
      </c>
      <c r="J29" s="381">
        <f ca="1">ROUND(J26/(1+F40)^F41,0)</f>
        <v>158539</v>
      </c>
      <c r="K29" s="382" t="s">
        <v>1479</v>
      </c>
      <c r="L29" s="383"/>
      <c r="M29" s="384">
        <f ca="1">INDIRECT("'数据-取费表'!k"&amp;$G$1)</f>
        <v>26682.59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4">
        <f ca="1">ROUND(C31+C36+C37+C38,0)</f>
        <v>1081</v>
      </c>
      <c r="D30" s="1333" t="s">
        <v>1424</v>
      </c>
      <c r="E30" s="1334"/>
      <c r="F30" s="1290"/>
      <c r="G30" s="1847"/>
      <c r="H30" s="743"/>
      <c r="I30" s="744"/>
      <c r="J30" s="745"/>
      <c r="K30" s="746"/>
      <c r="L30" s="747"/>
      <c r="M30" s="748"/>
    </row>
    <row r="31" spans="1:37" ht="18" customHeight="1">
      <c r="A31" s="1197" t="s">
        <v>1035</v>
      </c>
      <c r="B31" s="346" t="s">
        <v>1428</v>
      </c>
      <c r="C31" s="24">
        <f ca="1">ROUND(IF(项目基本情况!B11="自然人",C5*F31,C32+C33+C34),1)</f>
        <v>666.6</v>
      </c>
      <c r="D31" s="1796" t="s">
        <v>1429</v>
      </c>
      <c r="E31" s="1794" t="s">
        <v>1480</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6" t="s">
        <v>1432</v>
      </c>
      <c r="C32" s="24">
        <f ca="1">IF(项目基本情况!B11="自然人","——",ROUND(C5*F32/(1+'数据-取费表'!C42),2))</f>
        <v>489.39</v>
      </c>
      <c r="D32" s="1794" t="s">
        <v>1433</v>
      </c>
      <c r="E32" s="346" t="s">
        <v>1421</v>
      </c>
      <c r="F32" s="376">
        <f>'数据-取费表'!B41</f>
        <v>5.6000000000000001E-2</v>
      </c>
      <c r="G32" s="1847"/>
      <c r="H32" s="743"/>
      <c r="I32" s="744"/>
      <c r="J32" s="745"/>
      <c r="K32" s="746"/>
      <c r="L32" s="747"/>
      <c r="M32" s="748"/>
    </row>
    <row r="33" spans="1:18" ht="18" customHeight="1">
      <c r="A33" s="1197" t="s">
        <v>1036</v>
      </c>
      <c r="B33" s="346" t="s">
        <v>1436</v>
      </c>
      <c r="C33" s="24">
        <f ca="1">IF(项目基本情况!B11="自然人","——",IF(D33="按租金收入计税",ROUND(C5*F33,2),IF(D33="按房产原值计税",ROUND(C29*F33*0.7,2),INDIRECT("'数据-取费表'!Aj"&amp;$G$1))))</f>
        <v>166.1</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1387</v>
      </c>
      <c r="B34" s="163" t="s">
        <v>1440</v>
      </c>
      <c r="C34" s="25">
        <f ca="1">IF(项目基本情况!B11="自然人","——",ROUND(F34*F35/10000,2))</f>
        <v>11.1</v>
      </c>
      <c r="D34" s="369" t="s">
        <v>1441</v>
      </c>
      <c r="E34" s="346" t="s">
        <v>1442</v>
      </c>
      <c r="F34" s="370">
        <f>'数据-取费表'!B52</f>
        <v>24</v>
      </c>
      <c r="G34" s="1847"/>
      <c r="H34" s="743"/>
      <c r="I34" s="1856"/>
      <c r="J34" s="1857"/>
      <c r="K34" s="1859"/>
      <c r="L34" s="1860"/>
      <c r="M34" s="1860"/>
    </row>
    <row r="35" spans="1:18" ht="18" customHeight="1">
      <c r="A35" s="1349"/>
      <c r="B35" s="1347"/>
      <c r="C35" s="29"/>
      <c r="D35" s="372"/>
      <c r="E35" s="346" t="s">
        <v>1446</v>
      </c>
      <c r="F35" s="347">
        <f ca="1">INDIRECT("'数据-取费表'!r"&amp;$G$1)</f>
        <v>4625.9699999999993</v>
      </c>
      <c r="G35" s="1847"/>
      <c r="H35" s="743"/>
      <c r="I35" s="1856"/>
      <c r="J35" s="1857"/>
      <c r="K35" s="1858"/>
      <c r="L35" s="1855"/>
      <c r="M35" s="1855"/>
    </row>
    <row r="36" spans="1:18" ht="18" customHeight="1">
      <c r="A36" s="1348" t="s">
        <v>1039</v>
      </c>
      <c r="B36" s="346" t="s">
        <v>1448</v>
      </c>
      <c r="C36" s="24">
        <f ca="1">ROUND(C29*F36,1)</f>
        <v>296.60000000000002</v>
      </c>
      <c r="D36" s="1794" t="s">
        <v>1481</v>
      </c>
      <c r="E36" s="346" t="s">
        <v>1421</v>
      </c>
      <c r="F36" s="373">
        <f ca="1">INDIRECT("'数据-取费表'!Ak"&amp;$G$1)</f>
        <v>1.4999999999999999E-2</v>
      </c>
      <c r="G36" s="1847"/>
      <c r="H36" s="1855"/>
      <c r="I36" s="1856"/>
      <c r="J36" s="1857"/>
      <c r="K36" s="749"/>
      <c r="L36" s="1855"/>
      <c r="M36" s="1855"/>
    </row>
    <row r="37" spans="1:18" ht="18" customHeight="1">
      <c r="A37" s="1197" t="s">
        <v>1075</v>
      </c>
      <c r="B37" s="346" t="s">
        <v>1452</v>
      </c>
      <c r="C37" s="24">
        <f ca="1">ROUND(C13*F37,1)</f>
        <v>25.7</v>
      </c>
      <c r="D37" s="1794" t="s">
        <v>1453</v>
      </c>
      <c r="E37" s="346" t="s">
        <v>1454</v>
      </c>
      <c r="F37" s="375">
        <f ca="1">INDIRECT("'数据-取费表'!Al"&amp;$G$1)</f>
        <v>1.5E-3</v>
      </c>
      <c r="G37" s="1847"/>
      <c r="H37" s="1855"/>
      <c r="I37" s="1856"/>
      <c r="J37" s="1857"/>
      <c r="K37" s="749"/>
      <c r="L37" s="1855"/>
      <c r="M37" s="1855"/>
    </row>
    <row r="38" spans="1:18" ht="18" customHeight="1" thickBot="1">
      <c r="A38" s="1335" t="s">
        <v>1391</v>
      </c>
      <c r="B38" s="1336" t="s">
        <v>1438</v>
      </c>
      <c r="C38" s="1337">
        <f ca="1">ROUND(C5*F38,1)</f>
        <v>91.8</v>
      </c>
      <c r="D38" s="1338" t="s">
        <v>1458</v>
      </c>
      <c r="E38" s="1336" t="s">
        <v>1454</v>
      </c>
      <c r="F38" s="1332">
        <f ca="1">INDIRECT("'数据-取费表'!Am"&amp;$G$1)</f>
        <v>0.01</v>
      </c>
      <c r="G38" s="1847"/>
      <c r="H38" s="1855"/>
      <c r="I38" s="1856"/>
      <c r="J38" s="1857"/>
      <c r="K38" s="1861"/>
      <c r="L38" s="1855"/>
      <c r="M38" s="1855"/>
    </row>
    <row r="39" spans="1:18" ht="24.6" customHeight="1" thickTop="1">
      <c r="A39" s="1325" t="s">
        <v>1031</v>
      </c>
      <c r="B39" s="1340" t="s">
        <v>1482</v>
      </c>
      <c r="C39" s="354">
        <f ca="1">C5-C30</f>
        <v>8095</v>
      </c>
      <c r="D39" s="1341" t="s">
        <v>1483</v>
      </c>
      <c r="E39" s="1342"/>
      <c r="F39" s="1343"/>
      <c r="G39" s="1847"/>
      <c r="H39" s="1855"/>
      <c r="I39" s="1856"/>
      <c r="J39" s="1857"/>
      <c r="K39" s="1861"/>
      <c r="L39" s="1855"/>
      <c r="M39" s="1855"/>
    </row>
    <row r="40" spans="1:18" ht="18" customHeight="1">
      <c r="A40" s="343" t="s">
        <v>1032</v>
      </c>
      <c r="B40" s="344" t="s">
        <v>1484</v>
      </c>
      <c r="C40" s="345">
        <f ca="1">ROUND(C39*(1-((1+F42)/(1+F40))^F41)/(F40-F42),0)</f>
        <v>23810</v>
      </c>
      <c r="D40" s="369" t="s">
        <v>1468</v>
      </c>
      <c r="E40" s="346" t="s">
        <v>1469</v>
      </c>
      <c r="F40" s="356">
        <f ca="1">INDIRECT("'数据-取费表'!I"&amp;$G$1)</f>
        <v>0.06</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3.2</v>
      </c>
      <c r="G41" s="1847"/>
      <c r="H41" s="730"/>
      <c r="I41" s="1856"/>
      <c r="J41" s="1857"/>
      <c r="K41" s="749"/>
      <c r="L41" s="730"/>
      <c r="M41" s="730"/>
    </row>
    <row r="42" spans="1:18" ht="18" customHeight="1">
      <c r="A42" s="352"/>
      <c r="B42" s="353"/>
      <c r="C42" s="354"/>
      <c r="D42" s="372"/>
      <c r="E42" s="346" t="s">
        <v>1476</v>
      </c>
      <c r="F42" s="356">
        <f ca="1">INDIRECT("'数据-取费表'!v"&amp;$G$1)</f>
        <v>3.5000000000000003E-2</v>
      </c>
      <c r="G42" s="1847"/>
      <c r="H42" s="730"/>
      <c r="I42" s="1856"/>
      <c r="J42" s="1857"/>
      <c r="K42" s="749"/>
      <c r="L42" s="730"/>
      <c r="M42" s="730"/>
    </row>
    <row r="43" spans="1:18" ht="18" customHeight="1" thickBot="1">
      <c r="A43" s="379" t="s">
        <v>1033</v>
      </c>
      <c r="B43" s="380" t="s">
        <v>1486</v>
      </c>
      <c r="C43" s="381">
        <f ca="1">ROUND(C40*10000/F43,0)</f>
        <v>8923</v>
      </c>
      <c r="D43" s="382" t="s">
        <v>1487</v>
      </c>
      <c r="E43" s="383" t="s">
        <v>1488</v>
      </c>
      <c r="F43" s="384">
        <f ca="1">INDIRECT("'数据-取费表'!k"&amp;$G$1)</f>
        <v>26682.59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1518</v>
      </c>
      <c r="P45" s="1835"/>
      <c r="Q45" s="1835"/>
      <c r="R45" s="1835"/>
    </row>
    <row r="46" spans="1:18" s="1838" customFormat="1" ht="13.5" thickBot="1">
      <c r="A46" s="1866" t="s">
        <v>1519</v>
      </c>
      <c r="C46" s="1867">
        <f ca="1">C68-C40</f>
        <v>-1030</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0"/>
      <c r="I47" s="1876" t="s">
        <v>1525</v>
      </c>
      <c r="J47" s="1877" t="s">
        <v>3089</v>
      </c>
      <c r="K47" s="1878" t="s">
        <v>1526</v>
      </c>
      <c r="L47" s="1879">
        <f ca="1">INDIRECT("'数据-取费表'!d"&amp;$G$1)</f>
        <v>50</v>
      </c>
      <c r="M47" s="1834" t="str">
        <f>IF(ISNUMBER(FIND("住宅",C1)),"住宅","非住宅")</f>
        <v>非住宅</v>
      </c>
      <c r="O47" s="1880" t="s">
        <v>1040</v>
      </c>
      <c r="P47" s="1881" t="s">
        <v>1527</v>
      </c>
      <c r="Q47" s="1882">
        <f ca="1">C40+J29</f>
        <v>182349</v>
      </c>
      <c r="R47" s="1882" t="s">
        <v>1528</v>
      </c>
    </row>
    <row r="48" spans="1:18" s="1838" customFormat="1" ht="28.5" thickBot="1">
      <c r="A48" s="1356" t="s">
        <v>1135</v>
      </c>
      <c r="B48" s="344" t="s">
        <v>1399</v>
      </c>
      <c r="C48" s="1813">
        <f ca="1">C49+C53+C55</f>
        <v>8802</v>
      </c>
      <c r="D48" s="1358"/>
      <c r="E48" s="1359"/>
      <c r="F48" s="1177"/>
      <c r="G48" s="790"/>
      <c r="H48" s="791"/>
      <c r="I48" s="1883" t="s">
        <v>1529</v>
      </c>
      <c r="J48" s="1884" t="s">
        <v>3090</v>
      </c>
      <c r="K48" s="1885" t="s">
        <v>1530</v>
      </c>
      <c r="L48" s="1886">
        <f ca="1">INDIRECT("'数据-取费表'!f"&amp;$G$1)</f>
        <v>36.5</v>
      </c>
      <c r="O48" s="1880" t="s">
        <v>1041</v>
      </c>
      <c r="P48" s="1881" t="s">
        <v>1531</v>
      </c>
      <c r="Q48" s="1882" t="str">
        <f ca="1">J60</f>
        <v>0</v>
      </c>
      <c r="R48" s="1882" t="s">
        <v>1532</v>
      </c>
    </row>
    <row r="49" spans="1:18" s="1838" customFormat="1" ht="13.5" thickBot="1">
      <c r="A49" s="1190" t="s">
        <v>1136</v>
      </c>
      <c r="B49" s="1825" t="s">
        <v>1489</v>
      </c>
      <c r="C49" s="1360">
        <f ca="1">ROUND(F49*F51*F50*(1-F52)/10000,0)</f>
        <v>8790</v>
      </c>
      <c r="D49" s="1272" t="s">
        <v>3030</v>
      </c>
      <c r="E49" s="1826" t="s">
        <v>1490</v>
      </c>
      <c r="F49" s="1277">
        <v>9.5</v>
      </c>
      <c r="G49" s="1887"/>
      <c r="H49" s="791"/>
      <c r="I49" s="1883" t="s">
        <v>1533</v>
      </c>
      <c r="J49" s="1888">
        <v>2008</v>
      </c>
      <c r="K49" s="1885" t="s">
        <v>1534</v>
      </c>
      <c r="L49" s="1889"/>
      <c r="O49" s="1890" t="s">
        <v>1042</v>
      </c>
      <c r="P49" s="1881" t="s">
        <v>1535</v>
      </c>
      <c r="Q49" s="1882">
        <f ca="1">C29</f>
        <v>19774</v>
      </c>
      <c r="R49" s="1882" t="s">
        <v>1528</v>
      </c>
    </row>
    <row r="50" spans="1:18" s="1838" customFormat="1" ht="13.5" thickBot="1">
      <c r="A50" s="1191"/>
      <c r="B50" s="1194"/>
      <c r="C50" s="1364"/>
      <c r="D50" s="1168"/>
      <c r="E50" s="1273" t="s">
        <v>1404</v>
      </c>
      <c r="F50" s="1274">
        <f ca="1">F7</f>
        <v>26682.59</v>
      </c>
      <c r="H50" s="791"/>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7">
        <f ca="1">F8</f>
        <v>365</v>
      </c>
      <c r="I51" s="1894" t="s">
        <v>1539</v>
      </c>
      <c r="J51" s="1895">
        <f>IF(J49="",J50,J49+J50-YEAR('数据-取费表'!B2))</f>
        <v>50</v>
      </c>
      <c r="K51" s="1896" t="s">
        <v>1540</v>
      </c>
      <c r="L51" s="1897">
        <f ca="1">ROUND(-PV(INDIRECT("'数据-取费表'!h"&amp;$G$1),L48,(C39-C13*C76),0),0)</f>
        <v>117980</v>
      </c>
      <c r="M51" s="1898"/>
      <c r="O51" s="1890" t="s">
        <v>1044</v>
      </c>
      <c r="P51" s="1881" t="s">
        <v>1541</v>
      </c>
      <c r="Q51" s="1893">
        <f>J52</f>
        <v>0</v>
      </c>
      <c r="R51" s="1882"/>
    </row>
    <row r="52" spans="1:18" s="1838" customFormat="1" ht="13.5" thickBot="1">
      <c r="A52" s="1192"/>
      <c r="B52" s="1194"/>
      <c r="C52" s="1195"/>
      <c r="D52" s="1168"/>
      <c r="E52" s="1196" t="s">
        <v>1406</v>
      </c>
      <c r="F52" s="1271">
        <v>0.05</v>
      </c>
      <c r="I52" s="1899" t="s">
        <v>1542</v>
      </c>
      <c r="J52" s="1900"/>
      <c r="K52" s="1899" t="s">
        <v>1543</v>
      </c>
      <c r="L52" s="1900"/>
      <c r="O52" s="1890" t="s">
        <v>1045</v>
      </c>
      <c r="P52" s="1881" t="s">
        <v>1544</v>
      </c>
      <c r="Q52" s="1882">
        <f ca="1">J53</f>
        <v>36.5</v>
      </c>
      <c r="R52" s="1882" t="s">
        <v>1545</v>
      </c>
    </row>
    <row r="53" spans="1:18" s="1838" customFormat="1" ht="24.75" thickBot="1">
      <c r="A53" s="1401" t="s">
        <v>1137</v>
      </c>
      <c r="B53" s="1827" t="s">
        <v>1407</v>
      </c>
      <c r="C53" s="360">
        <f ca="1">ROUND(IF(F53="押一",F49*F51*F50/12*F11,IF(F53="押二",F49*F51*F50/12*2*F11,IF(F53="押三",F49*F51*F50/12*3*F11,C54*F11)))/10000,0)</f>
        <v>12</v>
      </c>
      <c r="D53" s="1820" t="s">
        <v>3028</v>
      </c>
      <c r="E53" s="357" t="s">
        <v>1409</v>
      </c>
      <c r="F53" s="1362" t="s">
        <v>3088</v>
      </c>
      <c r="I53" s="1901" t="s">
        <v>1546</v>
      </c>
      <c r="J53" s="1902">
        <f ca="1">IF(M47="住宅",J51,IF(D1="——",MIN(J51,L48),IF(D1="在建（套用方法）",MIN(J51,L48-'数据-取费表'!B24),IF(D1="土地（套用方法）",MIN(J51,L48-'数据-取费表'!B20)))))</f>
        <v>36.5</v>
      </c>
      <c r="K53" s="3299" t="s">
        <v>1547</v>
      </c>
      <c r="L53" s="3300"/>
      <c r="O53" s="1880" t="s">
        <v>1046</v>
      </c>
      <c r="P53" s="1881" t="s">
        <v>1548</v>
      </c>
      <c r="Q53" s="1882">
        <f ca="1">Q47+Q48</f>
        <v>182349</v>
      </c>
      <c r="R53" s="1882" t="s">
        <v>1047</v>
      </c>
    </row>
    <row r="54" spans="1:18" s="1838" customFormat="1" ht="13.5" thickBot="1">
      <c r="A54" s="1402"/>
      <c r="B54" s="1821" t="s">
        <v>1386</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1828"/>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5">
        <f ca="1">C13</f>
        <v>17105</v>
      </c>
      <c r="D56" s="1910"/>
      <c r="E56" s="1911"/>
      <c r="F56" s="1903"/>
      <c r="I56" s="1912" t="s">
        <v>1553</v>
      </c>
      <c r="J56" s="1913" t="s">
        <v>3051</v>
      </c>
      <c r="K56" s="1883" t="s">
        <v>1554</v>
      </c>
      <c r="L56" s="1886" t="str">
        <f ca="1">IF(L48&lt;J51,"——",L48-J53)</f>
        <v>——</v>
      </c>
      <c r="O56" s="1880" t="s">
        <v>1040</v>
      </c>
      <c r="P56" s="1881" t="s">
        <v>1527</v>
      </c>
      <c r="Q56" s="1882">
        <f ca="1">C40+J29</f>
        <v>182349</v>
      </c>
      <c r="R56" s="1882" t="s">
        <v>1528</v>
      </c>
    </row>
    <row r="57" spans="1:18" s="1838" customFormat="1" ht="24.75" thickBot="1">
      <c r="A57" s="1914"/>
      <c r="B57" s="1165" t="s">
        <v>1477</v>
      </c>
      <c r="C57" s="281">
        <f ca="1">C29</f>
        <v>19774</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59" t="s">
        <v>1030</v>
      </c>
      <c r="B58" s="1173" t="s">
        <v>1423</v>
      </c>
      <c r="C58" s="360">
        <f ca="1">ROUND(C59+C64+C65+C66,0)</f>
        <v>1057</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646.6</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469.44</v>
      </c>
      <c r="D60" s="1179" t="s">
        <v>1433</v>
      </c>
      <c r="E60" s="1165" t="s">
        <v>1421</v>
      </c>
      <c r="F60" s="376">
        <f t="shared" ref="F60:F66" si="0">F32</f>
        <v>5.6000000000000001E-2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IF(项目基本情况!B11="自然人","——",IF(D61="按租金收入计税",ROUND(C48*F61,2),IF(D61="按房产原值计税",ROUND(C57*F61*0.7,2),INDIRECT("'数据-取费表'!Aj"&amp;$G$1))))</f>
        <v>166.1</v>
      </c>
      <c r="D61" s="1824" t="s">
        <v>1437</v>
      </c>
      <c r="E61" s="1165" t="s">
        <v>1493</v>
      </c>
      <c r="F61" s="366">
        <f t="shared" si="0"/>
        <v>1.2E-2</v>
      </c>
      <c r="I61" s="1924"/>
      <c r="J61" s="1924"/>
      <c r="K61" s="1924"/>
      <c r="L61" s="1924"/>
      <c r="O61" s="1890" t="s">
        <v>1045</v>
      </c>
      <c r="P61" s="1881" t="str">
        <f>K59</f>
        <v>建筑物剩余耐用年限下的土地年期修正系数Kn</v>
      </c>
      <c r="Q61" s="1882" t="e">
        <f ca="1">L59</f>
        <v>#DIV/0!</v>
      </c>
      <c r="R61" s="1882" t="s">
        <v>1568</v>
      </c>
    </row>
    <row r="62" spans="1:18" s="1838" customFormat="1" ht="13.5" thickBot="1">
      <c r="A62" s="1197" t="s">
        <v>1494</v>
      </c>
      <c r="B62" s="1164" t="s">
        <v>1495</v>
      </c>
      <c r="C62" s="25">
        <f ca="1">IF(项目基本情况!B11="自然人","——",ROUND(F62*F63/10000,2))</f>
        <v>11.1</v>
      </c>
      <c r="D62" s="1180" t="s">
        <v>1496</v>
      </c>
      <c r="E62" s="1165" t="s">
        <v>1497</v>
      </c>
      <c r="F62" s="370">
        <f t="shared" si="0"/>
        <v>24</v>
      </c>
      <c r="I62" s="1925" t="s">
        <v>1569</v>
      </c>
      <c r="J62" s="1926" t="s">
        <v>1570</v>
      </c>
      <c r="K62" s="1926" t="s">
        <v>1571</v>
      </c>
      <c r="L62" s="1926" t="s">
        <v>1572</v>
      </c>
      <c r="M62" s="1927" t="s">
        <v>1573</v>
      </c>
      <c r="O62" s="1880" t="s">
        <v>1046</v>
      </c>
      <c r="P62" s="1881" t="s">
        <v>1574</v>
      </c>
      <c r="Q62" s="1882">
        <f ca="1">Q56+Q57</f>
        <v>182349</v>
      </c>
      <c r="R62" s="1882" t="s">
        <v>1047</v>
      </c>
    </row>
    <row r="63" spans="1:18" s="1838" customFormat="1" ht="13.5" thickBot="1">
      <c r="A63" s="371"/>
      <c r="B63" s="1171"/>
      <c r="C63" s="29"/>
      <c r="D63" s="1181"/>
      <c r="E63" s="1165" t="s">
        <v>1498</v>
      </c>
      <c r="F63" s="347">
        <f t="shared" ca="1" si="0"/>
        <v>4625.9699999999993</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ROUND(C57*F64,1)</f>
        <v>296.60000000000002</v>
      </c>
      <c r="D64" s="1179" t="s">
        <v>1501</v>
      </c>
      <c r="E64" s="1165" t="s">
        <v>1493</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25.7</v>
      </c>
      <c r="D65" s="1179" t="s">
        <v>1453</v>
      </c>
      <c r="E65" s="1165" t="s">
        <v>1454</v>
      </c>
      <c r="F65" s="375">
        <f t="shared" ca="1" si="0"/>
        <v>1.5E-3</v>
      </c>
      <c r="I65" s="1925" t="s">
        <v>1578</v>
      </c>
      <c r="J65" s="1926">
        <v>40</v>
      </c>
      <c r="K65" s="1926">
        <v>30</v>
      </c>
      <c r="L65" s="1926">
        <v>50</v>
      </c>
      <c r="M65" s="1928">
        <v>0.02</v>
      </c>
      <c r="O65" s="1880" t="s">
        <v>1040</v>
      </c>
      <c r="P65" s="1881" t="s">
        <v>1579</v>
      </c>
      <c r="Q65" s="1882">
        <f ca="1">C40+J29</f>
        <v>182349</v>
      </c>
      <c r="R65" s="1882" t="s">
        <v>1528</v>
      </c>
    </row>
    <row r="66" spans="1:18" s="1838" customFormat="1" ht="16.5" thickBot="1">
      <c r="A66" s="1197" t="s">
        <v>1503</v>
      </c>
      <c r="B66" s="1165" t="s">
        <v>1438</v>
      </c>
      <c r="C66" s="24">
        <f ca="1">ROUND(C48*F66,1)</f>
        <v>88</v>
      </c>
      <c r="D66" s="1179" t="s">
        <v>1504</v>
      </c>
      <c r="E66" s="1165" t="s">
        <v>1421</v>
      </c>
      <c r="F66" s="356">
        <f t="shared" ca="1" si="0"/>
        <v>0.01</v>
      </c>
      <c r="O66" s="1880" t="s">
        <v>1041</v>
      </c>
      <c r="P66" s="1881" t="s">
        <v>1557</v>
      </c>
      <c r="Q66" s="1882">
        <f ca="1">L60</f>
        <v>0</v>
      </c>
      <c r="R66" s="1882" t="s">
        <v>1580</v>
      </c>
    </row>
    <row r="67" spans="1:18" s="1838" customFormat="1" ht="16.5" thickBot="1">
      <c r="A67" s="1172" t="s">
        <v>1031</v>
      </c>
      <c r="B67" s="1182" t="s">
        <v>1462</v>
      </c>
      <c r="C67" s="360">
        <f ca="1">C48-C58</f>
        <v>7745</v>
      </c>
      <c r="D67" s="1178" t="s">
        <v>1463</v>
      </c>
      <c r="E67" s="1183"/>
      <c r="F67" s="1184"/>
      <c r="O67" s="1890" t="s">
        <v>1042</v>
      </c>
      <c r="P67" s="1881" t="s">
        <v>1561</v>
      </c>
      <c r="Q67" s="1929">
        <f ca="1">L51</f>
        <v>117980</v>
      </c>
      <c r="R67" s="1882" t="s">
        <v>1581</v>
      </c>
    </row>
    <row r="68" spans="1:18" s="1838" customFormat="1" ht="16.5" thickBot="1">
      <c r="A68" s="1162" t="s">
        <v>1032</v>
      </c>
      <c r="B68" s="1163" t="s">
        <v>1484</v>
      </c>
      <c r="C68" s="345">
        <f ca="1">ROUND(C67*(1-((1+F70)/(1+F68))^F69)/(F68-F70),0)</f>
        <v>22780</v>
      </c>
      <c r="D68" s="1180" t="s">
        <v>1468</v>
      </c>
      <c r="E68" s="1165" t="s">
        <v>1469</v>
      </c>
      <c r="F68" s="356">
        <f ca="1">F40</f>
        <v>0.06</v>
      </c>
      <c r="O68" s="1890" t="s">
        <v>1043</v>
      </c>
      <c r="P68" s="1930" t="s">
        <v>1582</v>
      </c>
      <c r="Q68" s="1882">
        <f ca="1">ROUND(Q69-Q70*Q71,0)</f>
        <v>6641</v>
      </c>
      <c r="R68" s="1882" t="s">
        <v>1051</v>
      </c>
    </row>
    <row r="69" spans="1:18" s="1838" customFormat="1" ht="13.5" thickBot="1">
      <c r="A69" s="1166"/>
      <c r="B69" s="1167"/>
      <c r="C69" s="350"/>
      <c r="D69" s="1185" t="s">
        <v>1472</v>
      </c>
      <c r="E69" s="1165" t="s">
        <v>1473</v>
      </c>
      <c r="F69" s="378">
        <f ca="1">F41</f>
        <v>3.2</v>
      </c>
      <c r="O69" s="1890" t="s">
        <v>1048</v>
      </c>
      <c r="P69" s="1930" t="s">
        <v>1583</v>
      </c>
      <c r="Q69" s="1882">
        <f ca="1">C39</f>
        <v>8095</v>
      </c>
      <c r="R69" s="1882" t="s">
        <v>1528</v>
      </c>
    </row>
    <row r="70" spans="1:18" s="1838" customFormat="1" ht="13.5" thickBot="1">
      <c r="A70" s="1169"/>
      <c r="B70" s="1170"/>
      <c r="C70" s="354"/>
      <c r="D70" s="1181"/>
      <c r="E70" s="1165" t="s">
        <v>1476</v>
      </c>
      <c r="F70" s="1271">
        <f ca="1">F42</f>
        <v>3.5000000000000003E-2</v>
      </c>
      <c r="O70" s="1890" t="s">
        <v>1049</v>
      </c>
      <c r="P70" s="1930" t="s">
        <v>1584</v>
      </c>
      <c r="Q70" s="1882">
        <f ca="1">C13</f>
        <v>17105</v>
      </c>
      <c r="R70" s="1882" t="s">
        <v>1528</v>
      </c>
    </row>
    <row r="71" spans="1:18" s="1838" customFormat="1" ht="13.5" thickBot="1">
      <c r="A71" s="1186" t="s">
        <v>1033</v>
      </c>
      <c r="B71" s="1187" t="s">
        <v>1486</v>
      </c>
      <c r="C71" s="381">
        <f ca="1">ROUND(C68*10000/F71,0)</f>
        <v>8537</v>
      </c>
      <c r="D71" s="1188" t="s">
        <v>1487</v>
      </c>
      <c r="E71" s="1189" t="s">
        <v>1488</v>
      </c>
      <c r="F71" s="384">
        <f ca="1">F43</f>
        <v>26682.59</v>
      </c>
      <c r="O71" s="1890" t="s">
        <v>1050</v>
      </c>
      <c r="P71" s="1930" t="s">
        <v>1585</v>
      </c>
      <c r="Q71" s="1893">
        <f ca="1">C76</f>
        <v>8.5000000000000006E-2</v>
      </c>
      <c r="R71" s="1882"/>
    </row>
    <row r="72" spans="1:18" s="1838" customFormat="1" ht="13.5" thickBot="1">
      <c r="B72" s="794"/>
      <c r="C72" s="794"/>
      <c r="O72" s="1890" t="s">
        <v>1044</v>
      </c>
      <c r="P72" s="1881" t="s">
        <v>1563</v>
      </c>
      <c r="Q72" s="1893">
        <f>L52</f>
        <v>0</v>
      </c>
      <c r="R72" s="1882"/>
    </row>
    <row r="73" spans="1:18" ht="16.5" thickBot="1">
      <c r="A73" s="1838"/>
      <c r="B73" s="794"/>
      <c r="C73" s="794"/>
      <c r="D73" s="1838"/>
      <c r="E73" s="1838"/>
      <c r="F73" s="1838"/>
      <c r="O73" s="1890" t="s">
        <v>1045</v>
      </c>
      <c r="P73" s="1881" t="s">
        <v>1566</v>
      </c>
      <c r="Q73" s="1882" t="e">
        <f ca="1">L58</f>
        <v>#DIV/0!</v>
      </c>
      <c r="R73" s="1882" t="s">
        <v>1567</v>
      </c>
    </row>
    <row r="74" spans="1:18" ht="13.5" thickBot="1">
      <c r="A74" s="1838"/>
      <c r="B74" s="316" t="s">
        <v>1586</v>
      </c>
      <c r="C74" s="1932"/>
      <c r="D74" s="1838"/>
      <c r="E74" s="1838"/>
      <c r="F74" s="1838"/>
      <c r="O74" s="1890" t="s">
        <v>1052</v>
      </c>
      <c r="P74" s="1881" t="str">
        <f>K59</f>
        <v>建筑物剩余耐用年限下的土地年期修正系数Kn</v>
      </c>
      <c r="Q74" s="1882" t="e">
        <f ca="1">L59</f>
        <v>#DIV/0!</v>
      </c>
      <c r="R74" s="1882" t="s">
        <v>1568</v>
      </c>
    </row>
    <row r="75" spans="1:18" ht="13.5" thickBot="1">
      <c r="A75" s="1838"/>
      <c r="B75" s="385" t="s">
        <v>1505</v>
      </c>
      <c r="C75" s="386">
        <f ca="1">ROUND(C13*C76,0)</f>
        <v>1454</v>
      </c>
      <c r="D75" s="1838"/>
      <c r="E75" s="1838"/>
      <c r="F75" s="1838"/>
      <c r="K75" s="1864"/>
      <c r="L75" s="1838"/>
      <c r="O75" s="1880" t="s">
        <v>1046</v>
      </c>
      <c r="P75" s="1881" t="s">
        <v>1548</v>
      </c>
      <c r="Q75" s="1882">
        <f ca="1">Q65+Q66</f>
        <v>182349</v>
      </c>
      <c r="R75" s="1882" t="s">
        <v>1047</v>
      </c>
    </row>
    <row r="76" spans="1:18">
      <c r="B76" s="387" t="s">
        <v>1506</v>
      </c>
      <c r="C76" s="388">
        <f ca="1">INDIRECT("'数据-取费表'!j"&amp;$G$1)</f>
        <v>8.5000000000000006E-2</v>
      </c>
      <c r="I76" s="1838"/>
      <c r="J76" s="1838"/>
      <c r="K76" s="1864"/>
      <c r="L76" s="1838"/>
    </row>
    <row r="77" spans="1:18">
      <c r="B77" s="389" t="s">
        <v>1507</v>
      </c>
      <c r="C77" s="390"/>
      <c r="I77" s="1838"/>
      <c r="J77" s="1838"/>
      <c r="K77" s="1864"/>
      <c r="L77" s="1838"/>
    </row>
    <row r="78" spans="1:18">
      <c r="B78" s="313" t="s">
        <v>1508</v>
      </c>
      <c r="C78" s="391"/>
    </row>
    <row r="79" spans="1:18">
      <c r="B79" s="385" t="s">
        <v>1509</v>
      </c>
      <c r="C79" s="317">
        <f ca="1">1-C80</f>
        <v>0.82000000000000006</v>
      </c>
    </row>
    <row r="80" spans="1:18">
      <c r="B80" s="385" t="s">
        <v>1510</v>
      </c>
      <c r="C80" s="317">
        <f ca="1">ROUND(C75/C39,3)</f>
        <v>0.18</v>
      </c>
    </row>
    <row r="81" spans="2:3">
      <c r="B81" s="313" t="s">
        <v>1511</v>
      </c>
      <c r="C81" s="281"/>
    </row>
    <row r="82" spans="2:3">
      <c r="B82" s="316" t="s">
        <v>1512</v>
      </c>
      <c r="C82" s="318">
        <f ca="1">1-C83</f>
        <v>0.28200000000000003</v>
      </c>
    </row>
    <row r="83" spans="2:3">
      <c r="B83" s="316" t="s">
        <v>1513</v>
      </c>
      <c r="C83" s="317">
        <f ca="1">ROUND(C13/C40,3)</f>
        <v>0.71799999999999997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58" fitToHeight="0" orientation="landscape"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80"/>
      <c r="C1" s="1833"/>
      <c r="D1" s="1816"/>
      <c r="E1" s="1817" t="s">
        <v>1385</v>
      </c>
      <c r="F1" s="1279" t="b">
        <f>J53</f>
        <v>0</v>
      </c>
      <c r="G1" s="1832">
        <f>MATCH(C1,'数据-取费表'!A6:A16,0)+5</f>
        <v>9</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1589</v>
      </c>
      <c r="B2" s="1840" t="e">
        <f ca="1">ROUND(D2/10000,0)</f>
        <v>#DIV/0!</v>
      </c>
      <c r="C2" s="1841" t="s">
        <v>1590</v>
      </c>
      <c r="D2" s="1934" t="e">
        <f ca="1">C40+J29+L46</f>
        <v>#DIV/0!</v>
      </c>
      <c r="E2" s="1842" t="s">
        <v>1591</v>
      </c>
      <c r="F2" s="1843"/>
      <c r="G2" s="1844"/>
      <c r="H2" s="1836"/>
      <c r="I2" s="1836"/>
      <c r="J2" s="1836"/>
      <c r="K2" s="1837"/>
      <c r="L2" s="1836"/>
      <c r="M2" s="1836"/>
    </row>
    <row r="3" spans="1:37" ht="18" customHeight="1" thickBot="1">
      <c r="A3" s="1845" t="s">
        <v>1592</v>
      </c>
      <c r="B3" s="1846">
        <f ca="1">IF(ISERROR(D2/F43),0,ROUND(D2/F43,0))</f>
        <v>0</v>
      </c>
      <c r="C3" s="1841" t="s">
        <v>1593</v>
      </c>
      <c r="D3" s="1841"/>
      <c r="E3" s="1842"/>
      <c r="F3" s="1843"/>
      <c r="G3" s="1844"/>
      <c r="H3" s="742" t="s">
        <v>1587</v>
      </c>
      <c r="I3" s="1836"/>
      <c r="J3" s="1836"/>
      <c r="K3" s="1837"/>
      <c r="L3" s="1836"/>
      <c r="M3" s="1836"/>
    </row>
    <row r="4" spans="1:37" ht="18" customHeight="1">
      <c r="A4" s="339" t="s">
        <v>1594</v>
      </c>
      <c r="B4" s="340" t="s">
        <v>1595</v>
      </c>
      <c r="C4" s="340" t="s">
        <v>1596</v>
      </c>
      <c r="D4" s="340" t="s">
        <v>1597</v>
      </c>
      <c r="E4" s="341" t="s">
        <v>1598</v>
      </c>
      <c r="F4" s="342"/>
      <c r="G4" s="1847"/>
      <c r="H4" s="339" t="s">
        <v>1594</v>
      </c>
      <c r="I4" s="340" t="s">
        <v>1595</v>
      </c>
      <c r="J4" s="340" t="s">
        <v>1596</v>
      </c>
      <c r="K4" s="340" t="s">
        <v>1597</v>
      </c>
      <c r="L4" s="341" t="s">
        <v>1598</v>
      </c>
      <c r="M4" s="342"/>
    </row>
    <row r="5" spans="1:37" ht="18" customHeight="1">
      <c r="A5" s="343">
        <v>1</v>
      </c>
      <c r="B5" s="344" t="s">
        <v>1599</v>
      </c>
      <c r="C5" s="1288">
        <f ca="1">C6+C10+C12</f>
        <v>0</v>
      </c>
      <c r="D5" s="1818" t="s">
        <v>1600</v>
      </c>
      <c r="E5" s="1289"/>
      <c r="F5" s="1290"/>
      <c r="G5" s="1847"/>
      <c r="H5" s="343">
        <v>1</v>
      </c>
      <c r="I5" s="344" t="s">
        <v>1599</v>
      </c>
      <c r="J5" s="1288">
        <f ca="1">J6+J10+J12</f>
        <v>0</v>
      </c>
      <c r="K5" s="1818" t="s">
        <v>1600</v>
      </c>
      <c r="L5" s="1289"/>
      <c r="M5" s="1290"/>
    </row>
    <row r="6" spans="1:37" ht="18" customHeight="1">
      <c r="A6" s="1287" t="s">
        <v>1035</v>
      </c>
      <c r="B6" s="3301" t="s">
        <v>1401</v>
      </c>
      <c r="C6" s="1292">
        <f ca="1">ROUND(F6*F8*F7*(1-F9),0)</f>
        <v>0</v>
      </c>
      <c r="D6" s="163" t="s">
        <v>3022</v>
      </c>
      <c r="E6" s="346" t="s">
        <v>1403</v>
      </c>
      <c r="F6" s="347">
        <f ca="1">INDIRECT("'数据-取费表'!u"&amp;$G$1)</f>
        <v>0</v>
      </c>
      <c r="G6" s="1847"/>
      <c r="H6" s="1287" t="s">
        <v>1035</v>
      </c>
      <c r="I6" s="3301" t="s">
        <v>1401</v>
      </c>
      <c r="J6" s="345">
        <f ca="1">ROUND(M6*M8*M7*(1-M9),0)</f>
        <v>0</v>
      </c>
      <c r="K6" s="1830" t="s">
        <v>3025</v>
      </c>
      <c r="L6" s="346" t="s">
        <v>1403</v>
      </c>
      <c r="M6" s="347">
        <f ca="1">INDIRECT("'数据-取费表'!z"&amp;$G$1)</f>
        <v>0</v>
      </c>
    </row>
    <row r="7" spans="1:37" ht="18" customHeight="1">
      <c r="A7" s="1291"/>
      <c r="B7" s="3302"/>
      <c r="C7" s="1293"/>
      <c r="D7" s="351"/>
      <c r="E7" s="1294" t="s">
        <v>1404</v>
      </c>
      <c r="F7" s="347">
        <f ca="1">IF(INDIRECT("'数据-取费表'!ah"&amp;$G$1)="",INDIRECT("'数据-取费表'!k"&amp;$G$1),INDIRECT("'数据-取费表'!ah"&amp;$G$1))</f>
        <v>0</v>
      </c>
      <c r="G7" s="1847"/>
      <c r="H7" s="348"/>
      <c r="I7" s="3302"/>
      <c r="J7" s="350"/>
      <c r="K7" s="351"/>
      <c r="L7" s="346" t="s">
        <v>1404</v>
      </c>
      <c r="M7" s="347">
        <f ca="1">F7</f>
        <v>0</v>
      </c>
    </row>
    <row r="8" spans="1:37" ht="18" customHeight="1">
      <c r="A8" s="348"/>
      <c r="B8" s="3302"/>
      <c r="C8" s="350"/>
      <c r="D8" s="351"/>
      <c r="E8" s="346" t="s">
        <v>1405</v>
      </c>
      <c r="F8" s="347">
        <f ca="1">INDIRECT("'数据-取费表'!ai"&amp;$G$1)</f>
        <v>0</v>
      </c>
      <c r="G8" s="1847"/>
      <c r="H8" s="348"/>
      <c r="I8" s="3302"/>
      <c r="J8" s="350"/>
      <c r="K8" s="351"/>
      <c r="L8" s="346" t="s">
        <v>1405</v>
      </c>
      <c r="M8" s="347">
        <f ca="1">INDIRECT("'数据-取费表'!ai"&amp;$G$1)</f>
        <v>0</v>
      </c>
    </row>
    <row r="9" spans="1:37" ht="18" customHeight="1">
      <c r="A9" s="348"/>
      <c r="B9" s="3303"/>
      <c r="C9" s="350"/>
      <c r="D9" s="351"/>
      <c r="E9" s="346" t="s">
        <v>1406</v>
      </c>
      <c r="F9" s="356">
        <f ca="1">INDIRECT("'数据-取费表'!w"&amp;$G$1)</f>
        <v>0</v>
      </c>
      <c r="G9" s="1847"/>
      <c r="H9" s="348"/>
      <c r="I9" s="3303"/>
      <c r="J9" s="350"/>
      <c r="K9" s="351"/>
      <c r="L9" s="357" t="s">
        <v>1406</v>
      </c>
      <c r="M9" s="358">
        <f ca="1">INDIRECT("'数据-取费表'!ab"&amp;$G$1)</f>
        <v>0</v>
      </c>
    </row>
    <row r="10" spans="1:37" ht="18" customHeight="1">
      <c r="A10" s="1287" t="s">
        <v>1039</v>
      </c>
      <c r="B10" s="1819" t="s">
        <v>1407</v>
      </c>
      <c r="C10" s="360">
        <f ca="1">ROUND(IF(F10="押一",F6*F8*F7/12*F11,IF(F10="押二",F6*F8*F7/12*2*F11,IF(F10="押三",F6*F8*F7/12*3*F11,C11*F11))),0)</f>
        <v>0</v>
      </c>
      <c r="D10" s="1820" t="s">
        <v>3023</v>
      </c>
      <c r="E10" s="357" t="s">
        <v>1409</v>
      </c>
      <c r="F10" s="1362"/>
      <c r="G10" s="1847"/>
      <c r="H10" s="1287" t="s">
        <v>1039</v>
      </c>
      <c r="I10" s="1819" t="s">
        <v>1407</v>
      </c>
      <c r="J10" s="345">
        <f ca="1">ROUND(IF(M10="押一",M6*M8*M7/12*M11,IF(M10="押二",M6*M8*M7/12*2*M11,IF(M10="押三",M6*M8*M7/12*3*M11,J11*M11))),0)</f>
        <v>0</v>
      </c>
      <c r="K10" s="1831" t="s">
        <v>3024</v>
      </c>
      <c r="L10" s="357" t="s">
        <v>1409</v>
      </c>
      <c r="M10" s="1362"/>
    </row>
    <row r="11" spans="1:37" ht="18" customHeight="1">
      <c r="A11" s="352"/>
      <c r="B11" s="1821" t="s">
        <v>1601</v>
      </c>
      <c r="C11" s="1174"/>
      <c r="D11" s="351"/>
      <c r="E11" s="357" t="s">
        <v>1411</v>
      </c>
      <c r="F11" s="358">
        <f ca="1">'数据-取费表'!B39</f>
        <v>1.4999999999999999E-2</v>
      </c>
      <c r="G11" s="1847"/>
      <c r="H11" s="1295"/>
      <c r="I11" s="1821" t="s">
        <v>1602</v>
      </c>
      <c r="J11" s="1174"/>
      <c r="K11" s="746"/>
      <c r="L11" s="357"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4">
        <f ca="1">ROUND(C29*F13,0)</f>
        <v>0</v>
      </c>
      <c r="D13" s="1327" t="s">
        <v>1414</v>
      </c>
      <c r="E13" s="1327" t="s">
        <v>1415</v>
      </c>
      <c r="F13" s="1328">
        <f ca="1">INDIRECT("'数据-取费表'!y"&amp;$G$1)</f>
        <v>0</v>
      </c>
      <c r="G13" s="1847"/>
      <c r="H13" s="1325">
        <v>2</v>
      </c>
      <c r="I13" s="1326" t="s">
        <v>1413</v>
      </c>
      <c r="J13" s="1286">
        <f ca="1">ROUND(J14*J15,0)</f>
        <v>0</v>
      </c>
      <c r="K13" s="1333" t="s">
        <v>1414</v>
      </c>
      <c r="L13" s="1848"/>
      <c r="M13" s="1849"/>
    </row>
    <row r="14" spans="1:37" ht="18" customHeight="1">
      <c r="A14" s="1197" t="s">
        <v>1034</v>
      </c>
      <c r="B14" s="346" t="s">
        <v>1416</v>
      </c>
      <c r="C14" s="362">
        <f ca="1">ROUND(INDIRECT("'数据-取费表'!l"&amp;$G$1)*F43+'数据-取费表'!L14*INDIRECT("'数据-取费表'!S"&amp;$G$1),0)</f>
        <v>0</v>
      </c>
      <c r="D14" s="1796" t="s">
        <v>1417</v>
      </c>
      <c r="E14" s="1790"/>
      <c r="F14" s="363"/>
      <c r="G14" s="1847"/>
      <c r="H14" s="1197" t="s">
        <v>1035</v>
      </c>
      <c r="I14" s="346" t="s">
        <v>1418</v>
      </c>
      <c r="J14" s="24">
        <f ca="1">C29</f>
        <v>0</v>
      </c>
      <c r="K14" s="15"/>
      <c r="L14" s="975"/>
      <c r="M14" s="976"/>
    </row>
    <row r="15" spans="1:37" s="1854" customFormat="1" ht="18" customHeight="1" thickBot="1">
      <c r="A15" s="1197" t="s">
        <v>1036</v>
      </c>
      <c r="B15" s="346" t="s">
        <v>1419</v>
      </c>
      <c r="C15" s="24">
        <f ca="1">ROUND(C14*F15,0)</f>
        <v>0</v>
      </c>
      <c r="D15" s="364" t="s">
        <v>1420</v>
      </c>
      <c r="E15" s="364" t="s">
        <v>1421</v>
      </c>
      <c r="F15" s="365">
        <f>'数据-取费表'!B33</f>
        <v>0.03</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6" t="s">
        <v>1422</v>
      </c>
      <c r="C16" s="24">
        <f ca="1">ROUND(INDIRECT("'数据-取费表'!l"&amp;$G$1)*F43*F16,0)</f>
        <v>0</v>
      </c>
      <c r="D16" s="346" t="s">
        <v>1420</v>
      </c>
      <c r="E16" s="346" t="s">
        <v>1421</v>
      </c>
      <c r="F16" s="366">
        <f ca="1">IF(INDIRECT("'数据-取费表'!c"&amp;$G$1)="住宅",'数据-取费表'!B34,0)</f>
        <v>0</v>
      </c>
      <c r="G16" s="1847"/>
      <c r="H16" s="1325" t="s">
        <v>1030</v>
      </c>
      <c r="I16" s="1326" t="s">
        <v>1423</v>
      </c>
      <c r="J16" s="354">
        <f ca="1">ROUND(J17+J22+J23+J24,0)</f>
        <v>0</v>
      </c>
      <c r="K16" s="1333" t="s">
        <v>1424</v>
      </c>
      <c r="L16" s="1334"/>
      <c r="M16" s="1290"/>
    </row>
    <row r="17" spans="1:37" s="1854" customFormat="1" ht="18" customHeight="1">
      <c r="A17" s="1197" t="s">
        <v>1388</v>
      </c>
      <c r="B17" s="346" t="s">
        <v>1425</v>
      </c>
      <c r="C17" s="24">
        <f ca="1">ROUND(F17*(F43+INDIRECT("'数据-取费表'!S"&amp;$G$1)),0)</f>
        <v>0</v>
      </c>
      <c r="D17" s="346" t="s">
        <v>1426</v>
      </c>
      <c r="E17" s="346" t="s">
        <v>1427</v>
      </c>
      <c r="F17" s="26">
        <f>'数据-取费表'!B35</f>
        <v>200</v>
      </c>
      <c r="G17" s="1850"/>
      <c r="H17" s="1197" t="s">
        <v>1035</v>
      </c>
      <c r="I17" s="346" t="s">
        <v>1428</v>
      </c>
      <c r="J17" s="24">
        <f ca="1">ROUND(IF(项目基本情况!B11="自然人",J5*M17,J18+J19+J20),0)</f>
        <v>0</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6" t="s">
        <v>1431</v>
      </c>
      <c r="C18" s="24">
        <f ca="1">ROUND(C14*F18,0)</f>
        <v>0</v>
      </c>
      <c r="D18" s="346" t="s">
        <v>1420</v>
      </c>
      <c r="E18" s="346" t="s">
        <v>1421</v>
      </c>
      <c r="F18" s="366">
        <f>'数据-取费表'!B36</f>
        <v>1.4999999999999999E-2</v>
      </c>
      <c r="G18" s="1850"/>
      <c r="H18" s="1197" t="s">
        <v>1034</v>
      </c>
      <c r="I18" s="346" t="s">
        <v>1432</v>
      </c>
      <c r="J18" s="24">
        <f ca="1">ROUND(J5*M18/(1+'数据-取费表'!C42),0)</f>
        <v>0</v>
      </c>
      <c r="K18" s="1794"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1434</v>
      </c>
      <c r="C19" s="24">
        <f ca="1">SUM(C14:C18)</f>
        <v>0</v>
      </c>
      <c r="D19" s="139" t="s">
        <v>1435</v>
      </c>
      <c r="E19" s="1814"/>
      <c r="F19" s="26"/>
      <c r="G19" s="1847"/>
      <c r="H19" s="1197" t="s">
        <v>1036</v>
      </c>
      <c r="I19" s="346" t="s">
        <v>1436</v>
      </c>
      <c r="J19" s="24">
        <f ca="1">IF(K19="按租金收入计税",ROUND(J5*M19,0),ROUND(C29*M19*0.7,0))</f>
        <v>0</v>
      </c>
      <c r="K19" s="1824" t="s">
        <v>1437</v>
      </c>
      <c r="L19" s="346" t="s">
        <v>1421</v>
      </c>
      <c r="M19" s="366">
        <f>IF(K19="按租金收入计税",'数据-取费表'!B51,'数据-取费表'!B50)</f>
        <v>1.2E-2</v>
      </c>
    </row>
    <row r="20" spans="1:37" s="1854" customFormat="1" ht="18" customHeight="1">
      <c r="A20" s="1197" t="s">
        <v>1039</v>
      </c>
      <c r="B20" s="346" t="s">
        <v>1438</v>
      </c>
      <c r="C20" s="24">
        <f ca="1">ROUND(C19*F20,0)</f>
        <v>0</v>
      </c>
      <c r="D20" s="368" t="s">
        <v>1439</v>
      </c>
      <c r="E20" s="346" t="s">
        <v>1421</v>
      </c>
      <c r="F20" s="366">
        <f>'数据-取费表'!B37</f>
        <v>0.02</v>
      </c>
      <c r="G20" s="1850"/>
      <c r="H20" s="1197" t="s">
        <v>1387</v>
      </c>
      <c r="I20" s="163" t="s">
        <v>1440</v>
      </c>
      <c r="J20" s="25">
        <f ca="1">ROUND(M20*M21,0)</f>
        <v>0</v>
      </c>
      <c r="K20" s="369" t="s">
        <v>1441</v>
      </c>
      <c r="L20" s="346" t="s">
        <v>1442</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1443</v>
      </c>
      <c r="C21" s="24" t="s">
        <v>1</v>
      </c>
      <c r="D21" s="368" t="s">
        <v>1444</v>
      </c>
      <c r="E21" s="346" t="s">
        <v>1445</v>
      </c>
      <c r="F21" s="366">
        <f>'数据-取费表'!B38</f>
        <v>0.02</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6" t="s">
        <v>1447</v>
      </c>
      <c r="C22" s="24"/>
      <c r="D22" s="139" t="str">
        <f>IF(F23&lt;=1,"单利计息。","复利计息。")&amp;"建造成本、管理费用、销售费用产生的利息。"</f>
        <v>复利计息。建造成本、管理费用、销售费用产生的利息。</v>
      </c>
      <c r="E22" s="1814"/>
      <c r="F22" s="26"/>
      <c r="G22" s="1847"/>
      <c r="H22" s="1197" t="s">
        <v>1039</v>
      </c>
      <c r="I22" s="346" t="s">
        <v>1448</v>
      </c>
      <c r="J22" s="24">
        <f ca="1">ROUND(J14*M22,0)</f>
        <v>0</v>
      </c>
      <c r="K22" s="1794" t="s">
        <v>1449</v>
      </c>
      <c r="L22" s="346" t="s">
        <v>1421</v>
      </c>
      <c r="M22" s="373">
        <f ca="1">INDIRECT("'数据-取费表'!Ak"&amp;$G$1)</f>
        <v>0</v>
      </c>
    </row>
    <row r="23" spans="1:37" s="1854" customFormat="1" ht="18" customHeight="1">
      <c r="A23" s="1197"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0"/>
      <c r="H23" s="1197" t="s">
        <v>1075</v>
      </c>
      <c r="I23" s="346" t="s">
        <v>1452</v>
      </c>
      <c r="J23" s="24">
        <f ca="1">ROUND(J13*M23,0)</f>
        <v>0</v>
      </c>
      <c r="K23" s="1794" t="s">
        <v>1453</v>
      </c>
      <c r="L23" s="346" t="s">
        <v>1454</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5" t="s">
        <v>1391</v>
      </c>
      <c r="I24" s="1336" t="s">
        <v>1438</v>
      </c>
      <c r="J24" s="1337">
        <f ca="1">ROUND(J5*M24,0)</f>
        <v>0</v>
      </c>
      <c r="K24" s="1338" t="s">
        <v>1458</v>
      </c>
      <c r="L24" s="1336" t="s">
        <v>1454</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1459</v>
      </c>
      <c r="B25" s="346" t="s">
        <v>1460</v>
      </c>
      <c r="C25" s="24"/>
      <c r="D25" s="139" t="s">
        <v>1461</v>
      </c>
      <c r="E25" s="1814"/>
      <c r="F25" s="26"/>
      <c r="G25" s="1847"/>
      <c r="H25" s="1325" t="s">
        <v>1031</v>
      </c>
      <c r="I25" s="1340" t="s">
        <v>1462</v>
      </c>
      <c r="J25" s="354">
        <f ca="1">J5-J16</f>
        <v>0</v>
      </c>
      <c r="K25" s="1341" t="s">
        <v>1463</v>
      </c>
      <c r="L25" s="1342"/>
      <c r="M25" s="1343"/>
    </row>
    <row r="26" spans="1:37" ht="18" customHeight="1">
      <c r="A26" s="1197" t="s">
        <v>1034</v>
      </c>
      <c r="B26" s="346" t="s">
        <v>1464</v>
      </c>
      <c r="C26" s="24">
        <f ca="1">ROUND((C19+C20)*F26,0)</f>
        <v>0</v>
      </c>
      <c r="D26" s="368" t="s">
        <v>1465</v>
      </c>
      <c r="E26" s="357" t="s">
        <v>1466</v>
      </c>
      <c r="F26" s="356">
        <f ca="1">INDIRECT("'数据-取费表'!q"&amp;$G$1)</f>
        <v>0</v>
      </c>
      <c r="G26" s="1847"/>
      <c r="H26" s="343" t="s">
        <v>1032</v>
      </c>
      <c r="I26" s="344" t="s">
        <v>1467</v>
      </c>
      <c r="J26" s="345">
        <f ca="1">IF(J5&lt;&gt;0,ROUND(J25*(1-((1+M28)/(1+M26))^M27)/(M26-M28),0),0)</f>
        <v>0</v>
      </c>
      <c r="K26" s="369" t="s">
        <v>1468</v>
      </c>
      <c r="L26" s="346" t="s">
        <v>1469</v>
      </c>
      <c r="M26" s="356">
        <f ca="1">INDIRECT("'数据-取费表'!I"&amp;$G$1)</f>
        <v>0</v>
      </c>
    </row>
    <row r="27" spans="1:37" ht="18" customHeight="1">
      <c r="A27" s="1197" t="s">
        <v>1036</v>
      </c>
      <c r="B27" s="346" t="s">
        <v>1470</v>
      </c>
      <c r="C27" s="24">
        <f ca="1">ROUND(F21*F26,4)</f>
        <v>0</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0</v>
      </c>
      <c r="D29" s="1338"/>
      <c r="E29" s="1336"/>
      <c r="F29" s="1339"/>
      <c r="G29" s="1850"/>
      <c r="H29" s="379" t="s">
        <v>1033</v>
      </c>
      <c r="I29" s="380" t="s">
        <v>1478</v>
      </c>
      <c r="J29" s="381">
        <f ca="1">ROUND(J26/(1+F40)^F41,0)</f>
        <v>0</v>
      </c>
      <c r="K29" s="382" t="s">
        <v>1479</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4">
        <f ca="1">ROUND(C31+C36+C37+C38,0)</f>
        <v>0</v>
      </c>
      <c r="D30" s="1333" t="s">
        <v>1424</v>
      </c>
      <c r="E30" s="1334"/>
      <c r="F30" s="1290"/>
      <c r="G30" s="1847"/>
      <c r="H30" s="743"/>
      <c r="I30" s="744"/>
      <c r="J30" s="745"/>
      <c r="K30" s="746"/>
      <c r="L30" s="747"/>
      <c r="M30" s="748"/>
    </row>
    <row r="31" spans="1:37" ht="18" customHeight="1">
      <c r="A31" s="1197" t="s">
        <v>1035</v>
      </c>
      <c r="B31" s="346" t="s">
        <v>1428</v>
      </c>
      <c r="C31" s="24">
        <f ca="1">ROUND(IF(项目基本情况!B11="自然人",C5*F31,C32+C33+C34),0)</f>
        <v>0</v>
      </c>
      <c r="D31" s="1796" t="s">
        <v>1429</v>
      </c>
      <c r="E31" s="1794" t="s">
        <v>1480</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6" t="s">
        <v>1432</v>
      </c>
      <c r="C32" s="24">
        <f ca="1">IF(项目基本情况!B11="自然人","——",ROUND(C5*F32/(1+'数据-取费表'!C42),0))</f>
        <v>0</v>
      </c>
      <c r="D32" s="1794" t="s">
        <v>1433</v>
      </c>
      <c r="E32" s="346" t="s">
        <v>1421</v>
      </c>
      <c r="F32" s="376">
        <f>'数据-取费表'!B41</f>
        <v>5.6000000000000001E-2</v>
      </c>
      <c r="G32" s="1847"/>
      <c r="H32" s="743"/>
      <c r="I32" s="744"/>
      <c r="J32" s="745"/>
      <c r="K32" s="746"/>
      <c r="L32" s="747"/>
      <c r="M32" s="748"/>
    </row>
    <row r="33" spans="1:18" ht="18" customHeight="1">
      <c r="A33" s="1197" t="s">
        <v>1036</v>
      </c>
      <c r="B33" s="346" t="s">
        <v>1436</v>
      </c>
      <c r="C33" s="24">
        <f ca="1">IF(项目基本情况!B11="自然人","——",IF(D33="按租金收入计税",ROUND(C5*F33,0),IF(D33="按房产原值计税",ROUND(C29*F33*0.7,0),INDIRECT("'数据-取费表'!Aj"&amp;$G$1))))</f>
        <v>0</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1387</v>
      </c>
      <c r="B34" s="163" t="s">
        <v>1440</v>
      </c>
      <c r="C34" s="25">
        <f ca="1">IF(项目基本情况!B11="自然人","——",ROUND(F34*F35,))</f>
        <v>0</v>
      </c>
      <c r="D34" s="369" t="s">
        <v>1441</v>
      </c>
      <c r="E34" s="346" t="s">
        <v>1442</v>
      </c>
      <c r="F34" s="370">
        <f>'数据-取费表'!B52</f>
        <v>24</v>
      </c>
      <c r="G34" s="1847"/>
      <c r="H34" s="743"/>
      <c r="I34" s="1856"/>
      <c r="J34" s="1857"/>
      <c r="K34" s="1859"/>
      <c r="L34" s="1860"/>
      <c r="M34" s="1860"/>
    </row>
    <row r="35" spans="1:18" ht="18" customHeight="1">
      <c r="A35" s="1349"/>
      <c r="B35" s="1347"/>
      <c r="C35" s="29"/>
      <c r="D35" s="372"/>
      <c r="E35" s="346" t="s">
        <v>1446</v>
      </c>
      <c r="F35" s="347">
        <f ca="1">INDIRECT("'数据-取费表'!r"&amp;$G$1)</f>
        <v>0</v>
      </c>
      <c r="G35" s="1847"/>
      <c r="H35" s="743"/>
      <c r="I35" s="1856"/>
      <c r="J35" s="1857"/>
      <c r="K35" s="1858"/>
      <c r="L35" s="1855"/>
      <c r="M35" s="1855"/>
    </row>
    <row r="36" spans="1:18" ht="18" customHeight="1">
      <c r="A36" s="1348" t="s">
        <v>1039</v>
      </c>
      <c r="B36" s="346" t="s">
        <v>1448</v>
      </c>
      <c r="C36" s="24">
        <f ca="1">ROUND(C29*F36,0)</f>
        <v>0</v>
      </c>
      <c r="D36" s="1794" t="s">
        <v>1481</v>
      </c>
      <c r="E36" s="346" t="s">
        <v>1421</v>
      </c>
      <c r="F36" s="373">
        <f ca="1">INDIRECT("'数据-取费表'!Ak"&amp;$G$1)</f>
        <v>0</v>
      </c>
      <c r="G36" s="1847"/>
      <c r="H36" s="1855"/>
      <c r="I36" s="1856"/>
      <c r="J36" s="1857"/>
      <c r="K36" s="749"/>
      <c r="L36" s="1855"/>
      <c r="M36" s="1855"/>
    </row>
    <row r="37" spans="1:18" ht="18" customHeight="1">
      <c r="A37" s="1197" t="s">
        <v>1075</v>
      </c>
      <c r="B37" s="346" t="s">
        <v>1452</v>
      </c>
      <c r="C37" s="24">
        <f ca="1">ROUND(C13*F37,0)</f>
        <v>0</v>
      </c>
      <c r="D37" s="1794" t="s">
        <v>1453</v>
      </c>
      <c r="E37" s="346" t="s">
        <v>1454</v>
      </c>
      <c r="F37" s="375">
        <f ca="1">INDIRECT("'数据-取费表'!Al"&amp;$G$1)</f>
        <v>0</v>
      </c>
      <c r="G37" s="1847"/>
      <c r="H37" s="1855"/>
      <c r="I37" s="1856"/>
      <c r="J37" s="1857"/>
      <c r="K37" s="749"/>
      <c r="L37" s="1855"/>
      <c r="M37" s="1855"/>
    </row>
    <row r="38" spans="1:18" ht="18" customHeight="1" thickBot="1">
      <c r="A38" s="1335" t="s">
        <v>1391</v>
      </c>
      <c r="B38" s="1336" t="s">
        <v>1438</v>
      </c>
      <c r="C38" s="1337">
        <f ca="1">ROUND(C5*F38,1)</f>
        <v>0</v>
      </c>
      <c r="D38" s="1338" t="s">
        <v>1458</v>
      </c>
      <c r="E38" s="1336" t="s">
        <v>1454</v>
      </c>
      <c r="F38" s="1332">
        <f ca="1">INDIRECT("'数据-取费表'!Am"&amp;$G$1)</f>
        <v>0</v>
      </c>
      <c r="G38" s="1847"/>
      <c r="H38" s="1855"/>
      <c r="I38" s="1856"/>
      <c r="J38" s="1857"/>
      <c r="K38" s="1861"/>
      <c r="L38" s="1855"/>
      <c r="M38" s="1855"/>
    </row>
    <row r="39" spans="1:18" ht="24.6" customHeight="1" thickTop="1">
      <c r="A39" s="1325" t="s">
        <v>1031</v>
      </c>
      <c r="B39" s="1340" t="s">
        <v>1482</v>
      </c>
      <c r="C39" s="354">
        <f ca="1">C5-C30</f>
        <v>0</v>
      </c>
      <c r="D39" s="1341" t="s">
        <v>1483</v>
      </c>
      <c r="E39" s="1342"/>
      <c r="F39" s="1343"/>
      <c r="G39" s="1847"/>
      <c r="H39" s="1855"/>
      <c r="I39" s="1856"/>
      <c r="J39" s="1857"/>
      <c r="K39" s="1861"/>
      <c r="L39" s="1855"/>
      <c r="M39" s="1855"/>
    </row>
    <row r="40" spans="1:18" ht="18" customHeight="1">
      <c r="A40" s="343" t="s">
        <v>1032</v>
      </c>
      <c r="B40" s="344" t="s">
        <v>1484</v>
      </c>
      <c r="C40" s="345" t="e">
        <f ca="1">ROUND(C39*(1-((1+F42)/(1+F40))^F41)/(F40-F42),0)</f>
        <v>#DIV/0!</v>
      </c>
      <c r="D40" s="369" t="s">
        <v>1468</v>
      </c>
      <c r="E40" s="346" t="s">
        <v>1469</v>
      </c>
      <c r="F40" s="356">
        <f ca="1">INDIRECT("'数据-取费表'!I"&amp;$G$1)</f>
        <v>0</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0</v>
      </c>
      <c r="G41" s="1847"/>
      <c r="H41" s="730"/>
      <c r="I41" s="1856"/>
      <c r="J41" s="1857"/>
      <c r="K41" s="749"/>
      <c r="L41" s="730"/>
      <c r="M41" s="730"/>
    </row>
    <row r="42" spans="1:18" ht="18" customHeight="1">
      <c r="A42" s="352"/>
      <c r="B42" s="353"/>
      <c r="C42" s="354"/>
      <c r="D42" s="372"/>
      <c r="E42" s="346" t="s">
        <v>1476</v>
      </c>
      <c r="F42" s="356">
        <f ca="1">INDIRECT("'数据-取费表'!v"&amp;$G$1)</f>
        <v>0</v>
      </c>
      <c r="G42" s="1847"/>
      <c r="H42" s="730"/>
      <c r="I42" s="1856"/>
      <c r="J42" s="1857"/>
      <c r="K42" s="749"/>
      <c r="L42" s="730"/>
      <c r="M42" s="730"/>
    </row>
    <row r="43" spans="1:18" ht="18" customHeight="1" thickBot="1">
      <c r="A43" s="379" t="s">
        <v>1033</v>
      </c>
      <c r="B43" s="380" t="s">
        <v>1486</v>
      </c>
      <c r="C43" s="381" t="e">
        <f ca="1">ROUND(C40/F43,0)</f>
        <v>#DIV/0!</v>
      </c>
      <c r="D43" s="382" t="s">
        <v>1487</v>
      </c>
      <c r="E43" s="383" t="s">
        <v>1488</v>
      </c>
      <c r="F43" s="384">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1603</v>
      </c>
      <c r="E45" s="1862"/>
      <c r="F45" s="1862"/>
      <c r="O45" s="1865" t="s">
        <v>1518</v>
      </c>
      <c r="P45" s="1835"/>
      <c r="Q45" s="1835"/>
      <c r="R45" s="1835"/>
    </row>
    <row r="46" spans="1:18" s="1838" customFormat="1" ht="13.5" thickBot="1">
      <c r="A46" s="1866" t="s">
        <v>1519</v>
      </c>
      <c r="C46" s="1867" t="e">
        <f ca="1">ROUND(C45/10000,0)</f>
        <v>#DIV/0!</v>
      </c>
      <c r="D46" s="1868" t="str">
        <f>C2</f>
        <v>万元</v>
      </c>
      <c r="I46" s="1869" t="s">
        <v>1520</v>
      </c>
      <c r="J46" s="1870"/>
      <c r="K46" s="1871"/>
      <c r="L46" s="1872" t="e">
        <f ca="1">IF(M47="住宅",0,IF(L48&gt;J51,L60,J60))</f>
        <v>#DIV/0!</v>
      </c>
      <c r="O46" s="1873" t="s">
        <v>1521</v>
      </c>
      <c r="P46" s="1874" t="s">
        <v>1522</v>
      </c>
      <c r="Q46" s="1875" t="s">
        <v>1523</v>
      </c>
      <c r="R46" s="1875" t="s">
        <v>1524</v>
      </c>
    </row>
    <row r="47" spans="1:18" s="1838" customFormat="1" ht="13.5" thickBot="1">
      <c r="A47" s="1161" t="s">
        <v>1394</v>
      </c>
      <c r="B47" s="1193" t="s">
        <v>1395</v>
      </c>
      <c r="C47" s="1193" t="s">
        <v>1396</v>
      </c>
      <c r="D47" s="1193" t="s">
        <v>1397</v>
      </c>
      <c r="E47" s="1275" t="s">
        <v>1398</v>
      </c>
      <c r="F47" s="1276"/>
      <c r="G47" s="790"/>
      <c r="I47" s="1876" t="s">
        <v>1525</v>
      </c>
      <c r="J47" s="1877"/>
      <c r="K47" s="1878" t="s">
        <v>1526</v>
      </c>
      <c r="L47" s="1879">
        <f ca="1">INDIRECT("'数据-取费表'!d"&amp;$G$1)</f>
        <v>0</v>
      </c>
      <c r="M47" s="1834" t="str">
        <f>IF(ISNUMBER(FIND("住宅",C1)),"住宅","非住宅")</f>
        <v>非住宅</v>
      </c>
      <c r="O47" s="1880" t="s">
        <v>1040</v>
      </c>
      <c r="P47" s="1881" t="s">
        <v>1527</v>
      </c>
      <c r="Q47" s="1882" t="e">
        <f ca="1">C40+J29</f>
        <v>#DIV/0!</v>
      </c>
      <c r="R47" s="1882" t="s">
        <v>1528</v>
      </c>
    </row>
    <row r="48" spans="1:18" s="1838" customFormat="1" ht="28.5" thickBot="1">
      <c r="A48" s="1356" t="s">
        <v>1135</v>
      </c>
      <c r="B48" s="344" t="s">
        <v>1399</v>
      </c>
      <c r="C48" s="1813">
        <f ca="1">C49+C53+C55</f>
        <v>0</v>
      </c>
      <c r="D48" s="1358"/>
      <c r="E48" s="1359"/>
      <c r="F48" s="1177"/>
      <c r="G48" s="790"/>
      <c r="H48" s="791"/>
      <c r="I48" s="1883" t="s">
        <v>1529</v>
      </c>
      <c r="J48" s="1884"/>
      <c r="K48" s="1885" t="s">
        <v>1530</v>
      </c>
      <c r="L48" s="1886">
        <f ca="1">INDIRECT("'数据-取费表'!f"&amp;$G$1)</f>
        <v>0</v>
      </c>
      <c r="O48" s="1880" t="s">
        <v>1041</v>
      </c>
      <c r="P48" s="1881" t="s">
        <v>1531</v>
      </c>
      <c r="Q48" s="1882" t="e">
        <f ca="1">J60</f>
        <v>#DIV/0!</v>
      </c>
      <c r="R48" s="1882" t="s">
        <v>1532</v>
      </c>
    </row>
    <row r="49" spans="1:18" s="1838" customFormat="1" ht="13.5" thickBot="1">
      <c r="A49" s="1190" t="s">
        <v>1136</v>
      </c>
      <c r="B49" s="1825" t="s">
        <v>1489</v>
      </c>
      <c r="C49" s="1360">
        <f ca="1">ROUND(F49*F51*F50*(1-F52),0)</f>
        <v>0</v>
      </c>
      <c r="D49" s="1272" t="s">
        <v>1402</v>
      </c>
      <c r="E49" s="1826" t="s">
        <v>1490</v>
      </c>
      <c r="F49" s="1277"/>
      <c r="G49" s="1887"/>
      <c r="H49" s="791"/>
      <c r="I49" s="1883" t="s">
        <v>1533</v>
      </c>
      <c r="J49" s="1888"/>
      <c r="K49" s="1885" t="s">
        <v>1534</v>
      </c>
      <c r="L49" s="1889"/>
      <c r="O49" s="1890" t="s">
        <v>1042</v>
      </c>
      <c r="P49" s="1881" t="s">
        <v>1535</v>
      </c>
      <c r="Q49" s="1882">
        <f ca="1">C29</f>
        <v>0</v>
      </c>
      <c r="R49" s="1882" t="s">
        <v>1528</v>
      </c>
    </row>
    <row r="50" spans="1:18" s="1838" customFormat="1" ht="13.5" thickBot="1">
      <c r="A50" s="1191"/>
      <c r="B50" s="1194"/>
      <c r="C50" s="1195"/>
      <c r="D50" s="1168"/>
      <c r="E50" s="1273" t="s">
        <v>1404</v>
      </c>
      <c r="F50" s="1274">
        <f ca="1">F7</f>
        <v>0</v>
      </c>
      <c r="H50" s="791"/>
      <c r="I50" s="1883" t="s">
        <v>1536</v>
      </c>
      <c r="J50" s="1891">
        <f>SUMPRODUCT((I63:I65=J47)*(J62:L62=J48)*(J63:L65))</f>
        <v>0</v>
      </c>
      <c r="K50" s="1885" t="s">
        <v>1537</v>
      </c>
      <c r="L50" s="1889"/>
      <c r="M50" s="1892"/>
      <c r="O50" s="1890" t="s">
        <v>1043</v>
      </c>
      <c r="P50" s="1881" t="s">
        <v>1538</v>
      </c>
      <c r="Q50" s="1893" t="e">
        <f ca="1">J58</f>
        <v>#DIV/0!</v>
      </c>
      <c r="R50" s="1882"/>
    </row>
    <row r="51" spans="1:18" s="1838" customFormat="1" ht="13.5" thickBot="1">
      <c r="A51" s="1192"/>
      <c r="B51" s="1194"/>
      <c r="C51" s="1195"/>
      <c r="D51" s="1168"/>
      <c r="E51" s="1196" t="s">
        <v>1405</v>
      </c>
      <c r="F51" s="347">
        <f ca="1">F8</f>
        <v>0</v>
      </c>
      <c r="I51" s="1894" t="s">
        <v>1539</v>
      </c>
      <c r="J51" s="1895">
        <f>IF(J49="",J50,J49+J50-YEAR('数据-取费表'!B2))</f>
        <v>0</v>
      </c>
      <c r="K51" s="1896" t="s">
        <v>1540</v>
      </c>
      <c r="L51" s="1897">
        <f ca="1">ROUND(-PV(INDIRECT("'数据-取费表'!h"&amp;$G$1),L48,(C39-C13*C76),0),0)</f>
        <v>0</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t="b">
        <f>J53</f>
        <v>0</v>
      </c>
      <c r="R52" s="1882" t="s">
        <v>1545</v>
      </c>
    </row>
    <row r="53" spans="1:18" s="1838" customFormat="1" ht="30.75" customHeight="1" thickBot="1">
      <c r="A53" s="1357" t="s">
        <v>1137</v>
      </c>
      <c r="B53" s="368" t="s">
        <v>1407</v>
      </c>
      <c r="C53" s="360">
        <f ca="1">ROUND(IF(F53="押一",F49*F51*F50/12*F11,IF(F53="押二",F49*F51*F50/12*2*F11,IF(F53="押三",F49*F51*F50/12*3*F11,C54*F11))),0)</f>
        <v>0</v>
      </c>
      <c r="D53" s="1820" t="s">
        <v>1408</v>
      </c>
      <c r="E53" s="357" t="s">
        <v>1409</v>
      </c>
      <c r="F53" s="1362"/>
      <c r="I53" s="1901" t="s">
        <v>1546</v>
      </c>
      <c r="J53" s="1902" t="b">
        <f>IF(M47="住宅",J51,IF(D1="——",MIN(J51,L48),IF(D1="在建（套用方法）",MIN(J51,L48-'数据-取费表'!B24),IF(D1="土地（套用方法）",MIN(J51,L48-'数据-取费表'!B20)))))</f>
        <v>0</v>
      </c>
      <c r="K53" s="3299" t="s">
        <v>1547</v>
      </c>
      <c r="L53" s="3300"/>
      <c r="O53" s="1880" t="s">
        <v>1046</v>
      </c>
      <c r="P53" s="1881" t="s">
        <v>1548</v>
      </c>
      <c r="Q53" s="1882" t="e">
        <f ca="1">Q47+Q48</f>
        <v>#DIV/0!</v>
      </c>
      <c r="R53" s="1882" t="s">
        <v>1047</v>
      </c>
    </row>
    <row r="54" spans="1:18" s="1838" customFormat="1" ht="13.5" thickBot="1">
      <c r="A54" s="1190"/>
      <c r="B54" s="1937" t="s">
        <v>1602</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1549</v>
      </c>
      <c r="P54" s="1835"/>
      <c r="Q54" s="1835"/>
      <c r="R54" s="1835"/>
    </row>
    <row r="55" spans="1:18" s="1838" customFormat="1" ht="13.5" thickBot="1">
      <c r="A55" s="1329" t="s">
        <v>1075</v>
      </c>
      <c r="B55" s="1823" t="s">
        <v>1412</v>
      </c>
      <c r="C55" s="1330"/>
      <c r="D55" s="1820"/>
      <c r="E55" s="1828"/>
      <c r="F55" s="1903"/>
      <c r="I55" s="1906" t="s">
        <v>1550</v>
      </c>
      <c r="J55" s="1907" t="e">
        <f ca="1">ROUND(IF(J47="钢混",J57/J50,1-(1-2%)*(J50-J57)/J50),3)</f>
        <v>#DIV/0!</v>
      </c>
      <c r="K55" s="1908" t="s">
        <v>1551</v>
      </c>
      <c r="L55" s="1909"/>
      <c r="O55" s="1873" t="s">
        <v>1521</v>
      </c>
      <c r="P55" s="1874" t="s">
        <v>1522</v>
      </c>
      <c r="Q55" s="1875" t="s">
        <v>1523</v>
      </c>
      <c r="R55" s="1875" t="s">
        <v>1524</v>
      </c>
    </row>
    <row r="56" spans="1:18" s="1838" customFormat="1" ht="36" customHeight="1" thickTop="1" thickBot="1">
      <c r="A56" s="1172">
        <v>2</v>
      </c>
      <c r="B56" s="1173" t="s">
        <v>1413</v>
      </c>
      <c r="C56" s="275">
        <f ca="1">C13</f>
        <v>0</v>
      </c>
      <c r="D56" s="1910"/>
      <c r="E56" s="1911"/>
      <c r="F56" s="1903"/>
      <c r="I56" s="1912" t="s">
        <v>1553</v>
      </c>
      <c r="J56" s="1913"/>
      <c r="K56" s="1883" t="s">
        <v>1554</v>
      </c>
      <c r="L56" s="1886">
        <f ca="1">IF(L48&lt;J51,"——",L48-J51)</f>
        <v>0</v>
      </c>
      <c r="O56" s="1880" t="s">
        <v>1040</v>
      </c>
      <c r="P56" s="1881" t="s">
        <v>1527</v>
      </c>
      <c r="Q56" s="1882" t="e">
        <f ca="1">C40+J29</f>
        <v>#DIV/0!</v>
      </c>
      <c r="R56" s="1882" t="s">
        <v>1528</v>
      </c>
    </row>
    <row r="57" spans="1:18" s="1838" customFormat="1" ht="24.75" thickBot="1">
      <c r="A57" s="1914"/>
      <c r="B57" s="1165" t="s">
        <v>1477</v>
      </c>
      <c r="C57" s="281">
        <f ca="1">C29</f>
        <v>0</v>
      </c>
      <c r="D57" s="1915"/>
      <c r="E57" s="1916"/>
      <c r="F57" s="1917"/>
      <c r="I57" s="1918" t="s">
        <v>1555</v>
      </c>
      <c r="J57" s="1919">
        <f ca="1">IF(OR(M47="住宅",J51&lt;L48,J56="是"),"——",J51-L48)</f>
        <v>0</v>
      </c>
      <c r="K57" s="1883" t="s">
        <v>1604</v>
      </c>
      <c r="L57" s="1886">
        <f ca="1">IF(L48&lt;J51,"——",IF(L55="比较法",L49,IF(L55="基准地价",L50,L51)))</f>
        <v>0</v>
      </c>
      <c r="O57" s="1880" t="s">
        <v>1041</v>
      </c>
      <c r="P57" s="1881" t="s">
        <v>1605</v>
      </c>
      <c r="Q57" s="1882" t="e">
        <f ca="1">L60</f>
        <v>#DIV/0!</v>
      </c>
      <c r="R57" s="1882" t="s">
        <v>1606</v>
      </c>
    </row>
    <row r="58" spans="1:18" s="1838" customFormat="1" ht="24.75" thickBot="1">
      <c r="A58" s="359" t="s">
        <v>1030</v>
      </c>
      <c r="B58" s="1173" t="s">
        <v>1423</v>
      </c>
      <c r="C58" s="360">
        <f ca="1">ROUND(C59+C64+C65+C66,0)</f>
        <v>0</v>
      </c>
      <c r="D58" s="1175" t="s">
        <v>1424</v>
      </c>
      <c r="E58" s="1176"/>
      <c r="F58" s="1177"/>
      <c r="I58" s="1918" t="s">
        <v>1559</v>
      </c>
      <c r="J58" s="1920" t="e">
        <f ca="1">IF(J55&lt;0.4,0.4,J55)</f>
        <v>#DIV/0!</v>
      </c>
      <c r="K58" s="1896" t="s">
        <v>1607</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ROUND(IF(项目基本情况!B11="自然人",C48*F59,C60+C61+C62),0)</f>
        <v>0</v>
      </c>
      <c r="D59" s="1178" t="s">
        <v>1429</v>
      </c>
      <c r="E59" s="1179" t="s">
        <v>1430</v>
      </c>
      <c r="F59" s="367" t="str">
        <f ca="1">IF(项目基本情况!B11="企业","",IF(INDIRECT("'数据-取费表'!c"&amp;$G$1)="住宅",5%,IF(F49*F50*F51/12/(1+'数据-取费表'!C42)&gt;20000,12%,7%)))</f>
        <v/>
      </c>
      <c r="I59" s="1918" t="s">
        <v>1562</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IF(项目基本情况!B11="自然人","——",ROUND(C48*F60/(1+'数据-取费表'!C42),0))</f>
        <v>0</v>
      </c>
      <c r="D60" s="1179" t="s">
        <v>1433</v>
      </c>
      <c r="E60" s="1165" t="s">
        <v>1421</v>
      </c>
      <c r="F60" s="376">
        <f t="shared" ref="F60:F66" si="0">F32</f>
        <v>5.6000000000000001E-2</v>
      </c>
      <c r="I60" s="1921" t="s">
        <v>1564</v>
      </c>
      <c r="J60" s="1922" t="e">
        <f ca="1">IF(OR(M47="住宅",J51&lt;L48,J56="是"),"0",ROUND(J59/(1+J52)^J53,0))</f>
        <v>#DIV/0!</v>
      </c>
      <c r="K60" s="1923" t="s">
        <v>1565</v>
      </c>
      <c r="L60" s="1922" t="e">
        <f ca="1">IF(OR(M47="住宅",L48&lt;J51),0,ROUND(L57*(L58/L59-1),0))</f>
        <v>#DIV/0!</v>
      </c>
      <c r="O60" s="1890" t="s">
        <v>1044</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IF(项目基本情况!B11="自然人","——",IF(D61="按租金收入计税",ROUND(C48*F61,0),IF(D61="按房产原值计税",ROUND(C57*F61*0.7,0),INDIRECT("'数据-取费表'!Aj"&amp;$G$1))))</f>
        <v>0</v>
      </c>
      <c r="D61" s="1824" t="s">
        <v>1437</v>
      </c>
      <c r="E61" s="1165" t="s">
        <v>1493</v>
      </c>
      <c r="F61" s="366">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IF(项目基本情况!B11="自然人","——",ROUND(F62*F63,0))</f>
        <v>0</v>
      </c>
      <c r="D62" s="1180" t="s">
        <v>1496</v>
      </c>
      <c r="E62" s="1165" t="s">
        <v>1497</v>
      </c>
      <c r="F62" s="370">
        <f t="shared" si="0"/>
        <v>24</v>
      </c>
      <c r="I62" s="1925" t="s">
        <v>1569</v>
      </c>
      <c r="J62" s="1926" t="s">
        <v>1570</v>
      </c>
      <c r="K62" s="1926" t="s">
        <v>1571</v>
      </c>
      <c r="L62" s="1926" t="s">
        <v>1572</v>
      </c>
      <c r="M62" s="1927" t="s">
        <v>1573</v>
      </c>
      <c r="O62" s="1880" t="s">
        <v>1046</v>
      </c>
      <c r="P62" s="1881" t="s">
        <v>1574</v>
      </c>
      <c r="Q62" s="1882" t="e">
        <f ca="1">Q56+Q57</f>
        <v>#DIV/0!</v>
      </c>
      <c r="R62" s="1882" t="s">
        <v>1047</v>
      </c>
    </row>
    <row r="63" spans="1:18" s="1838" customFormat="1" ht="13.5" thickBot="1">
      <c r="A63" s="371"/>
      <c r="B63" s="1171"/>
      <c r="C63" s="29"/>
      <c r="D63" s="1181"/>
      <c r="E63" s="1165" t="s">
        <v>1498</v>
      </c>
      <c r="F63" s="347">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ROUND(C57*F64,0)</f>
        <v>0</v>
      </c>
      <c r="D64" s="1179" t="s">
        <v>1501</v>
      </c>
      <c r="E64" s="1165" t="s">
        <v>1493</v>
      </c>
      <c r="F64" s="373">
        <f t="shared" ca="1" si="0"/>
        <v>0</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ROUND(C56*F65,0)</f>
        <v>0</v>
      </c>
      <c r="D65" s="1179" t="s">
        <v>1453</v>
      </c>
      <c r="E65" s="1165" t="s">
        <v>1454</v>
      </c>
      <c r="F65" s="375">
        <f t="shared" ca="1" si="0"/>
        <v>0</v>
      </c>
      <c r="I65" s="1925" t="s">
        <v>1578</v>
      </c>
      <c r="J65" s="1926">
        <v>40</v>
      </c>
      <c r="K65" s="1926">
        <v>30</v>
      </c>
      <c r="L65" s="1926">
        <v>50</v>
      </c>
      <c r="M65" s="1928">
        <v>0.02</v>
      </c>
      <c r="O65" s="1880" t="s">
        <v>1040</v>
      </c>
      <c r="P65" s="1881" t="s">
        <v>1579</v>
      </c>
      <c r="Q65" s="1882" t="e">
        <f ca="1">C40+J29</f>
        <v>#DIV/0!</v>
      </c>
      <c r="R65" s="1882" t="s">
        <v>1528</v>
      </c>
    </row>
    <row r="66" spans="1:18" s="1838" customFormat="1" ht="16.5" thickBot="1">
      <c r="A66" s="1197" t="s">
        <v>1503</v>
      </c>
      <c r="B66" s="1165" t="s">
        <v>1438</v>
      </c>
      <c r="C66" s="24">
        <f ca="1">ROUND(C48*F66,0)</f>
        <v>0</v>
      </c>
      <c r="D66" s="1179" t="s">
        <v>1504</v>
      </c>
      <c r="E66" s="1165" t="s">
        <v>1421</v>
      </c>
      <c r="F66" s="356">
        <f t="shared" ca="1" si="0"/>
        <v>0</v>
      </c>
      <c r="O66" s="1880" t="s">
        <v>1041</v>
      </c>
      <c r="P66" s="1881" t="s">
        <v>1557</v>
      </c>
      <c r="Q66" s="1882" t="e">
        <f ca="1">L60</f>
        <v>#DIV/0!</v>
      </c>
      <c r="R66" s="1882" t="s">
        <v>1580</v>
      </c>
    </row>
    <row r="67" spans="1:18" s="1838" customFormat="1" ht="16.5" thickBot="1">
      <c r="A67" s="1172" t="s">
        <v>1031</v>
      </c>
      <c r="B67" s="1182" t="s">
        <v>1462</v>
      </c>
      <c r="C67" s="360">
        <f ca="1">C48-C58</f>
        <v>0</v>
      </c>
      <c r="D67" s="1178" t="s">
        <v>1463</v>
      </c>
      <c r="E67" s="1183"/>
      <c r="F67" s="1184"/>
      <c r="O67" s="1890" t="s">
        <v>1042</v>
      </c>
      <c r="P67" s="1881" t="s">
        <v>1561</v>
      </c>
      <c r="Q67" s="1929">
        <f ca="1">L51</f>
        <v>0</v>
      </c>
      <c r="R67" s="1882" t="s">
        <v>1581</v>
      </c>
    </row>
    <row r="68" spans="1:18" s="1838" customFormat="1" ht="16.5" thickBot="1">
      <c r="A68" s="1162" t="s">
        <v>1032</v>
      </c>
      <c r="B68" s="1163" t="s">
        <v>1484</v>
      </c>
      <c r="C68" s="345" t="e">
        <f ca="1">ROUND(C67*(1-((1+F70)/(1+F68))^F69)/(F68-F70),0)</f>
        <v>#DIV/0!</v>
      </c>
      <c r="D68" s="1180" t="s">
        <v>1468</v>
      </c>
      <c r="E68" s="1165" t="s">
        <v>1469</v>
      </c>
      <c r="F68" s="356">
        <f ca="1">F40</f>
        <v>0</v>
      </c>
      <c r="O68" s="1890" t="s">
        <v>1043</v>
      </c>
      <c r="P68" s="1930" t="s">
        <v>1582</v>
      </c>
      <c r="Q68" s="1882">
        <f ca="1">ROUND(Q69-Q70*Q71,0)</f>
        <v>0</v>
      </c>
      <c r="R68" s="1882" t="s">
        <v>1051</v>
      </c>
    </row>
    <row r="69" spans="1:18" s="1838" customFormat="1" ht="13.5" thickBot="1">
      <c r="A69" s="1166"/>
      <c r="B69" s="1167"/>
      <c r="C69" s="350"/>
      <c r="D69" s="1185" t="s">
        <v>1472</v>
      </c>
      <c r="E69" s="1165" t="s">
        <v>1473</v>
      </c>
      <c r="F69" s="378">
        <f ca="1">F41</f>
        <v>0</v>
      </c>
      <c r="O69" s="1890" t="s">
        <v>1048</v>
      </c>
      <c r="P69" s="1930" t="s">
        <v>1583</v>
      </c>
      <c r="Q69" s="1882">
        <f ca="1">C39</f>
        <v>0</v>
      </c>
      <c r="R69" s="1882" t="s">
        <v>1528</v>
      </c>
    </row>
    <row r="70" spans="1:18" s="1838" customFormat="1" ht="13.5" thickBot="1">
      <c r="A70" s="1169"/>
      <c r="B70" s="1170"/>
      <c r="C70" s="354"/>
      <c r="D70" s="1181"/>
      <c r="E70" s="1165" t="s">
        <v>1476</v>
      </c>
      <c r="F70" s="1271">
        <f ca="1">F42</f>
        <v>0</v>
      </c>
      <c r="O70" s="1890" t="s">
        <v>1049</v>
      </c>
      <c r="P70" s="1930" t="s">
        <v>1584</v>
      </c>
      <c r="Q70" s="1882">
        <f ca="1">C13</f>
        <v>0</v>
      </c>
      <c r="R70" s="1882" t="s">
        <v>1528</v>
      </c>
    </row>
    <row r="71" spans="1:18" s="1838" customFormat="1" ht="13.5" thickBot="1">
      <c r="A71" s="1186" t="s">
        <v>1033</v>
      </c>
      <c r="B71" s="1187" t="s">
        <v>1486</v>
      </c>
      <c r="C71" s="381" t="e">
        <f ca="1">ROUND(C68/F71,0)</f>
        <v>#DIV/0!</v>
      </c>
      <c r="D71" s="1188" t="s">
        <v>1487</v>
      </c>
      <c r="E71" s="1189" t="s">
        <v>1488</v>
      </c>
      <c r="F71" s="384">
        <f ca="1">F43</f>
        <v>0</v>
      </c>
      <c r="O71" s="1890" t="s">
        <v>1050</v>
      </c>
      <c r="P71" s="1930" t="s">
        <v>1585</v>
      </c>
      <c r="Q71" s="1893">
        <f ca="1">C76</f>
        <v>0</v>
      </c>
      <c r="R71" s="1882"/>
    </row>
    <row r="72" spans="1:18" s="1838" customFormat="1" ht="13.5" thickBot="1">
      <c r="B72" s="794"/>
      <c r="C72" s="794"/>
      <c r="O72" s="1890" t="s">
        <v>1044</v>
      </c>
      <c r="P72" s="1881" t="s">
        <v>1563</v>
      </c>
      <c r="Q72" s="1893">
        <f>L52</f>
        <v>0</v>
      </c>
      <c r="R72" s="1882"/>
    </row>
    <row r="73" spans="1:18" ht="16.5" thickBot="1">
      <c r="A73" s="1838"/>
      <c r="B73" s="794"/>
      <c r="C73" s="794"/>
      <c r="D73" s="1838"/>
      <c r="E73" s="1838"/>
      <c r="F73" s="1838"/>
      <c r="O73" s="1890" t="s">
        <v>1045</v>
      </c>
      <c r="P73" s="1881" t="s">
        <v>1566</v>
      </c>
      <c r="Q73" s="1882" t="e">
        <f ca="1">L58</f>
        <v>#DIV/0!</v>
      </c>
      <c r="R73" s="1882" t="s">
        <v>1567</v>
      </c>
    </row>
    <row r="74" spans="1:18" ht="13.5" thickBot="1">
      <c r="A74" s="1838"/>
      <c r="B74" s="316"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5" t="s">
        <v>1505</v>
      </c>
      <c r="C75" s="386">
        <f ca="1">ROUND(C13*C76,0)</f>
        <v>0</v>
      </c>
      <c r="D75" s="1838"/>
      <c r="E75" s="1838"/>
      <c r="F75" s="1838"/>
      <c r="K75" s="1864"/>
      <c r="L75" s="1838"/>
      <c r="O75" s="1880" t="s">
        <v>1046</v>
      </c>
      <c r="P75" s="1881" t="s">
        <v>1548</v>
      </c>
      <c r="Q75" s="1882" t="e">
        <f ca="1">Q65+Q66</f>
        <v>#DIV/0!</v>
      </c>
      <c r="R75" s="1882" t="s">
        <v>1047</v>
      </c>
    </row>
    <row r="76" spans="1:18">
      <c r="B76" s="387" t="s">
        <v>1506</v>
      </c>
      <c r="C76" s="388">
        <f ca="1">INDIRECT("'数据-取费表'!j"&amp;$G$1)</f>
        <v>0</v>
      </c>
      <c r="I76" s="1838"/>
      <c r="J76" s="1838"/>
      <c r="K76" s="1864"/>
      <c r="L76" s="1838"/>
    </row>
    <row r="77" spans="1:18">
      <c r="B77" s="389" t="s">
        <v>1507</v>
      </c>
      <c r="C77" s="390"/>
      <c r="I77" s="1838"/>
      <c r="J77" s="1838"/>
      <c r="K77" s="1864"/>
      <c r="L77" s="1838"/>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58" zoomScale="90" zoomScaleNormal="90" zoomScaleSheetLayoutView="90" workbookViewId="0">
      <selection activeCell="C80" sqref="C8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80"/>
      <c r="C1" s="1833" t="s">
        <v>3091</v>
      </c>
      <c r="D1" s="1816" t="s">
        <v>70</v>
      </c>
      <c r="E1" s="1817" t="s">
        <v>1385</v>
      </c>
      <c r="F1" s="1279">
        <f ca="1">J53</f>
        <v>36.5</v>
      </c>
      <c r="G1" s="1832">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1514</v>
      </c>
      <c r="B2" s="1840">
        <f ca="1">C40+J29+L46</f>
        <v>95186</v>
      </c>
      <c r="C2" s="1841" t="s">
        <v>1515</v>
      </c>
      <c r="D2" s="1841"/>
      <c r="E2" s="1842"/>
      <c r="F2" s="1843"/>
      <c r="G2" s="1844"/>
      <c r="H2" s="1836"/>
      <c r="I2" s="1836"/>
      <c r="J2" s="1836"/>
      <c r="K2" s="1837"/>
      <c r="L2" s="1836"/>
      <c r="M2" s="1836"/>
    </row>
    <row r="3" spans="1:37" ht="18" customHeight="1" thickBot="1">
      <c r="A3" s="1845" t="s">
        <v>1516</v>
      </c>
      <c r="B3" s="1846">
        <f ca="1">IF(ISERROR(B2*10000/F43),0,ROUND(B2*10000/F43,0))</f>
        <v>67513</v>
      </c>
      <c r="C3" s="1841" t="s">
        <v>1517</v>
      </c>
      <c r="D3" s="1841"/>
      <c r="E3" s="1842"/>
      <c r="F3" s="1843"/>
      <c r="G3" s="1844"/>
      <c r="H3" s="742" t="s">
        <v>1587</v>
      </c>
      <c r="I3" s="1836"/>
      <c r="J3" s="1836"/>
      <c r="K3" s="1837"/>
      <c r="L3" s="1836"/>
      <c r="M3" s="1836"/>
    </row>
    <row r="4" spans="1:37" ht="18" customHeight="1">
      <c r="A4" s="339" t="s">
        <v>1394</v>
      </c>
      <c r="B4" s="340" t="s">
        <v>1395</v>
      </c>
      <c r="C4" s="340" t="s">
        <v>1396</v>
      </c>
      <c r="D4" s="340" t="s">
        <v>1397</v>
      </c>
      <c r="E4" s="341" t="s">
        <v>1398</v>
      </c>
      <c r="F4" s="342"/>
      <c r="G4" s="1847"/>
      <c r="H4" s="339" t="s">
        <v>1394</v>
      </c>
      <c r="I4" s="340" t="s">
        <v>1395</v>
      </c>
      <c r="J4" s="340" t="s">
        <v>1396</v>
      </c>
      <c r="K4" s="340" t="s">
        <v>1397</v>
      </c>
      <c r="L4" s="341" t="s">
        <v>1398</v>
      </c>
      <c r="M4" s="342"/>
    </row>
    <row r="5" spans="1:37" ht="18" customHeight="1">
      <c r="A5" s="343">
        <v>1</v>
      </c>
      <c r="B5" s="344" t="s">
        <v>1399</v>
      </c>
      <c r="C5" s="1288">
        <f ca="1">C6+C10+C12</f>
        <v>4650</v>
      </c>
      <c r="D5" s="1818" t="s">
        <v>1400</v>
      </c>
      <c r="E5" s="1289"/>
      <c r="F5" s="1290"/>
      <c r="G5" s="1847"/>
      <c r="H5" s="343">
        <v>1</v>
      </c>
      <c r="I5" s="344" t="s">
        <v>1399</v>
      </c>
      <c r="J5" s="1288">
        <f ca="1">J6+J10+J12</f>
        <v>0</v>
      </c>
      <c r="K5" s="1818" t="s">
        <v>1400</v>
      </c>
      <c r="L5" s="1289"/>
      <c r="M5" s="1290"/>
    </row>
    <row r="6" spans="1:37" ht="18" customHeight="1">
      <c r="A6" s="1287" t="s">
        <v>1035</v>
      </c>
      <c r="B6" s="3301" t="s">
        <v>1401</v>
      </c>
      <c r="C6" s="1292">
        <f ca="1">ROUND(F6*F8*F7*(1-F9)/10000,0)</f>
        <v>4644</v>
      </c>
      <c r="D6" s="163" t="s">
        <v>3027</v>
      </c>
      <c r="E6" s="346" t="s">
        <v>1403</v>
      </c>
      <c r="F6" s="347">
        <f ca="1">INDIRECT("'数据-取费表'!u"&amp;$G$1)</f>
        <v>9.5</v>
      </c>
      <c r="G6" s="1847"/>
      <c r="H6" s="1287" t="s">
        <v>1035</v>
      </c>
      <c r="I6" s="3301" t="s">
        <v>1401</v>
      </c>
      <c r="J6" s="345">
        <f ca="1">ROUND(M6*M8*M7*(1-M9)/10000,0)</f>
        <v>0</v>
      </c>
      <c r="K6" s="163" t="s">
        <v>3026</v>
      </c>
      <c r="L6" s="346" t="s">
        <v>1403</v>
      </c>
      <c r="M6" s="347">
        <f ca="1">INDIRECT("'数据-取费表'!z"&amp;$G$1)</f>
        <v>0</v>
      </c>
    </row>
    <row r="7" spans="1:37" ht="18" customHeight="1">
      <c r="A7" s="1291"/>
      <c r="B7" s="3302"/>
      <c r="C7" s="1293"/>
      <c r="D7" s="351"/>
      <c r="E7" s="2947" t="s">
        <v>1404</v>
      </c>
      <c r="F7" s="347">
        <f ca="1">IF(INDIRECT("'数据-取费表'!ah"&amp;$G$1)="",INDIRECT("'数据-取费表'!k"&amp;$G$1),INDIRECT("'数据-取费表'!ah"&amp;$G$1))</f>
        <v>14098.83</v>
      </c>
      <c r="G7" s="1847"/>
      <c r="H7" s="348"/>
      <c r="I7" s="3302"/>
      <c r="J7" s="350"/>
      <c r="K7" s="351"/>
      <c r="L7" s="346" t="s">
        <v>1404</v>
      </c>
      <c r="M7" s="347">
        <f ca="1">F7</f>
        <v>14098.83</v>
      </c>
    </row>
    <row r="8" spans="1:37" ht="18" customHeight="1">
      <c r="A8" s="348"/>
      <c r="B8" s="3302"/>
      <c r="C8" s="350"/>
      <c r="D8" s="351"/>
      <c r="E8" s="346" t="s">
        <v>1405</v>
      </c>
      <c r="F8" s="347">
        <f ca="1">INDIRECT("'数据-取费表'!ai"&amp;$G$1)</f>
        <v>365</v>
      </c>
      <c r="G8" s="1847"/>
      <c r="H8" s="348"/>
      <c r="I8" s="3302"/>
      <c r="J8" s="350"/>
      <c r="K8" s="351"/>
      <c r="L8" s="346" t="s">
        <v>1405</v>
      </c>
      <c r="M8" s="347">
        <f ca="1">INDIRECT("'数据-取费表'!ai"&amp;$G$1)</f>
        <v>365</v>
      </c>
    </row>
    <row r="9" spans="1:37" ht="18" customHeight="1">
      <c r="A9" s="348"/>
      <c r="B9" s="3303"/>
      <c r="C9" s="350"/>
      <c r="D9" s="351"/>
      <c r="E9" s="346" t="s">
        <v>1406</v>
      </c>
      <c r="F9" s="356">
        <f ca="1">INDIRECT("'数据-取费表'!w"&amp;$G$1)</f>
        <v>0.05</v>
      </c>
      <c r="G9" s="1847"/>
      <c r="H9" s="348"/>
      <c r="I9" s="3303"/>
      <c r="J9" s="350"/>
      <c r="K9" s="351"/>
      <c r="L9" s="357" t="s">
        <v>1406</v>
      </c>
      <c r="M9" s="358">
        <f ca="1">INDIRECT("'数据-取费表'!ab"&amp;$G$1)</f>
        <v>0</v>
      </c>
    </row>
    <row r="10" spans="1:37" ht="18" customHeight="1">
      <c r="A10" s="1287" t="s">
        <v>1039</v>
      </c>
      <c r="B10" s="1819" t="s">
        <v>1407</v>
      </c>
      <c r="C10" s="360">
        <f ca="1">ROUND(IF(F10="押一",F6*F8*F7/12*F11,IF(F10="押二",F6*F8*F7/12*2*F11,IF(F10="押三",F6*F8*F7/12*3*F11,C11*F11)))/10000,0)</f>
        <v>6</v>
      </c>
      <c r="D10" s="1820" t="s">
        <v>3023</v>
      </c>
      <c r="E10" s="357" t="s">
        <v>1409</v>
      </c>
      <c r="F10" s="1362" t="s">
        <v>3088</v>
      </c>
      <c r="G10" s="1847"/>
      <c r="H10" s="1287" t="s">
        <v>1039</v>
      </c>
      <c r="I10" s="1819" t="s">
        <v>1407</v>
      </c>
      <c r="J10" s="345">
        <f ca="1">ROUND(IF(M10="押一",M6*M8*M7/12*M11,IF(M10="押二",M6*M8*M7/12*2*M11,IF(M10="押三",M6*M8*M7/12*3*M11,J11*M11)))/10000,0)</f>
        <v>0</v>
      </c>
      <c r="K10" s="1820" t="s">
        <v>3023</v>
      </c>
      <c r="L10" s="357" t="s">
        <v>1409</v>
      </c>
      <c r="M10" s="1362" t="s">
        <v>1410</v>
      </c>
    </row>
    <row r="11" spans="1:37" ht="18" customHeight="1">
      <c r="A11" s="352"/>
      <c r="B11" s="1821" t="s">
        <v>1386</v>
      </c>
      <c r="C11" s="1174"/>
      <c r="D11" s="1822"/>
      <c r="E11" s="357" t="s">
        <v>1411</v>
      </c>
      <c r="F11" s="358">
        <f ca="1">'数据-取费表'!B39</f>
        <v>1.4999999999999999E-2</v>
      </c>
      <c r="G11" s="1847"/>
      <c r="H11" s="1295"/>
      <c r="I11" s="1821" t="s">
        <v>1386</v>
      </c>
      <c r="J11" s="1174"/>
      <c r="K11" s="746"/>
      <c r="L11" s="357"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4">
        <f ca="1">ROUND(C29*F13,0)</f>
        <v>9038</v>
      </c>
      <c r="D13" s="1327" t="s">
        <v>1414</v>
      </c>
      <c r="E13" s="1327" t="s">
        <v>1415</v>
      </c>
      <c r="F13" s="1328">
        <f ca="1">INDIRECT("'数据-取费表'!y"&amp;$G$1)</f>
        <v>0.86499999999999999</v>
      </c>
      <c r="G13" s="1847"/>
      <c r="H13" s="1325">
        <v>2</v>
      </c>
      <c r="I13" s="1326" t="s">
        <v>1413</v>
      </c>
      <c r="J13" s="1286">
        <f ca="1">ROUND(J14*J15,0)</f>
        <v>0</v>
      </c>
      <c r="K13" s="1333" t="s">
        <v>1414</v>
      </c>
      <c r="L13" s="1848"/>
      <c r="M13" s="1849"/>
    </row>
    <row r="14" spans="1:37" ht="18" customHeight="1">
      <c r="A14" s="1197" t="s">
        <v>1034</v>
      </c>
      <c r="B14" s="346" t="s">
        <v>1416</v>
      </c>
      <c r="C14" s="362">
        <f ca="1">INDIRECT("'数据-取费表'!m"&amp;$G$1)+INDIRECT("'数据-取费表'!t"&amp;$G$1)</f>
        <v>6666</v>
      </c>
      <c r="D14" s="2956" t="s">
        <v>1417</v>
      </c>
      <c r="E14" s="2955"/>
      <c r="F14" s="363"/>
      <c r="G14" s="1847"/>
      <c r="H14" s="1197" t="s">
        <v>1035</v>
      </c>
      <c r="I14" s="346" t="s">
        <v>1418</v>
      </c>
      <c r="J14" s="24">
        <f ca="1">C29</f>
        <v>10449</v>
      </c>
      <c r="K14" s="2946"/>
      <c r="L14" s="975"/>
      <c r="M14" s="976"/>
    </row>
    <row r="15" spans="1:37" s="1854" customFormat="1" ht="18" customHeight="1" thickBot="1">
      <c r="A15" s="1197" t="s">
        <v>1036</v>
      </c>
      <c r="B15" s="346" t="s">
        <v>1419</v>
      </c>
      <c r="C15" s="24">
        <f ca="1">ROUND(C14*F15,0)</f>
        <v>200</v>
      </c>
      <c r="D15" s="364" t="s">
        <v>1420</v>
      </c>
      <c r="E15" s="364" t="s">
        <v>1421</v>
      </c>
      <c r="F15" s="365">
        <f>'数据-取费表'!B33</f>
        <v>0.03</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6" t="s">
        <v>1422</v>
      </c>
      <c r="C16" s="24">
        <f ca="1">ROUND(INDIRECT("'数据-取费表'!m"&amp;$G$1)*F16,0)</f>
        <v>0</v>
      </c>
      <c r="D16" s="346" t="s">
        <v>1420</v>
      </c>
      <c r="E16" s="346" t="s">
        <v>1421</v>
      </c>
      <c r="F16" s="366">
        <f ca="1">IF(INDIRECT("'数据-取费表'!c"&amp;$G$1)="住宅",'数据-取费表'!B34,0)</f>
        <v>0</v>
      </c>
      <c r="G16" s="1847"/>
      <c r="H16" s="1325" t="s">
        <v>1030</v>
      </c>
      <c r="I16" s="1326" t="s">
        <v>1423</v>
      </c>
      <c r="J16" s="354">
        <f ca="1">ROUND(J17+J22+J23+J24,0)</f>
        <v>250</v>
      </c>
      <c r="K16" s="1333" t="s">
        <v>1424</v>
      </c>
      <c r="L16" s="2959"/>
      <c r="M16" s="1290"/>
    </row>
    <row r="17" spans="1:37" s="1854" customFormat="1" ht="18" customHeight="1">
      <c r="A17" s="1197" t="s">
        <v>1388</v>
      </c>
      <c r="B17" s="346" t="s">
        <v>1425</v>
      </c>
      <c r="C17" s="24">
        <f ca="1">ROUND(F17*(F43+INDIRECT("'数据-取费表'!S"&amp;$G$1))/10000,0)</f>
        <v>303</v>
      </c>
      <c r="D17" s="346" t="s">
        <v>1426</v>
      </c>
      <c r="E17" s="346" t="s">
        <v>1427</v>
      </c>
      <c r="F17" s="26">
        <f>'数据-取费表'!B35</f>
        <v>200</v>
      </c>
      <c r="G17" s="1850"/>
      <c r="H17" s="1197" t="s">
        <v>1035</v>
      </c>
      <c r="I17" s="346" t="s">
        <v>1428</v>
      </c>
      <c r="J17" s="24">
        <f ca="1">ROUND(IF(项目基本情况!B11="自然人",J5*M17,J18+J19+J20),1)</f>
        <v>93.6</v>
      </c>
      <c r="K17" s="2956" t="s">
        <v>1429</v>
      </c>
      <c r="L17" s="2958"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6" t="s">
        <v>1431</v>
      </c>
      <c r="C18" s="24">
        <f ca="1">ROUND(C14*F18,0)</f>
        <v>100</v>
      </c>
      <c r="D18" s="346" t="s">
        <v>1420</v>
      </c>
      <c r="E18" s="346" t="s">
        <v>1421</v>
      </c>
      <c r="F18" s="366">
        <f>'数据-取费表'!B36</f>
        <v>1.4999999999999999E-2</v>
      </c>
      <c r="G18" s="1850"/>
      <c r="H18" s="1197" t="s">
        <v>1034</v>
      </c>
      <c r="I18" s="346" t="s">
        <v>1432</v>
      </c>
      <c r="J18" s="24">
        <f ca="1">ROUND(J5*M18/(1+'数据-取费表'!C42),2)</f>
        <v>0</v>
      </c>
      <c r="K18" s="2958"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1434</v>
      </c>
      <c r="C19" s="24">
        <f ca="1">SUM(C14:C18)</f>
        <v>7269</v>
      </c>
      <c r="D19" s="139" t="s">
        <v>1435</v>
      </c>
      <c r="E19" s="2944"/>
      <c r="F19" s="26"/>
      <c r="G19" s="1847"/>
      <c r="H19" s="1197" t="s">
        <v>1036</v>
      </c>
      <c r="I19" s="346" t="s">
        <v>1436</v>
      </c>
      <c r="J19" s="24">
        <f ca="1">IF(K19="按租金收入计税",ROUND(J5*M19,2),ROUND(C29*M19*0.7,2))</f>
        <v>87.77</v>
      </c>
      <c r="K19" s="1824" t="s">
        <v>1437</v>
      </c>
      <c r="L19" s="346" t="s">
        <v>1421</v>
      </c>
      <c r="M19" s="366">
        <f>IF(K19="按租金收入计税",'数据-取费表'!B51,'数据-取费表'!B50)</f>
        <v>1.2E-2</v>
      </c>
    </row>
    <row r="20" spans="1:37" s="1854" customFormat="1" ht="18" customHeight="1">
      <c r="A20" s="1197" t="s">
        <v>1039</v>
      </c>
      <c r="B20" s="346" t="s">
        <v>1438</v>
      </c>
      <c r="C20" s="24">
        <f ca="1">ROUND(C19*F20,0)</f>
        <v>145</v>
      </c>
      <c r="D20" s="368" t="s">
        <v>1439</v>
      </c>
      <c r="E20" s="346" t="s">
        <v>1421</v>
      </c>
      <c r="F20" s="366">
        <f>'数据-取费表'!B37</f>
        <v>0.02</v>
      </c>
      <c r="G20" s="1850"/>
      <c r="H20" s="1197" t="s">
        <v>1387</v>
      </c>
      <c r="I20" s="163" t="s">
        <v>1440</v>
      </c>
      <c r="J20" s="25">
        <f ca="1">ROUND(M20*M21/10000,2)</f>
        <v>5.87</v>
      </c>
      <c r="K20" s="369" t="s">
        <v>1441</v>
      </c>
      <c r="L20" s="346" t="s">
        <v>1442</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1443</v>
      </c>
      <c r="C21" s="24" t="s">
        <v>18</v>
      </c>
      <c r="D21" s="368" t="s">
        <v>1444</v>
      </c>
      <c r="E21" s="346" t="s">
        <v>1445</v>
      </c>
      <c r="F21" s="366">
        <f>'数据-取费表'!B38</f>
        <v>0.02</v>
      </c>
      <c r="G21" s="1850"/>
      <c r="H21" s="371"/>
      <c r="I21" s="355"/>
      <c r="J21" s="29"/>
      <c r="K21" s="372"/>
      <c r="L21" s="346" t="s">
        <v>1446</v>
      </c>
      <c r="M21" s="347">
        <f ca="1">INDIRECT("'数据-取费表'!r"&amp;$G$1)</f>
        <v>2444.3200000000002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6" t="s">
        <v>1447</v>
      </c>
      <c r="C22" s="24"/>
      <c r="D22" s="139" t="str">
        <f>IF(F23&lt;=1,"单利计息。","复利计息。")&amp;"建造成本、管理费用、销售费用产生的利息。"</f>
        <v>复利计息。建造成本、管理费用、销售费用产生的利息。</v>
      </c>
      <c r="E22" s="2944"/>
      <c r="F22" s="26"/>
      <c r="G22" s="1847"/>
      <c r="H22" s="1197" t="s">
        <v>1039</v>
      </c>
      <c r="I22" s="346" t="s">
        <v>1448</v>
      </c>
      <c r="J22" s="24">
        <f ca="1">ROUND(J14*M22,1)</f>
        <v>156.69999999999999</v>
      </c>
      <c r="K22" s="2958" t="s">
        <v>1449</v>
      </c>
      <c r="L22" s="346" t="s">
        <v>1421</v>
      </c>
      <c r="M22" s="373">
        <f ca="1">INDIRECT("'数据-取费表'!Ak"&amp;$G$1)</f>
        <v>1.4999999999999999E-2</v>
      </c>
    </row>
    <row r="23" spans="1:37" s="1854" customFormat="1" ht="18" customHeight="1">
      <c r="A23" s="1197" t="s">
        <v>1034</v>
      </c>
      <c r="B23" s="346" t="s">
        <v>1450</v>
      </c>
      <c r="C23" s="24">
        <f ca="1">IF('数据-取费表'!B22&lt;=1,ROUND(C19*F24*F23/2,0)+ROUND(C20*F24*F23/2,0),ROUND(C19*(POWER((1+F24),F23/2)-1),0)+ROUND(C20*(POWER((1+F24),F23/2)-1),0))</f>
        <v>352</v>
      </c>
      <c r="D23" s="374" t="str">
        <f>IF(F23&lt;=1,"(建造成本+管理费用)×利率×(建设周期÷2)","(建造成本+管理费用)×((1+利率)^(建设周期÷2)-1)")</f>
        <v>(建造成本+管理费用)×((1+利率)^(建设周期÷2)-1)</v>
      </c>
      <c r="E23" s="346" t="s">
        <v>1451</v>
      </c>
      <c r="F23" s="370">
        <f>'数据-取费表'!B20</f>
        <v>2</v>
      </c>
      <c r="G23" s="1850"/>
      <c r="H23" s="1197" t="s">
        <v>1075</v>
      </c>
      <c r="I23" s="346" t="s">
        <v>1452</v>
      </c>
      <c r="J23" s="24">
        <f ca="1">ROUND(J13*M23,1)</f>
        <v>0</v>
      </c>
      <c r="K23" s="2958" t="s">
        <v>1453</v>
      </c>
      <c r="L23" s="346" t="s">
        <v>1421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2944"/>
      <c r="F25" s="26"/>
      <c r="G25" s="1847"/>
      <c r="H25" s="1325" t="s">
        <v>1031</v>
      </c>
      <c r="I25" s="1340" t="s">
        <v>1462</v>
      </c>
      <c r="J25" s="354">
        <f ca="1">J5-J16</f>
        <v>-250</v>
      </c>
      <c r="K25" s="1341" t="s">
        <v>1463</v>
      </c>
      <c r="L25" s="1342"/>
      <c r="M25" s="1343"/>
    </row>
    <row r="26" spans="1:37">
      <c r="A26" s="1197" t="s">
        <v>1034</v>
      </c>
      <c r="B26" s="346" t="s">
        <v>1464</v>
      </c>
      <c r="C26" s="24">
        <f ca="1">ROUND((C19+C20)*F26,0)</f>
        <v>1854</v>
      </c>
      <c r="D26" s="368" t="s">
        <v>1465</v>
      </c>
      <c r="E26" s="357" t="s">
        <v>1466</v>
      </c>
      <c r="F26" s="356">
        <f ca="1">INDIRECT("'数据-取费表'!q"&amp;$G$1)</f>
        <v>0.25</v>
      </c>
      <c r="G26" s="1847"/>
      <c r="H26" s="343" t="s">
        <v>1032</v>
      </c>
      <c r="I26" s="344" t="s">
        <v>1467</v>
      </c>
      <c r="J26" s="345">
        <f ca="1">IF(J5&lt;&gt;0,ROUND(J25*(1-((1+M28)/(1+M26))^M27)/(M26-M28),0),0)</f>
        <v>0</v>
      </c>
      <c r="K26" s="369" t="s">
        <v>1468</v>
      </c>
      <c r="L26" s="346" t="s">
        <v>1469</v>
      </c>
      <c r="M26" s="356">
        <f ca="1">INDIRECT("'数据-取费表'!I"&amp;$G$1)</f>
        <v>0.06</v>
      </c>
    </row>
    <row r="27" spans="1:37" ht="18" customHeight="1">
      <c r="A27" s="1197" t="s">
        <v>1036</v>
      </c>
      <c r="B27" s="346" t="s">
        <v>1470</v>
      </c>
      <c r="C27" s="24">
        <f ca="1">ROUND(F21*F26,4)</f>
        <v>5.0000000000000001E-3</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10449</v>
      </c>
      <c r="D29" s="1338"/>
      <c r="E29" s="1336"/>
      <c r="F29" s="1339"/>
      <c r="G29" s="1850"/>
      <c r="H29" s="379" t="s">
        <v>1033</v>
      </c>
      <c r="I29" s="380" t="s">
        <v>1478</v>
      </c>
      <c r="J29" s="381">
        <f ca="1">ROUND(J26/(1+F40)^F41,0)</f>
        <v>0</v>
      </c>
      <c r="K29" s="382" t="s">
        <v>1479</v>
      </c>
      <c r="L29" s="383"/>
      <c r="M29" s="384">
        <f ca="1">INDIRECT("'数据-取费表'!k"&amp;$G$1)</f>
        <v>14098.83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4">
        <f ca="1">ROUND(C31+C36+C37+C38,0)</f>
        <v>558</v>
      </c>
      <c r="D30" s="1333" t="s">
        <v>1424</v>
      </c>
      <c r="E30" s="2959"/>
      <c r="F30" s="1290"/>
      <c r="G30" s="1847"/>
      <c r="H30" s="743"/>
      <c r="I30" s="744"/>
      <c r="J30" s="745"/>
      <c r="K30" s="746"/>
      <c r="L30" s="747"/>
      <c r="M30" s="748"/>
    </row>
    <row r="31" spans="1:37" ht="18" customHeight="1">
      <c r="A31" s="1197" t="s">
        <v>1035</v>
      </c>
      <c r="B31" s="346" t="s">
        <v>1428</v>
      </c>
      <c r="C31" s="24">
        <f ca="1">ROUND(IF(项目基本情况!B11="自然人",C5*F31,C32+C33+C34),1)</f>
        <v>341.6</v>
      </c>
      <c r="D31" s="2956" t="s">
        <v>1429</v>
      </c>
      <c r="E31" s="2958" t="s">
        <v>1480</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6" t="s">
        <v>1432</v>
      </c>
      <c r="C32" s="24">
        <f ca="1">IF(项目基本情况!B11="自然人","——",ROUND(C5*F32/(1+'数据-取费表'!C42),2))</f>
        <v>248</v>
      </c>
      <c r="D32" s="2958" t="s">
        <v>1433</v>
      </c>
      <c r="E32" s="346" t="s">
        <v>1421</v>
      </c>
      <c r="F32" s="376">
        <f>'数据-取费表'!B41</f>
        <v>5.6000000000000001E-2</v>
      </c>
      <c r="G32" s="1847"/>
      <c r="H32" s="743"/>
      <c r="I32" s="744"/>
      <c r="J32" s="745"/>
      <c r="K32" s="746"/>
      <c r="L32" s="747"/>
      <c r="M32" s="748"/>
    </row>
    <row r="33" spans="1:18" ht="18" customHeight="1">
      <c r="A33" s="1197" t="s">
        <v>1036</v>
      </c>
      <c r="B33" s="346" t="s">
        <v>1436</v>
      </c>
      <c r="C33" s="24">
        <f ca="1">IF(项目基本情况!B11="自然人","——",IF(D33="按租金收入计税",ROUND(C5*F33,2),IF(D33="按房产原值计税",ROUND(C29*F33*0.7,2),INDIRECT("'数据-取费表'!Aj"&amp;$G$1))))</f>
        <v>87.77</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1387</v>
      </c>
      <c r="B34" s="163" t="s">
        <v>1440</v>
      </c>
      <c r="C34" s="25">
        <f ca="1">IF(项目基本情况!B11="自然人","——",ROUND(F34*F35/10000,2))</f>
        <v>5.87</v>
      </c>
      <c r="D34" s="369" t="s">
        <v>1441</v>
      </c>
      <c r="E34" s="346" t="s">
        <v>1442</v>
      </c>
      <c r="F34" s="370">
        <f>'数据-取费表'!B52</f>
        <v>24</v>
      </c>
      <c r="G34" s="1847"/>
      <c r="H34" s="743"/>
      <c r="I34" s="1856"/>
      <c r="J34" s="1857"/>
      <c r="K34" s="1859"/>
      <c r="L34" s="1860"/>
      <c r="M34" s="1860"/>
    </row>
    <row r="35" spans="1:18" ht="18" customHeight="1">
      <c r="A35" s="1349"/>
      <c r="B35" s="1347"/>
      <c r="C35" s="29"/>
      <c r="D35" s="372"/>
      <c r="E35" s="346" t="s">
        <v>1446</v>
      </c>
      <c r="F35" s="347">
        <f ca="1">INDIRECT("'数据-取费表'!r"&amp;$G$1)</f>
        <v>2444.3200000000002</v>
      </c>
      <c r="G35" s="1847"/>
      <c r="H35" s="743"/>
      <c r="I35" s="1856"/>
      <c r="J35" s="1857"/>
      <c r="K35" s="1858"/>
      <c r="L35" s="1855"/>
      <c r="M35" s="1855"/>
    </row>
    <row r="36" spans="1:18" ht="18" customHeight="1">
      <c r="A36" s="1348" t="s">
        <v>1039</v>
      </c>
      <c r="B36" s="346" t="s">
        <v>1448</v>
      </c>
      <c r="C36" s="24">
        <f ca="1">ROUND(C29*F36,1)</f>
        <v>156.69999999999999</v>
      </c>
      <c r="D36" s="2958" t="s">
        <v>1481</v>
      </c>
      <c r="E36" s="346" t="s">
        <v>1421</v>
      </c>
      <c r="F36" s="373">
        <f ca="1">INDIRECT("'数据-取费表'!Ak"&amp;$G$1)</f>
        <v>1.4999999999999999E-2</v>
      </c>
      <c r="G36" s="1847"/>
      <c r="H36" s="1855"/>
      <c r="I36" s="1856"/>
      <c r="J36" s="1857"/>
      <c r="K36" s="749"/>
      <c r="L36" s="1855"/>
      <c r="M36" s="1855"/>
    </row>
    <row r="37" spans="1:18" ht="18" customHeight="1">
      <c r="A37" s="1197" t="s">
        <v>1075</v>
      </c>
      <c r="B37" s="346" t="s">
        <v>1452</v>
      </c>
      <c r="C37" s="24">
        <f ca="1">ROUND(C13*F37,1)</f>
        <v>13.6</v>
      </c>
      <c r="D37" s="2958" t="s">
        <v>1453</v>
      </c>
      <c r="E37" s="346" t="s">
        <v>1421</v>
      </c>
      <c r="F37" s="375">
        <f ca="1">INDIRECT("'数据-取费表'!Al"&amp;$G$1)</f>
        <v>1.5E-3</v>
      </c>
      <c r="G37" s="1847"/>
      <c r="H37" s="1855"/>
      <c r="I37" s="1856"/>
      <c r="J37" s="1857"/>
      <c r="K37" s="749"/>
      <c r="L37" s="1855"/>
      <c r="M37" s="1855"/>
    </row>
    <row r="38" spans="1:18" ht="18" customHeight="1" thickBot="1">
      <c r="A38" s="1335" t="s">
        <v>1390</v>
      </c>
      <c r="B38" s="1336" t="s">
        <v>1438</v>
      </c>
      <c r="C38" s="1337">
        <f ca="1">ROUND(C5*F38,1)</f>
        <v>46.5</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4">
        <f ca="1">C5-C30</f>
        <v>4092</v>
      </c>
      <c r="D39" s="1341" t="s">
        <v>1463</v>
      </c>
      <c r="E39" s="1342"/>
      <c r="F39" s="1343"/>
      <c r="G39" s="1847"/>
      <c r="H39" s="1855"/>
      <c r="I39" s="1856"/>
      <c r="J39" s="1857"/>
      <c r="K39" s="1861"/>
      <c r="L39" s="1855"/>
      <c r="M39" s="1855"/>
    </row>
    <row r="40" spans="1:18" ht="18" customHeight="1">
      <c r="A40" s="343" t="s">
        <v>1032</v>
      </c>
      <c r="B40" s="344" t="s">
        <v>1484</v>
      </c>
      <c r="C40" s="345">
        <f ca="1">ROUND(C39*(1-((1+F42)/(1+F40))^F41)/(F40-F42),0)</f>
        <v>95186</v>
      </c>
      <c r="D40" s="369" t="s">
        <v>1468</v>
      </c>
      <c r="E40" s="346" t="s">
        <v>1469</v>
      </c>
      <c r="F40" s="356">
        <f ca="1">INDIRECT("'数据-取费表'!I"&amp;$G$1)</f>
        <v>0.06</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36.5</v>
      </c>
      <c r="G41" s="1847"/>
      <c r="H41" s="730"/>
      <c r="I41" s="1856"/>
      <c r="J41" s="1857"/>
      <c r="K41" s="749"/>
      <c r="L41" s="730"/>
      <c r="M41" s="730"/>
    </row>
    <row r="42" spans="1:18" ht="18" customHeight="1">
      <c r="A42" s="352"/>
      <c r="B42" s="353"/>
      <c r="C42" s="354"/>
      <c r="D42" s="372"/>
      <c r="E42" s="346" t="s">
        <v>1476</v>
      </c>
      <c r="F42" s="356">
        <f ca="1">INDIRECT("'数据-取费表'!v"&amp;$G$1)</f>
        <v>3.5000000000000003E-2</v>
      </c>
      <c r="G42" s="1847"/>
      <c r="H42" s="730"/>
      <c r="I42" s="1856"/>
      <c r="J42" s="1857"/>
      <c r="K42" s="749"/>
      <c r="L42" s="730"/>
      <c r="M42" s="730"/>
    </row>
    <row r="43" spans="1:18" ht="18" customHeight="1" thickBot="1">
      <c r="A43" s="379" t="s">
        <v>1033</v>
      </c>
      <c r="B43" s="380" t="s">
        <v>1486</v>
      </c>
      <c r="C43" s="381">
        <f ca="1">ROUND(C40*10000/F43,0)</f>
        <v>67513</v>
      </c>
      <c r="D43" s="382" t="s">
        <v>1487</v>
      </c>
      <c r="E43" s="383" t="s">
        <v>1488</v>
      </c>
      <c r="F43" s="384">
        <f ca="1">INDIRECT("'数据-取费表'!k"&amp;$G$1)</f>
        <v>14098.83</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1518</v>
      </c>
      <c r="P45" s="1835"/>
      <c r="Q45" s="1835"/>
      <c r="R45" s="1835"/>
    </row>
    <row r="46" spans="1:18" s="1838" customFormat="1" ht="13.5" thickBot="1">
      <c r="A46" s="1866" t="s">
        <v>1519</v>
      </c>
      <c r="C46" s="1867">
        <f ca="1">C68-C40</f>
        <v>-99061</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0"/>
      <c r="I47" s="1876" t="s">
        <v>1525</v>
      </c>
      <c r="J47" s="1877" t="s">
        <v>3089</v>
      </c>
      <c r="K47" s="1878" t="s">
        <v>1526</v>
      </c>
      <c r="L47" s="1879">
        <f ca="1">INDIRECT("'数据-取费表'!d"&amp;$G$1)</f>
        <v>50</v>
      </c>
      <c r="M47" s="1834" t="str">
        <f>IF(ISNUMBER(FIND("住宅",C1)),"住宅","非住宅")</f>
        <v>非住宅</v>
      </c>
      <c r="O47" s="1880" t="s">
        <v>1040</v>
      </c>
      <c r="P47" s="1881" t="s">
        <v>1527</v>
      </c>
      <c r="Q47" s="1882">
        <f ca="1">C40+J29</f>
        <v>95186</v>
      </c>
      <c r="R47" s="1882" t="s">
        <v>1528</v>
      </c>
    </row>
    <row r="48" spans="1:18" s="1838" customFormat="1" ht="28.5" thickBot="1">
      <c r="A48" s="1356" t="s">
        <v>1135</v>
      </c>
      <c r="B48" s="344" t="s">
        <v>1399</v>
      </c>
      <c r="C48" s="2943">
        <f ca="1">C49+C53+C55</f>
        <v>0</v>
      </c>
      <c r="D48" s="1358"/>
      <c r="E48" s="1359"/>
      <c r="F48" s="1177"/>
      <c r="G48" s="790"/>
      <c r="H48" s="791"/>
      <c r="I48" s="1883" t="s">
        <v>1529</v>
      </c>
      <c r="J48" s="1884" t="s">
        <v>3090</v>
      </c>
      <c r="K48" s="1885" t="s">
        <v>1530</v>
      </c>
      <c r="L48" s="1886">
        <f ca="1">INDIRECT("'数据-取费表'!f"&amp;$G$1)</f>
        <v>36.5</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3026</v>
      </c>
      <c r="E49" s="1826" t="s">
        <v>1490</v>
      </c>
      <c r="F49" s="1277"/>
      <c r="G49" s="1887"/>
      <c r="H49" s="791"/>
      <c r="I49" s="1883" t="s">
        <v>1533</v>
      </c>
      <c r="J49" s="1888">
        <v>2008</v>
      </c>
      <c r="K49" s="1885" t="s">
        <v>1534</v>
      </c>
      <c r="L49" s="1889"/>
      <c r="O49" s="1890" t="s">
        <v>1042</v>
      </c>
      <c r="P49" s="1881" t="s">
        <v>1535</v>
      </c>
      <c r="Q49" s="1882">
        <f ca="1">C29</f>
        <v>10449</v>
      </c>
      <c r="R49" s="1882" t="s">
        <v>1528</v>
      </c>
    </row>
    <row r="50" spans="1:18" s="1838" customFormat="1" ht="13.5" thickBot="1">
      <c r="A50" s="1191"/>
      <c r="B50" s="1194"/>
      <c r="C50" s="1364"/>
      <c r="D50" s="1168"/>
      <c r="E50" s="1273" t="s">
        <v>1404</v>
      </c>
      <c r="F50" s="1274">
        <f ca="1">F7</f>
        <v>14098.83</v>
      </c>
      <c r="H50" s="791"/>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7">
        <f ca="1">F8</f>
        <v>365</v>
      </c>
      <c r="I51" s="1894" t="s">
        <v>1539</v>
      </c>
      <c r="J51" s="1895">
        <f>IF(J49="",J50,J49+J50-YEAR('数据-取费表'!B2))</f>
        <v>50</v>
      </c>
      <c r="K51" s="1896" t="s">
        <v>1540</v>
      </c>
      <c r="L51" s="1897">
        <f ca="1">ROUND(-PV(INDIRECT("'数据-取费表'!h"&amp;$G$1),L48,(C39-C13*C76),0),0)</f>
        <v>59048</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36.5</v>
      </c>
      <c r="R52" s="1882" t="s">
        <v>1545</v>
      </c>
    </row>
    <row r="53" spans="1:18" s="1838" customFormat="1" ht="24.75" thickBot="1">
      <c r="A53" s="1401" t="s">
        <v>1137</v>
      </c>
      <c r="B53" s="1827" t="s">
        <v>1407</v>
      </c>
      <c r="C53" s="360">
        <f ca="1">ROUND(IF(F53="押一",F49*F51*F50/12*F11,IF(F53="押二",F49*F51*F50/12*2*F11,IF(F53="押三",F49*F51*F50/12*3*F11,C54*F11)))/10000,0)</f>
        <v>0</v>
      </c>
      <c r="D53" s="1820" t="s">
        <v>3023</v>
      </c>
      <c r="E53" s="357" t="s">
        <v>1409</v>
      </c>
      <c r="F53" s="1362"/>
      <c r="I53" s="1901" t="s">
        <v>1546</v>
      </c>
      <c r="J53" s="1902">
        <f ca="1">IF(M47="住宅",J51,IF(D1="——",MIN(J51,L48),IF(D1="在建（套用方法）",MIN(J51,L48-'数据-取费表'!B24),IF(D1="土地（套用方法）",MIN(J51,L48-'数据-取费表'!B20)))))</f>
        <v>36.5</v>
      </c>
      <c r="K53" s="3299" t="s">
        <v>1547</v>
      </c>
      <c r="L53" s="3300"/>
      <c r="O53" s="1880" t="s">
        <v>1046</v>
      </c>
      <c r="P53" s="1881" t="s">
        <v>1548</v>
      </c>
      <c r="Q53" s="1882">
        <f ca="1">Q47+Q48</f>
        <v>95186</v>
      </c>
      <c r="R53" s="1882" t="s">
        <v>1047</v>
      </c>
    </row>
    <row r="54" spans="1:18" s="1838" customFormat="1" ht="13.5" thickBot="1">
      <c r="A54" s="1402"/>
      <c r="B54" s="1821" t="s">
        <v>1386</v>
      </c>
      <c r="C54" s="1174"/>
      <c r="D54" s="1820"/>
      <c r="E54" s="294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48"/>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5">
        <f ca="1">C13</f>
        <v>9038</v>
      </c>
      <c r="D56" s="1910"/>
      <c r="E56" s="1911"/>
      <c r="F56" s="1903"/>
      <c r="I56" s="1912" t="s">
        <v>1553</v>
      </c>
      <c r="J56" s="1913" t="s">
        <v>3051</v>
      </c>
      <c r="K56" s="1883" t="s">
        <v>1554</v>
      </c>
      <c r="L56" s="1886" t="str">
        <f ca="1">IF(L48&lt;J51,"——",L48-J53)</f>
        <v>——</v>
      </c>
      <c r="O56" s="1880" t="s">
        <v>1040</v>
      </c>
      <c r="P56" s="1881" t="s">
        <v>1527</v>
      </c>
      <c r="Q56" s="1882">
        <f ca="1">C40+J29</f>
        <v>95186</v>
      </c>
      <c r="R56" s="1882" t="s">
        <v>1528</v>
      </c>
    </row>
    <row r="57" spans="1:18" s="1838" customFormat="1" ht="24.75" thickBot="1">
      <c r="A57" s="1914"/>
      <c r="B57" s="1165" t="s">
        <v>1477</v>
      </c>
      <c r="C57" s="281">
        <f ca="1">C29</f>
        <v>10449</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59" t="s">
        <v>1030</v>
      </c>
      <c r="B58" s="1173" t="s">
        <v>1423</v>
      </c>
      <c r="C58" s="360">
        <f ca="1">ROUND(C59+C64+C65+C66,0)</f>
        <v>264</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93.6</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6">
        <f t="shared" ref="F60:F66" si="0">F32</f>
        <v>5.6000000000000001E-2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87.77</v>
      </c>
      <c r="D61" s="1824" t="s">
        <v>1437</v>
      </c>
      <c r="E61" s="1165" t="s">
        <v>1421</v>
      </c>
      <c r="F61" s="366">
        <f t="shared" si="0"/>
        <v>1.2E-2</v>
      </c>
      <c r="I61" s="1924"/>
      <c r="J61" s="1924"/>
      <c r="K61" s="1924"/>
      <c r="L61" s="1924"/>
      <c r="O61" s="1890" t="s">
        <v>1045</v>
      </c>
      <c r="P61" s="1881" t="str">
        <f>K59</f>
        <v>建筑物剩余耐用年限下的土地年期修正系数Kn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5.87</v>
      </c>
      <c r="D62" s="1180" t="s">
        <v>1441</v>
      </c>
      <c r="E62" s="1165" t="s">
        <v>1442</v>
      </c>
      <c r="F62" s="370">
        <f t="shared" si="0"/>
        <v>24</v>
      </c>
      <c r="I62" s="1925" t="s">
        <v>1569</v>
      </c>
      <c r="J62" s="1926" t="s">
        <v>1570</v>
      </c>
      <c r="K62" s="1926" t="s">
        <v>1571</v>
      </c>
      <c r="L62" s="1926" t="s">
        <v>1572</v>
      </c>
      <c r="M62" s="1927" t="s">
        <v>1573</v>
      </c>
      <c r="O62" s="1880" t="s">
        <v>1046</v>
      </c>
      <c r="P62" s="1881" t="s">
        <v>1548</v>
      </c>
      <c r="Q62" s="1882">
        <f ca="1">Q56+Q57</f>
        <v>95186</v>
      </c>
      <c r="R62" s="1882" t="s">
        <v>1047</v>
      </c>
    </row>
    <row r="63" spans="1:18" s="1838" customFormat="1" ht="13.5" thickBot="1">
      <c r="A63" s="371"/>
      <c r="B63" s="1171"/>
      <c r="C63" s="29"/>
      <c r="D63" s="1181"/>
      <c r="E63" s="1165" t="s">
        <v>1446</v>
      </c>
      <c r="F63" s="347">
        <f t="shared" ca="1" si="0"/>
        <v>2444.3200000000002</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156.69999999999999</v>
      </c>
      <c r="D64" s="1179" t="s">
        <v>1481</v>
      </c>
      <c r="E64" s="1165" t="s">
        <v>1421</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13.6</v>
      </c>
      <c r="D65" s="1179" t="s">
        <v>1453</v>
      </c>
      <c r="E65" s="1165" t="s">
        <v>1421</v>
      </c>
      <c r="F65" s="375">
        <f t="shared" ca="1" si="0"/>
        <v>1.5E-3</v>
      </c>
      <c r="I65" s="1925" t="s">
        <v>1578</v>
      </c>
      <c r="J65" s="1926">
        <v>40</v>
      </c>
      <c r="K65" s="1926">
        <v>30</v>
      </c>
      <c r="L65" s="1926">
        <v>50</v>
      </c>
      <c r="M65" s="1928">
        <v>0.02</v>
      </c>
      <c r="O65" s="1880" t="s">
        <v>1040</v>
      </c>
      <c r="P65" s="1881" t="s">
        <v>1527</v>
      </c>
      <c r="Q65" s="1882">
        <f ca="1">C40+J29</f>
        <v>95186</v>
      </c>
      <c r="R65" s="1882" t="s">
        <v>1528</v>
      </c>
    </row>
    <row r="66" spans="1:18" s="1838" customFormat="1" ht="16.5" thickBot="1">
      <c r="A66" s="1197" t="s">
        <v>1503</v>
      </c>
      <c r="B66" s="1165" t="s">
        <v>1438</v>
      </c>
      <c r="C66" s="24">
        <f ca="1">ROUND(C48*F66,1)</f>
        <v>0</v>
      </c>
      <c r="D66" s="1179" t="s">
        <v>1458</v>
      </c>
      <c r="E66" s="1165" t="s">
        <v>1421</v>
      </c>
      <c r="F66" s="356">
        <f t="shared" ca="1" si="0"/>
        <v>0.01</v>
      </c>
      <c r="O66" s="1880" t="s">
        <v>1041</v>
      </c>
      <c r="P66" s="1881" t="s">
        <v>1557</v>
      </c>
      <c r="Q66" s="1882">
        <f ca="1">L60</f>
        <v>0</v>
      </c>
      <c r="R66" s="1882" t="s">
        <v>1580</v>
      </c>
    </row>
    <row r="67" spans="1:18" s="1838" customFormat="1" ht="16.5" thickBot="1">
      <c r="A67" s="1172" t="s">
        <v>1031</v>
      </c>
      <c r="B67" s="1182" t="s">
        <v>1462</v>
      </c>
      <c r="C67" s="360">
        <f ca="1">C48-C58</f>
        <v>-264</v>
      </c>
      <c r="D67" s="1178" t="s">
        <v>1463</v>
      </c>
      <c r="E67" s="1183"/>
      <c r="F67" s="1184"/>
      <c r="O67" s="1890" t="s">
        <v>1042</v>
      </c>
      <c r="P67" s="1881" t="s">
        <v>1561</v>
      </c>
      <c r="Q67" s="1929">
        <f ca="1">L51</f>
        <v>59048</v>
      </c>
      <c r="R67" s="1882" t="s">
        <v>1581</v>
      </c>
    </row>
    <row r="68" spans="1:18" s="1838" customFormat="1" ht="16.5" thickBot="1">
      <c r="A68" s="1162" t="s">
        <v>1032</v>
      </c>
      <c r="B68" s="1163" t="s">
        <v>1484</v>
      </c>
      <c r="C68" s="345">
        <f ca="1">ROUND(C67*(1-((1+F70)/(1+F68))^F69)/(F68-F70),0)</f>
        <v>-3875</v>
      </c>
      <c r="D68" s="1180" t="s">
        <v>1468</v>
      </c>
      <c r="E68" s="1165" t="s">
        <v>1469</v>
      </c>
      <c r="F68" s="356">
        <f ca="1">F40</f>
        <v>0.06</v>
      </c>
      <c r="O68" s="1890" t="s">
        <v>1043</v>
      </c>
      <c r="P68" s="1930" t="s">
        <v>1582</v>
      </c>
      <c r="Q68" s="1882">
        <f ca="1">ROUND(Q69-Q70*Q71,0)</f>
        <v>3324</v>
      </c>
      <c r="R68" s="1882" t="s">
        <v>1051</v>
      </c>
    </row>
    <row r="69" spans="1:18" s="1838" customFormat="1" ht="13.5" thickBot="1">
      <c r="A69" s="1166"/>
      <c r="B69" s="1167"/>
      <c r="C69" s="350"/>
      <c r="D69" s="1185" t="s">
        <v>1472</v>
      </c>
      <c r="E69" s="1165" t="s">
        <v>1473</v>
      </c>
      <c r="F69" s="378">
        <f ca="1">F41</f>
        <v>36.5</v>
      </c>
      <c r="O69" s="1890" t="s">
        <v>1048</v>
      </c>
      <c r="P69" s="1930" t="s">
        <v>1583</v>
      </c>
      <c r="Q69" s="1882">
        <f ca="1">C39</f>
        <v>4092</v>
      </c>
      <c r="R69" s="1882" t="s">
        <v>1528</v>
      </c>
    </row>
    <row r="70" spans="1:18" s="1838" customFormat="1" ht="13.5" thickBot="1">
      <c r="A70" s="1169"/>
      <c r="B70" s="1170"/>
      <c r="C70" s="354"/>
      <c r="D70" s="1181"/>
      <c r="E70" s="1165" t="s">
        <v>1476</v>
      </c>
      <c r="F70" s="1271"/>
      <c r="O70" s="1890" t="s">
        <v>1049</v>
      </c>
      <c r="P70" s="1930" t="s">
        <v>1584</v>
      </c>
      <c r="Q70" s="1882">
        <f ca="1">C13</f>
        <v>9038</v>
      </c>
      <c r="R70" s="1882" t="s">
        <v>1528</v>
      </c>
    </row>
    <row r="71" spans="1:18" s="1838" customFormat="1" ht="13.5" thickBot="1">
      <c r="A71" s="1186" t="s">
        <v>1033</v>
      </c>
      <c r="B71" s="1187" t="s">
        <v>1486</v>
      </c>
      <c r="C71" s="381">
        <f ca="1">ROUND(C68*10000/F71,0)</f>
        <v>-2748</v>
      </c>
      <c r="D71" s="1188" t="s">
        <v>1487</v>
      </c>
      <c r="E71" s="1189" t="s">
        <v>1488</v>
      </c>
      <c r="F71" s="384">
        <f ca="1">F43</f>
        <v>14098.83</v>
      </c>
      <c r="O71" s="1890" t="s">
        <v>1050</v>
      </c>
      <c r="P71" s="1930" t="s">
        <v>1585</v>
      </c>
      <c r="Q71" s="1893">
        <f ca="1">C76</f>
        <v>8.5000000000000006E-2</v>
      </c>
      <c r="R71" s="1882"/>
    </row>
    <row r="72" spans="1:18" s="1838" customFormat="1" ht="13.5" thickBot="1">
      <c r="B72" s="794"/>
      <c r="C72" s="794"/>
      <c r="O72" s="1890" t="s">
        <v>1044</v>
      </c>
      <c r="P72" s="1881" t="s">
        <v>1563</v>
      </c>
      <c r="Q72" s="1893">
        <f>L52</f>
        <v>0</v>
      </c>
      <c r="R72" s="1882"/>
    </row>
    <row r="73" spans="1:18" ht="16.5" thickBot="1">
      <c r="A73" s="1838"/>
      <c r="B73" s="794"/>
      <c r="C73" s="794"/>
      <c r="D73" s="1838"/>
      <c r="E73" s="1838"/>
      <c r="F73" s="1838"/>
      <c r="O73" s="1890" t="s">
        <v>1045</v>
      </c>
      <c r="P73" s="1881" t="s">
        <v>1566</v>
      </c>
      <c r="Q73" s="1882" t="e">
        <f ca="1">L58</f>
        <v>#DIV/0!</v>
      </c>
      <c r="R73" s="1882" t="s">
        <v>1567</v>
      </c>
    </row>
    <row r="74" spans="1:18" ht="13.5" thickBot="1">
      <c r="A74" s="1838"/>
      <c r="B74" s="316" t="s">
        <v>1586</v>
      </c>
      <c r="C74" s="1932"/>
      <c r="D74" s="1838"/>
      <c r="E74" s="1838"/>
      <c r="F74" s="1838"/>
      <c r="O74" s="1890" t="s">
        <v>1052</v>
      </c>
      <c r="P74" s="1881" t="str">
        <f>K59</f>
        <v>建筑物剩余耐用年限下的土地年期修正系数Kn</v>
      </c>
      <c r="Q74" s="1882" t="e">
        <f ca="1">L59</f>
        <v>#DIV/0!</v>
      </c>
      <c r="R74" s="1882" t="s">
        <v>1568</v>
      </c>
    </row>
    <row r="75" spans="1:18" ht="13.5" thickBot="1">
      <c r="A75" s="1838"/>
      <c r="B75" s="385" t="s">
        <v>1505</v>
      </c>
      <c r="C75" s="386">
        <f ca="1">ROUND(C13*C76,0)</f>
        <v>768</v>
      </c>
      <c r="D75" s="1838"/>
      <c r="E75" s="1838"/>
      <c r="F75" s="1838"/>
      <c r="K75" s="1864"/>
      <c r="L75" s="1838"/>
      <c r="O75" s="1880" t="s">
        <v>1046</v>
      </c>
      <c r="P75" s="1881" t="s">
        <v>1548</v>
      </c>
      <c r="Q75" s="1882">
        <f ca="1">Q65+Q66</f>
        <v>95186</v>
      </c>
      <c r="R75" s="1882" t="s">
        <v>1047</v>
      </c>
    </row>
    <row r="76" spans="1:18">
      <c r="B76" s="387" t="s">
        <v>1506</v>
      </c>
      <c r="C76" s="388">
        <f ca="1">INDIRECT("'数据-取费表'!j"&amp;$G$1)</f>
        <v>8.5000000000000006E-2</v>
      </c>
      <c r="I76" s="1838"/>
      <c r="J76" s="1838"/>
      <c r="K76" s="1864"/>
      <c r="L76" s="1838"/>
    </row>
    <row r="77" spans="1:18">
      <c r="B77" s="389" t="s">
        <v>1507</v>
      </c>
      <c r="C77" s="390"/>
      <c r="I77" s="1838"/>
      <c r="J77" s="1838"/>
      <c r="K77" s="1864"/>
      <c r="L77" s="1838"/>
    </row>
    <row r="78" spans="1:18">
      <c r="B78" s="313" t="s">
        <v>1508</v>
      </c>
      <c r="C78" s="391"/>
    </row>
    <row r="79" spans="1:18">
      <c r="B79" s="385" t="s">
        <v>1509</v>
      </c>
      <c r="C79" s="317">
        <f ca="1">1-C80</f>
        <v>0.81200000000000006</v>
      </c>
    </row>
    <row r="80" spans="1:18">
      <c r="B80" s="385" t="s">
        <v>1510</v>
      </c>
      <c r="C80" s="317">
        <f ca="1">ROUND(C75/C39,3)</f>
        <v>0.188</v>
      </c>
    </row>
    <row r="81" spans="2:3">
      <c r="B81" s="313" t="s">
        <v>1511</v>
      </c>
      <c r="C81" s="281"/>
    </row>
    <row r="82" spans="2:3">
      <c r="B82" s="316" t="s">
        <v>1512</v>
      </c>
      <c r="C82" s="318">
        <f ca="1">1-C83</f>
        <v>0.90500000000000003</v>
      </c>
    </row>
    <row r="83" spans="2:3">
      <c r="B83" s="316" t="s">
        <v>1513</v>
      </c>
      <c r="C83" s="317">
        <f ca="1">ROUND(C13/C40,3)</f>
        <v>9.5000000000000001E-2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82"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8" sqref="B8"/>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3" t="s">
        <v>2519</v>
      </c>
      <c r="B1" s="2554"/>
      <c r="C1" s="2554"/>
      <c r="D1" s="2554"/>
      <c r="E1" s="2555"/>
    </row>
    <row r="2" spans="1:6" ht="15.75">
      <c r="A2" s="2556" t="s">
        <v>2320</v>
      </c>
      <c r="B2" s="2557">
        <f ca="1">SUMIF(B6:B13,"&lt;&gt;#ref!",B6:B13)</f>
        <v>277535</v>
      </c>
      <c r="C2" s="2558" t="s">
        <v>2512</v>
      </c>
      <c r="D2" s="2559" t="s">
        <v>2513</v>
      </c>
      <c r="E2" s="2560">
        <f>SUM(E6:E13)</f>
        <v>43885.35</v>
      </c>
    </row>
    <row r="3" spans="1:6" ht="15.75">
      <c r="A3" s="2556" t="s">
        <v>1393</v>
      </c>
      <c r="B3" s="2557">
        <f ca="1">ROUND(B2*10000/E2,0)</f>
        <v>63241</v>
      </c>
      <c r="C3" s="2558" t="s">
        <v>2520</v>
      </c>
      <c r="D3" s="2561"/>
      <c r="E3" s="2562"/>
    </row>
    <row r="4" spans="1:6" ht="15.75">
      <c r="A4" s="2563"/>
      <c r="B4" s="2561"/>
      <c r="C4" s="2561"/>
      <c r="D4" s="2561"/>
      <c r="E4" s="2562"/>
    </row>
    <row r="5" spans="1:6" ht="15">
      <c r="A5" s="2564" t="s">
        <v>2514</v>
      </c>
      <c r="B5" s="3304" t="s">
        <v>2515</v>
      </c>
      <c r="C5" s="3304"/>
      <c r="D5" s="2565"/>
      <c r="E5" s="2566" t="s">
        <v>2516</v>
      </c>
      <c r="F5" s="2567" t="s">
        <v>2517</v>
      </c>
    </row>
    <row r="6" spans="1:6">
      <c r="A6" s="2568" t="str">
        <f>'数据-取费表'!AN6</f>
        <v>收益法自</v>
      </c>
      <c r="B6" s="2567">
        <f ca="1">IF(F6="是",'数据-取费表'!AO6,0)</f>
        <v>95186</v>
      </c>
      <c r="C6" s="2558" t="s">
        <v>2512</v>
      </c>
      <c r="D6" s="2561"/>
      <c r="E6" s="2569">
        <f>IF(OR(A6=0,F6="否"),0,'数据-取费表'!K6+'数据-取费表'!S6)</f>
        <v>15171.91</v>
      </c>
      <c r="F6" s="2570" t="s">
        <v>2518</v>
      </c>
    </row>
    <row r="7" spans="1:6">
      <c r="A7" s="2568" t="str">
        <f>'数据-取费表'!AN7</f>
        <v>收益法车</v>
      </c>
      <c r="B7" s="2567">
        <v>0</v>
      </c>
      <c r="C7" s="2558" t="s">
        <v>2512</v>
      </c>
      <c r="D7" s="2561"/>
      <c r="E7" s="2569">
        <v>0</v>
      </c>
      <c r="F7" s="2570" t="s">
        <v>2518</v>
      </c>
    </row>
    <row r="8" spans="1:6">
      <c r="A8" s="2568" t="str">
        <f>'数据-取费表'!AN8</f>
        <v>收益法租</v>
      </c>
      <c r="B8" s="2567">
        <f ca="1">IF(F8="是",'数据-取费表'!AO8,0)</f>
        <v>182349</v>
      </c>
      <c r="C8" s="2558" t="s">
        <v>2512</v>
      </c>
      <c r="D8" s="2561"/>
      <c r="E8" s="2569">
        <f>IF(OR(A8=0,F8="否"),0,'数据-取费表'!K8+'数据-取费表'!S8)</f>
        <v>28713.439999999999</v>
      </c>
      <c r="F8" s="2570" t="s">
        <v>2518</v>
      </c>
    </row>
    <row r="9" spans="1:6">
      <c r="A9" s="2568">
        <f>'数据-取费表'!AN9</f>
        <v>0</v>
      </c>
      <c r="B9" s="2567" t="e">
        <f ca="1">IF(F9="是",'数据-取费表'!AO9,0)</f>
        <v>#REF!</v>
      </c>
      <c r="C9" s="2558" t="s">
        <v>2512</v>
      </c>
      <c r="D9" s="2561"/>
      <c r="E9" s="2569">
        <f>IF(OR(A9=0,F9="否"),0,'数据-取费表'!K9+'数据-取费表'!S9)</f>
        <v>0</v>
      </c>
      <c r="F9" s="2570" t="s">
        <v>2518</v>
      </c>
    </row>
    <row r="10" spans="1:6">
      <c r="A10" s="2568">
        <f>'数据-取费表'!AN10</f>
        <v>0</v>
      </c>
      <c r="B10" s="2567" t="e">
        <f ca="1">IF(F10="是",'数据-取费表'!AO10,0)</f>
        <v>#REF!</v>
      </c>
      <c r="C10" s="2558" t="s">
        <v>2512</v>
      </c>
      <c r="D10" s="2561"/>
      <c r="E10" s="2569">
        <f>IF(OR(A10=0,F10="否"),0,'数据-取费表'!K10+'数据-取费表'!S10)</f>
        <v>0</v>
      </c>
      <c r="F10" s="2570" t="s">
        <v>2518</v>
      </c>
    </row>
    <row r="11" spans="1:6">
      <c r="A11" s="2568">
        <f>'数据-取费表'!AN11</f>
        <v>0</v>
      </c>
      <c r="B11" s="2567" t="e">
        <f ca="1">IF(F11="是",'数据-取费表'!AO11,0)</f>
        <v>#REF!</v>
      </c>
      <c r="C11" s="2558" t="s">
        <v>2512</v>
      </c>
      <c r="D11" s="2561"/>
      <c r="E11" s="2569">
        <f>IF(OR(A11=0,F11="否"),0,'数据-取费表'!K11+'数据-取费表'!S11)</f>
        <v>0</v>
      </c>
      <c r="F11" s="2570" t="s">
        <v>2518</v>
      </c>
    </row>
    <row r="12" spans="1:6">
      <c r="A12" s="2568">
        <f>'数据-取费表'!AN12</f>
        <v>0</v>
      </c>
      <c r="B12" s="2567" t="e">
        <f ca="1">IF(F12="是",'数据-取费表'!AO12,0)</f>
        <v>#REF!</v>
      </c>
      <c r="C12" s="2558" t="s">
        <v>2512</v>
      </c>
      <c r="D12" s="2561"/>
      <c r="E12" s="2569">
        <f>IF(OR(A12=0,F12="否"),0,'数据-取费表'!K12+'数据-取费表'!S12)</f>
        <v>0</v>
      </c>
      <c r="F12" s="2570" t="s">
        <v>2518</v>
      </c>
    </row>
    <row r="13" spans="1:6" ht="15" thickBot="1">
      <c r="A13" s="2571">
        <f>'数据-取费表'!AN13</f>
        <v>0</v>
      </c>
      <c r="B13" s="2567" t="e">
        <f ca="1">IF(F13="是",'数据-取费表'!AO13,0)</f>
        <v>#REF!</v>
      </c>
      <c r="C13" s="2572" t="s">
        <v>2512</v>
      </c>
      <c r="D13" s="2573"/>
      <c r="E13" s="2569">
        <f>IF(OR(A13=0,F13="否"),0,'数据-取费表'!K13+'数据-取费表'!S13)</f>
        <v>0</v>
      </c>
      <c r="F13" s="2570" t="s">
        <v>2518</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5" t="s">
        <v>1076</v>
      </c>
      <c r="B1" s="3306"/>
      <c r="C1" s="3307"/>
      <c r="D1" s="3308">
        <f>SUM(I10,I15,I20,I21,I23)</f>
        <v>0</v>
      </c>
      <c r="E1" s="3308"/>
      <c r="F1" s="3308"/>
      <c r="G1" s="3308"/>
      <c r="H1" s="3308"/>
      <c r="I1" s="3309"/>
    </row>
    <row r="2" spans="1:9">
      <c r="A2" s="3310" t="s">
        <v>1077</v>
      </c>
      <c r="B2" s="3311" t="s">
        <v>1078</v>
      </c>
      <c r="C2" s="3311"/>
      <c r="D2" s="1297" t="s">
        <v>1079</v>
      </c>
      <c r="E2" s="1297" t="s">
        <v>1080</v>
      </c>
      <c r="F2" s="1297" t="s">
        <v>1081</v>
      </c>
      <c r="G2" s="1297" t="s">
        <v>1082</v>
      </c>
      <c r="H2" s="1297" t="s">
        <v>1083</v>
      </c>
      <c r="I2" s="1298" t="s">
        <v>1084</v>
      </c>
    </row>
    <row r="3" spans="1:9">
      <c r="A3" s="3310"/>
      <c r="B3" s="3311" t="s">
        <v>1085</v>
      </c>
      <c r="C3" s="3311"/>
      <c r="D3" s="1299"/>
      <c r="E3" s="1297"/>
      <c r="F3" s="1300"/>
      <c r="G3" s="1300"/>
      <c r="H3" s="1301"/>
      <c r="I3" s="1302">
        <f>ROUND(D3*E3*F3*G3*H3/10000,0)</f>
        <v>0</v>
      </c>
    </row>
    <row r="4" spans="1:9">
      <c r="A4" s="3310"/>
      <c r="B4" s="3311" t="s">
        <v>1086</v>
      </c>
      <c r="C4" s="3311"/>
      <c r="D4" s="1299"/>
      <c r="E4" s="1297"/>
      <c r="F4" s="1300"/>
      <c r="G4" s="1300"/>
      <c r="H4" s="1301"/>
      <c r="I4" s="1302">
        <f t="shared" ref="I4:I9" si="0">ROUND(D4*E4*F4*G4*H4/10000,0)</f>
        <v>0</v>
      </c>
    </row>
    <row r="5" spans="1:9">
      <c r="A5" s="3310"/>
      <c r="B5" s="3311" t="s">
        <v>1087</v>
      </c>
      <c r="C5" s="3311"/>
      <c r="D5" s="1299"/>
      <c r="E5" s="1297"/>
      <c r="F5" s="1300"/>
      <c r="G5" s="1300"/>
      <c r="H5" s="1301"/>
      <c r="I5" s="1302">
        <f t="shared" si="0"/>
        <v>0</v>
      </c>
    </row>
    <row r="6" spans="1:9">
      <c r="A6" s="3310"/>
      <c r="B6" s="3311" t="s">
        <v>1088</v>
      </c>
      <c r="C6" s="3311"/>
      <c r="D6" s="1299"/>
      <c r="E6" s="1297"/>
      <c r="F6" s="1300"/>
      <c r="G6" s="1300"/>
      <c r="H6" s="1301"/>
      <c r="I6" s="1302">
        <f t="shared" si="0"/>
        <v>0</v>
      </c>
    </row>
    <row r="7" spans="1:9">
      <c r="A7" s="3310"/>
      <c r="B7" s="3311" t="s">
        <v>1089</v>
      </c>
      <c r="C7" s="3311"/>
      <c r="D7" s="1299"/>
      <c r="E7" s="1297"/>
      <c r="F7" s="1300"/>
      <c r="G7" s="1300"/>
      <c r="H7" s="1301"/>
      <c r="I7" s="1302">
        <f t="shared" si="0"/>
        <v>0</v>
      </c>
    </row>
    <row r="8" spans="1:9">
      <c r="A8" s="3310"/>
      <c r="B8" s="3311" t="s">
        <v>1090</v>
      </c>
      <c r="C8" s="3311"/>
      <c r="D8" s="1299"/>
      <c r="E8" s="1297"/>
      <c r="F8" s="1300"/>
      <c r="G8" s="1300"/>
      <c r="H8" s="1301"/>
      <c r="I8" s="1302">
        <f t="shared" si="0"/>
        <v>0</v>
      </c>
    </row>
    <row r="9" spans="1:9">
      <c r="A9" s="3310"/>
      <c r="B9" s="3311" t="s">
        <v>1091</v>
      </c>
      <c r="C9" s="3311"/>
      <c r="D9" s="1299"/>
      <c r="E9" s="1297"/>
      <c r="F9" s="1300"/>
      <c r="G9" s="1300"/>
      <c r="H9" s="1301"/>
      <c r="I9" s="1302">
        <f t="shared" si="0"/>
        <v>0</v>
      </c>
    </row>
    <row r="10" spans="1:9">
      <c r="A10" s="3310"/>
      <c r="B10" s="3312" t="s">
        <v>1092</v>
      </c>
      <c r="C10" s="3312"/>
      <c r="D10" s="1303"/>
      <c r="E10" s="1303" t="e">
        <f>ROUND(D1*10000/D10/H9,0)</f>
        <v>#DIV/0!</v>
      </c>
      <c r="F10" s="1304"/>
      <c r="G10" s="1304"/>
      <c r="H10" s="1305"/>
      <c r="I10" s="1306">
        <f>SUM(I3:I9)</f>
        <v>0</v>
      </c>
    </row>
    <row r="11" spans="1:9" ht="14.25">
      <c r="A11" s="3310" t="s">
        <v>1093</v>
      </c>
      <c r="B11" s="3311" t="s">
        <v>1094</v>
      </c>
      <c r="C11" s="3311"/>
      <c r="D11" s="1299" t="s">
        <v>1095</v>
      </c>
      <c r="E11" s="1299" t="s">
        <v>1096</v>
      </c>
      <c r="F11" s="1300" t="s">
        <v>1097</v>
      </c>
      <c r="G11" s="1300" t="s">
        <v>1083</v>
      </c>
      <c r="H11" s="1307" t="s">
        <v>1098</v>
      </c>
      <c r="I11" s="1298" t="s">
        <v>1084</v>
      </c>
    </row>
    <row r="12" spans="1:9">
      <c r="A12" s="3310"/>
      <c r="B12" s="3311" t="s">
        <v>1099</v>
      </c>
      <c r="C12" s="3311"/>
      <c r="D12" s="1299"/>
      <c r="E12" s="1299"/>
      <c r="F12" s="1300"/>
      <c r="G12" s="1301"/>
      <c r="H12" s="1308"/>
      <c r="I12" s="1298">
        <f>ROUND(D12*E12*F12*G12/10000,0)</f>
        <v>0</v>
      </c>
    </row>
    <row r="13" spans="1:9">
      <c r="A13" s="3310"/>
      <c r="B13" s="3311" t="s">
        <v>1100</v>
      </c>
      <c r="C13" s="3311"/>
      <c r="D13" s="1299"/>
      <c r="E13" s="1299"/>
      <c r="F13" s="1300"/>
      <c r="G13" s="1301"/>
      <c r="H13" s="1308"/>
      <c r="I13" s="1298">
        <f>ROUND(D13*E13*F13*G13/10000,0)</f>
        <v>0</v>
      </c>
    </row>
    <row r="14" spans="1:9">
      <c r="A14" s="3310"/>
      <c r="B14" s="3311" t="s">
        <v>1101</v>
      </c>
      <c r="C14" s="3311"/>
      <c r="D14" s="1299"/>
      <c r="E14" s="1299"/>
      <c r="F14" s="1300"/>
      <c r="G14" s="1301"/>
      <c r="H14" s="1308"/>
      <c r="I14" s="1298">
        <f>ROUND(D14*E14*F14*G14/10000,0)</f>
        <v>0</v>
      </c>
    </row>
    <row r="15" spans="1:9">
      <c r="A15" s="3310"/>
      <c r="B15" s="3312" t="s">
        <v>1092</v>
      </c>
      <c r="C15" s="3312"/>
      <c r="D15" s="1303"/>
      <c r="E15" s="1303">
        <f>SUM(E12:E14)</f>
        <v>0</v>
      </c>
      <c r="F15" s="1304"/>
      <c r="G15" s="1301"/>
      <c r="H15" s="1308"/>
      <c r="I15" s="1309">
        <f>SUM(I12:I14)</f>
        <v>0</v>
      </c>
    </row>
    <row r="16" spans="1:9" ht="24">
      <c r="A16" s="3310" t="s">
        <v>1102</v>
      </c>
      <c r="B16" s="3311" t="s">
        <v>1103</v>
      </c>
      <c r="C16" s="3311"/>
      <c r="D16" s="1299" t="s">
        <v>1079</v>
      </c>
      <c r="E16" s="1310" t="s">
        <v>1104</v>
      </c>
      <c r="F16" s="1300" t="s">
        <v>1105</v>
      </c>
      <c r="G16" s="1301" t="s">
        <v>1083</v>
      </c>
      <c r="H16" s="1307" t="s">
        <v>1098</v>
      </c>
      <c r="I16" s="1298" t="s">
        <v>1084</v>
      </c>
    </row>
    <row r="17" spans="1:9" ht="14.25">
      <c r="A17" s="3310"/>
      <c r="B17" s="3311" t="s">
        <v>1106</v>
      </c>
      <c r="C17" s="3311"/>
      <c r="D17" s="1299"/>
      <c r="E17" s="1299"/>
      <c r="F17" s="1300"/>
      <c r="G17" s="1301"/>
      <c r="H17" s="1311"/>
      <c r="I17" s="1312">
        <f>ROUND(D17*E17*F17*G17/10000,0)</f>
        <v>0</v>
      </c>
    </row>
    <row r="18" spans="1:9" ht="14.25">
      <c r="A18" s="3310"/>
      <c r="B18" s="3311" t="s">
        <v>1107</v>
      </c>
      <c r="C18" s="3311"/>
      <c r="D18" s="1299"/>
      <c r="E18" s="1299"/>
      <c r="F18" s="1300"/>
      <c r="G18" s="1301"/>
      <c r="H18" s="1311"/>
      <c r="I18" s="1312">
        <f>ROUND(D18*E18*F18*G18/10000,0)</f>
        <v>0</v>
      </c>
    </row>
    <row r="19" spans="1:9" ht="14.25">
      <c r="A19" s="3310"/>
      <c r="B19" s="3311" t="s">
        <v>1108</v>
      </c>
      <c r="C19" s="3311"/>
      <c r="D19" s="1299"/>
      <c r="E19" s="1299"/>
      <c r="F19" s="1300"/>
      <c r="G19" s="1301"/>
      <c r="H19" s="1311"/>
      <c r="I19" s="1312">
        <f>ROUND(D19*E19*F19*G19/10000,0)</f>
        <v>0</v>
      </c>
    </row>
    <row r="20" spans="1:9">
      <c r="A20" s="3310"/>
      <c r="B20" s="3312" t="s">
        <v>1092</v>
      </c>
      <c r="C20" s="3312"/>
      <c r="D20" s="1303">
        <f>SUM(D17:D19)</f>
        <v>0</v>
      </c>
      <c r="E20" s="1303"/>
      <c r="F20" s="1304"/>
      <c r="G20" s="1301"/>
      <c r="H20" s="1308"/>
      <c r="I20" s="1309">
        <f>SUM(I17:I19)</f>
        <v>0</v>
      </c>
    </row>
    <row r="21" spans="1:9">
      <c r="A21" s="3310" t="s">
        <v>1109</v>
      </c>
      <c r="B21" s="3314"/>
      <c r="C21" s="3314"/>
      <c r="D21" s="3314"/>
      <c r="E21" s="3314"/>
      <c r="F21" s="3314"/>
      <c r="G21" s="3314"/>
      <c r="H21" s="1761">
        <v>0.1</v>
      </c>
      <c r="I21" s="1306">
        <f>ROUND(I10*H21,0)</f>
        <v>0</v>
      </c>
    </row>
    <row r="22" spans="1:9" ht="14.25">
      <c r="A22" s="3315" t="s">
        <v>1110</v>
      </c>
      <c r="B22" s="3316"/>
      <c r="C22" s="3317"/>
      <c r="D22" s="1313" t="s">
        <v>1111</v>
      </c>
      <c r="E22" s="1313" t="s">
        <v>1112</v>
      </c>
      <c r="F22" s="1314" t="s">
        <v>1113</v>
      </c>
      <c r="G22" s="1314" t="s">
        <v>1114</v>
      </c>
      <c r="H22" s="1307" t="s">
        <v>1115</v>
      </c>
      <c r="I22" s="1298" t="s">
        <v>1116</v>
      </c>
    </row>
    <row r="23" spans="1:9" ht="14.25" thickBot="1">
      <c r="A23" s="3318"/>
      <c r="B23" s="3319"/>
      <c r="C23" s="3320"/>
      <c r="D23" s="1315"/>
      <c r="E23" s="1315"/>
      <c r="F23" s="1315"/>
      <c r="G23" s="1316"/>
      <c r="H23" s="1317"/>
      <c r="I23" s="1318">
        <f>ROUND(E23*D23*F23*(1-G23)/10000,0)</f>
        <v>0</v>
      </c>
    </row>
    <row r="26" spans="1:9">
      <c r="A26" s="1319" t="s">
        <v>1117</v>
      </c>
      <c r="B26" s="1319"/>
      <c r="C26" s="1319"/>
      <c r="D26" s="1319"/>
      <c r="E26" s="3321">
        <f>C27-C30-C31-C32</f>
        <v>0</v>
      </c>
      <c r="F26" s="3321"/>
      <c r="G26" s="3321"/>
      <c r="H26" s="1733" t="s">
        <v>1338</v>
      </c>
    </row>
    <row r="27" spans="1:9">
      <c r="A27" s="1320">
        <v>1</v>
      </c>
      <c r="B27" s="1321" t="s">
        <v>1118</v>
      </c>
      <c r="C27" s="1321">
        <f>C28+C29</f>
        <v>0</v>
      </c>
      <c r="D27" s="1321"/>
      <c r="E27" s="3322"/>
      <c r="F27" s="3322"/>
      <c r="G27" s="3322"/>
    </row>
    <row r="28" spans="1:9">
      <c r="A28" s="1322" t="s">
        <v>1119</v>
      </c>
      <c r="B28" s="1321" t="s">
        <v>1120</v>
      </c>
      <c r="C28" s="1321"/>
      <c r="D28" s="1321"/>
      <c r="E28" s="3322"/>
      <c r="F28" s="3322"/>
      <c r="G28" s="3322"/>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13"/>
      <c r="F32" s="3313"/>
      <c r="G32" s="3313"/>
    </row>
    <row r="33" spans="1:7" hidden="1">
      <c r="A33" s="3323" t="s">
        <v>1129</v>
      </c>
      <c r="B33" s="3324"/>
      <c r="C33" s="3324"/>
      <c r="D33" s="3325"/>
      <c r="E33" s="3321"/>
      <c r="F33" s="3321"/>
      <c r="G33" s="3321"/>
    </row>
    <row r="34" spans="1:7" hidden="1">
      <c r="A34" s="1324">
        <v>1</v>
      </c>
      <c r="B34" s="1321" t="s">
        <v>1130</v>
      </c>
      <c r="C34" s="1321"/>
      <c r="D34" s="1321"/>
      <c r="E34" s="3322"/>
      <c r="F34" s="3322"/>
      <c r="G34" s="3322"/>
    </row>
    <row r="35" spans="1:7" hidden="1">
      <c r="A35" s="1324">
        <v>2</v>
      </c>
      <c r="B35" s="1321" t="s">
        <v>1131</v>
      </c>
      <c r="C35" s="1321"/>
      <c r="D35" s="1321"/>
      <c r="E35" s="3322"/>
      <c r="F35" s="3322"/>
      <c r="G35" s="3322"/>
    </row>
    <row r="36" spans="1:7" hidden="1">
      <c r="A36" s="1324">
        <v>3</v>
      </c>
      <c r="B36" s="1321" t="s">
        <v>1132</v>
      </c>
      <c r="C36" s="1321"/>
      <c r="D36" s="1321"/>
      <c r="E36" s="3322"/>
      <c r="F36" s="3322"/>
      <c r="G36" s="3322"/>
    </row>
    <row r="37" spans="1:7" hidden="1">
      <c r="A37" s="1324">
        <v>4</v>
      </c>
      <c r="B37" s="1321" t="s">
        <v>1133</v>
      </c>
      <c r="C37" s="1321"/>
      <c r="D37" s="1321"/>
      <c r="E37" s="3322"/>
      <c r="F37" s="3322"/>
      <c r="G37" s="3322"/>
    </row>
    <row r="38" spans="1:7" hidden="1">
      <c r="A38" s="3323" t="s">
        <v>1134</v>
      </c>
      <c r="B38" s="3324"/>
      <c r="C38" s="3324"/>
      <c r="D38" s="3325"/>
      <c r="E38" s="3321"/>
      <c r="F38" s="3321"/>
      <c r="G38" s="33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1610</v>
      </c>
    </row>
    <row r="2" spans="1:1">
      <c r="A2" s="1942"/>
    </row>
    <row r="3" spans="1:1" ht="18">
      <c r="A3" s="1943" t="str">
        <f>项目基本情况!B5&amp;"："</f>
        <v>北京居然之家投资控股集团有限公司：</v>
      </c>
    </row>
    <row r="4" spans="1:1" ht="36">
      <c r="A4" s="1944" t="str">
        <f>"受贵公司委托，我公司对"&amp;项目基本情况!S1&amp;"进行了预评估。"</f>
        <v>受贵公司委托，我公司对北京市东城区东直门南大街甲3号办公楼、车库用房房地产出让国有建设用地使用权及在建建筑物房地产抵押价值进行了预评估。</v>
      </c>
    </row>
    <row r="5" spans="1:1" ht="18.75">
      <c r="A5" s="1945" t="s">
        <v>1611</v>
      </c>
    </row>
    <row r="6" spans="1:1" ht="18.75">
      <c r="A6" s="1946" t="s">
        <v>1612</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直门南大街甲3号办公楼、车库用房房地产出让国有建设用地使用权及在建建筑物房地产，为所有。根据《国有土地使用证》[京东国用（2005出）第更0018号]，估价对象（分摊）出让国有建设用地使用权面积为8406.27平方米，建筑面积为52177.78平方米。</v>
      </c>
    </row>
    <row r="8" spans="1:1" ht="57.75">
      <c r="A8" s="1947" t="s">
        <v>1613</v>
      </c>
    </row>
    <row r="9" spans="1:1" ht="18.75">
      <c r="A9" s="1946" t="s">
        <v>1614</v>
      </c>
    </row>
    <row r="10" spans="1:1" ht="90">
      <c r="A10" s="1944"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直门南大街甲3号办公楼、车库用房房地产出让国有建设用地使用权及在建建筑物房地产,属开发建设的办公项目，该项目尚在开发建设中。根据《国有土地使用证》[京东国用（2005出）第更0018号]，估价对象（分摊）出让国有建设用地使用权面积为8406.27平方米，规划建筑面积为52177.78平方米。</v>
      </c>
    </row>
    <row r="11" spans="1:1" ht="76.5">
      <c r="A11" s="1947" t="s">
        <v>1615</v>
      </c>
    </row>
    <row r="12" spans="1:1" ht="18.75">
      <c r="A12" s="1945" t="s">
        <v>1616</v>
      </c>
    </row>
    <row r="13" spans="1:1" ht="38.25" customHeight="1">
      <c r="A13" s="1948"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49" t="s">
        <v>1617</v>
      </c>
    </row>
    <row r="15" spans="1:1" ht="18">
      <c r="A15" s="1950" t="str">
        <f>TEXT(项目基本情况!D3,"yyyy年m月d日;;")&amp;IF(项目基本情况!D3=项目基本情况!B3,"（评估专业人员实地查勘之日）","")</f>
        <v>2018年3月6日（评估专业人员实地查勘之日）</v>
      </c>
    </row>
    <row r="16" spans="1:1" ht="18.75">
      <c r="A16" s="1949" t="s">
        <v>1618</v>
      </c>
    </row>
    <row r="17" spans="1:1" ht="75">
      <c r="A17" s="1944" t="s">
        <v>1619</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6日，估价对象规划用途为办公、地下车库，土地取得方式为出让，出让国有建设用地使用权剩余土地使用年限为办公及车库36.5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上水、通下水、通讯、、）、红线内场地平整条件下，剩余土地使用年限为办公及车库36.5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1608</v>
      </c>
    </row>
    <row r="24" spans="1:1" ht="18">
      <c r="A24" s="1951" t="str">
        <f>"本次评估采用的主估价方法为"&amp;结果表办!K4&amp;"和"&amp;结果表办!L4&amp;"。"</f>
        <v>本次评估采用的主估价方法为基准地价系数修正法和收益法。</v>
      </c>
    </row>
    <row r="25" spans="1:1" ht="18">
      <c r="A25" s="1951"/>
    </row>
    <row r="26" spans="1:1" ht="18.75">
      <c r="A26" s="1952" t="s">
        <v>1609</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2521</v>
      </c>
      <c r="B1" s="2574" t="s">
        <v>2522</v>
      </c>
      <c r="C1" s="1630" t="s">
        <v>2523</v>
      </c>
      <c r="D1" s="1617"/>
      <c r="E1" s="2575"/>
      <c r="F1" s="2576" t="s">
        <v>2524</v>
      </c>
      <c r="G1" s="1627" t="s">
        <v>2525</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2" customFormat="1" ht="28.5" customHeight="1" thickTop="1">
      <c r="A2" s="1613" t="s">
        <v>1392</v>
      </c>
      <c r="B2" s="1414" t="e">
        <f ca="1">IF(C2="——",ROUND(C49*D3/10000,0),ROUND(C49*D3/10000,0)-D2)</f>
        <v>#DIV/0!</v>
      </c>
      <c r="C2" s="2578"/>
      <c r="D2" s="1361" t="e">
        <f ca="1">SUMIF(INDIRECT("'"&amp;F2&amp;"'"&amp;"!A:A"),"承租人权益价值",INDIRECT("'"&amp;F2&amp;"'"&amp;"!c:c"))</f>
        <v>#REF!</v>
      </c>
      <c r="E2" s="2579" t="s">
        <v>2526</v>
      </c>
      <c r="F2" s="2580"/>
      <c r="G2" s="1120"/>
      <c r="H2" s="1120"/>
      <c r="I2" s="1120"/>
      <c r="J2" s="1120"/>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1393</v>
      </c>
      <c r="B3" s="398" t="e">
        <f ca="1">IF(C2="——",C49,ROUND(B2*10000/D3,0))</f>
        <v>#DIV/0!</v>
      </c>
      <c r="C3" s="399" t="s">
        <v>2527</v>
      </c>
      <c r="D3" s="398">
        <f>IF(D1="",'数据-汇总表'!E3,SUMIF('数据-汇总表'!$C19:$C33,D1,'数据-汇总表'!$E19:$E33))</f>
        <v>52177.779999999992</v>
      </c>
      <c r="E3" s="1120"/>
      <c r="F3" s="2587"/>
      <c r="G3" s="1120"/>
      <c r="H3" s="1120"/>
      <c r="I3" s="1120"/>
      <c r="J3" s="1120"/>
      <c r="K3" s="2581"/>
      <c r="L3" s="2582"/>
      <c r="M3" s="2583"/>
      <c r="N3" s="2583"/>
      <c r="O3" s="2583"/>
      <c r="P3" s="2584"/>
      <c r="Q3" s="2585"/>
      <c r="R3" s="2585"/>
      <c r="S3" s="2585"/>
      <c r="T3" s="2585"/>
      <c r="U3" s="2585"/>
      <c r="V3" s="2585"/>
      <c r="W3" s="2585"/>
      <c r="X3" s="2585"/>
      <c r="Y3" s="2585"/>
      <c r="Z3" s="2585"/>
      <c r="AA3" s="2585"/>
      <c r="AB3" s="2585"/>
      <c r="AC3" s="1278"/>
    </row>
    <row r="4" spans="1:29" ht="15">
      <c r="A4" s="400" t="s">
        <v>2528</v>
      </c>
      <c r="B4" s="401"/>
      <c r="C4" s="3265" t="s">
        <v>2529</v>
      </c>
      <c r="D4" s="3266"/>
      <c r="E4" s="3267" t="s">
        <v>2530</v>
      </c>
      <c r="F4" s="3268"/>
      <c r="G4" s="3265" t="s">
        <v>2531</v>
      </c>
      <c r="H4" s="3266"/>
      <c r="I4" s="3265" t="s">
        <v>2532</v>
      </c>
      <c r="J4" s="3266"/>
      <c r="K4" s="2588" t="s">
        <v>2533</v>
      </c>
      <c r="L4" s="1126"/>
      <c r="M4" s="1127"/>
      <c r="N4" s="1127"/>
      <c r="O4" s="1127"/>
      <c r="P4" s="3337" t="s">
        <v>2534</v>
      </c>
      <c r="Q4" s="3338"/>
      <c r="R4" s="3327" t="s">
        <v>2530</v>
      </c>
      <c r="S4" s="3328"/>
      <c r="T4" s="3327" t="s">
        <v>2531</v>
      </c>
      <c r="U4" s="3328"/>
      <c r="V4" s="3278" t="s">
        <v>2532</v>
      </c>
      <c r="W4" s="3278"/>
      <c r="X4" s="1809"/>
      <c r="Y4" s="3327" t="s">
        <v>2534</v>
      </c>
      <c r="Z4" s="3328"/>
      <c r="AA4" s="3326" t="s">
        <v>2530</v>
      </c>
      <c r="AB4" s="3326" t="s">
        <v>2531</v>
      </c>
      <c r="AC4" s="3326" t="s">
        <v>2532</v>
      </c>
    </row>
    <row r="5" spans="1:29" ht="15">
      <c r="A5" s="403"/>
      <c r="B5" s="404"/>
      <c r="C5" s="3331" t="s">
        <v>2535</v>
      </c>
      <c r="D5" s="3332"/>
      <c r="E5" s="3329" t="s">
        <v>2536</v>
      </c>
      <c r="F5" s="3330"/>
      <c r="G5" s="3331" t="s">
        <v>2537</v>
      </c>
      <c r="H5" s="3332"/>
      <c r="I5" s="3331" t="s">
        <v>2538</v>
      </c>
      <c r="J5" s="3332"/>
      <c r="K5" s="2589"/>
      <c r="L5" s="1126"/>
      <c r="M5" s="1127"/>
      <c r="N5" s="1127"/>
      <c r="O5" s="1127"/>
      <c r="P5" s="3339"/>
      <c r="Q5" s="3272"/>
      <c r="R5" s="3251"/>
      <c r="S5" s="3252"/>
      <c r="T5" s="3251"/>
      <c r="U5" s="3252"/>
      <c r="V5" s="3278"/>
      <c r="W5" s="3278"/>
      <c r="X5" s="1809"/>
      <c r="Y5" s="3251"/>
      <c r="Z5" s="3252"/>
      <c r="AA5" s="3245"/>
      <c r="AB5" s="3245"/>
      <c r="AC5" s="3245"/>
    </row>
    <row r="6" spans="1:29" ht="15.75" thickBot="1">
      <c r="A6" s="405"/>
      <c r="B6" s="406"/>
      <c r="C6" s="3333" t="s">
        <v>2539</v>
      </c>
      <c r="D6" s="3334"/>
      <c r="E6" s="3335" t="s">
        <v>2539</v>
      </c>
      <c r="F6" s="3336"/>
      <c r="G6" s="3333" t="s">
        <v>2539</v>
      </c>
      <c r="H6" s="3334"/>
      <c r="I6" s="3333" t="s">
        <v>2539</v>
      </c>
      <c r="J6" s="3334"/>
      <c r="K6" s="2589" t="s">
        <v>2540</v>
      </c>
      <c r="L6" s="1126"/>
      <c r="M6" s="1127"/>
      <c r="N6" s="1127"/>
      <c r="O6" s="1127"/>
      <c r="P6" s="3340"/>
      <c r="Q6" s="3274"/>
      <c r="R6" s="3251"/>
      <c r="S6" s="3252"/>
      <c r="T6" s="3275"/>
      <c r="U6" s="3276"/>
      <c r="V6" s="3278"/>
      <c r="W6" s="3278"/>
      <c r="X6" s="1809"/>
      <c r="Y6" s="3275"/>
      <c r="Z6" s="3276"/>
      <c r="AA6" s="3246"/>
      <c r="AB6" s="3246"/>
      <c r="AC6" s="3246"/>
    </row>
    <row r="7" spans="1:29" s="116" customFormat="1" ht="15.75" thickBot="1">
      <c r="A7" s="407" t="s">
        <v>2541</v>
      </c>
      <c r="B7" s="408"/>
      <c r="C7" s="409">
        <f>'数据-取费表'!B2</f>
        <v>43165</v>
      </c>
      <c r="D7" s="410">
        <v>100</v>
      </c>
      <c r="E7" s="411"/>
      <c r="F7" s="412">
        <f>SUMIF(58:58,YEAR(E7)&amp;"-"&amp;MONTH(E7),59:59)</f>
        <v>0</v>
      </c>
      <c r="G7" s="411"/>
      <c r="H7" s="410">
        <f>SUMIF(58:58,YEAR(G7)&amp;"-"&amp;MONTH(G7),59:59)</f>
        <v>0</v>
      </c>
      <c r="I7" s="411"/>
      <c r="J7" s="410">
        <f>SUMIF(58:58,YEAR(I7)&amp;"-"&amp;MONTH(I7),59:59)</f>
        <v>0</v>
      </c>
      <c r="K7" s="2590"/>
      <c r="L7" s="1128"/>
      <c r="M7" s="1129"/>
      <c r="N7" s="1129"/>
      <c r="O7" s="1129"/>
      <c r="P7" s="3247" t="s">
        <v>2542</v>
      </c>
      <c r="Q7" s="3280"/>
      <c r="R7" s="768" t="s">
        <v>23</v>
      </c>
      <c r="S7" s="769">
        <f t="shared" ref="S7:S15" si="0">F7</f>
        <v>0</v>
      </c>
      <c r="T7" s="768" t="s">
        <v>23</v>
      </c>
      <c r="U7" s="769">
        <f t="shared" ref="U7:U15" si="1">H7</f>
        <v>0</v>
      </c>
      <c r="V7" s="768" t="s">
        <v>23</v>
      </c>
      <c r="W7" s="769">
        <f t="shared" ref="W7:W15" si="2">J7</f>
        <v>0</v>
      </c>
      <c r="X7" s="770"/>
      <c r="Y7" s="3247" t="s">
        <v>2542</v>
      </c>
      <c r="Z7" s="3248"/>
      <c r="AA7" s="771" t="e">
        <f>D7/F7</f>
        <v>#DIV/0!</v>
      </c>
      <c r="AB7" s="771" t="e">
        <f>D7/H7</f>
        <v>#DIV/0!</v>
      </c>
      <c r="AC7" s="771" t="e">
        <f>D7/J7</f>
        <v>#DIV/0!</v>
      </c>
    </row>
    <row r="8" spans="1:29" s="116" customFormat="1" ht="15.75" thickBot="1">
      <c r="A8" s="407" t="s">
        <v>2543</v>
      </c>
      <c r="B8" s="408"/>
      <c r="C8" s="413" t="s">
        <v>2544</v>
      </c>
      <c r="D8" s="410">
        <v>100</v>
      </c>
      <c r="E8" s="2591"/>
      <c r="F8" s="412">
        <f>SUMIF(61:61,E8,62:62)-SUMIF(61:61,C8,62:62)+100</f>
        <v>0</v>
      </c>
      <c r="G8" s="413"/>
      <c r="H8" s="410">
        <f>SUMIF(61:61,G8,62:62)-SUMIF(61:61,C8,62:62)+100</f>
        <v>0</v>
      </c>
      <c r="I8" s="2591"/>
      <c r="J8" s="410">
        <f>SUMIF(61:61,I8,62:62)-SUMIF(61:61,C8,62:62)+100</f>
        <v>0</v>
      </c>
      <c r="K8" s="2590"/>
      <c r="L8" s="1128"/>
      <c r="M8" s="1129"/>
      <c r="N8" s="1129"/>
      <c r="O8" s="1129"/>
      <c r="P8" s="3247" t="s">
        <v>2545</v>
      </c>
      <c r="Q8" s="3248"/>
      <c r="R8" s="768" t="s">
        <v>23</v>
      </c>
      <c r="S8" s="769">
        <f t="shared" si="0"/>
        <v>0</v>
      </c>
      <c r="T8" s="768" t="s">
        <v>23</v>
      </c>
      <c r="U8" s="769">
        <f t="shared" si="1"/>
        <v>0</v>
      </c>
      <c r="V8" s="768" t="s">
        <v>23</v>
      </c>
      <c r="W8" s="769">
        <f t="shared" si="2"/>
        <v>0</v>
      </c>
      <c r="X8" s="770"/>
      <c r="Y8" s="3247" t="s">
        <v>2545</v>
      </c>
      <c r="Z8" s="3248"/>
      <c r="AA8" s="771" t="e">
        <f t="shared" ref="AA8:AA19" si="3">D8/F8</f>
        <v>#DIV/0!</v>
      </c>
      <c r="AB8" s="771" t="e">
        <f t="shared" ref="AB8:AB19" si="4">D8/H8</f>
        <v>#DIV/0!</v>
      </c>
      <c r="AC8" s="771" t="e">
        <f t="shared" ref="AC8:AC19" si="5">D8/J8</f>
        <v>#DIV/0!</v>
      </c>
    </row>
    <row r="9" spans="1:29" s="116" customFormat="1">
      <c r="A9" s="414" t="s">
        <v>2546</v>
      </c>
      <c r="B9" s="70" t="s">
        <v>2547</v>
      </c>
      <c r="C9" s="415"/>
      <c r="D9" s="134">
        <v>100</v>
      </c>
      <c r="E9" s="416"/>
      <c r="F9" s="417">
        <f>SUMIF(63:63,E9,64:64)-SUMIF(63:63,C9,64:64)+100</f>
        <v>100</v>
      </c>
      <c r="G9" s="418"/>
      <c r="H9" s="134">
        <f>SUMIF(63:63,G9,64:64)-SUMIF(63:63,C9,64:64)+100</f>
        <v>100</v>
      </c>
      <c r="I9" s="418"/>
      <c r="J9" s="134">
        <f>SUMIF(63:63,I9,64:64)-SUMIF(63:63,C9,64:64)+100</f>
        <v>100</v>
      </c>
      <c r="K9" s="2590"/>
      <c r="L9" s="1128"/>
      <c r="M9" s="1129"/>
      <c r="N9" s="1129"/>
      <c r="O9" s="1129"/>
      <c r="P9" s="3261" t="s">
        <v>2548</v>
      </c>
      <c r="Q9" s="1791" t="str">
        <f t="shared" ref="Q9:Q15" si="6">B9</f>
        <v>用途</v>
      </c>
      <c r="R9" s="768" t="s">
        <v>17</v>
      </c>
      <c r="S9" s="769">
        <f t="shared" si="0"/>
        <v>100</v>
      </c>
      <c r="T9" s="768" t="s">
        <v>17</v>
      </c>
      <c r="U9" s="769">
        <f t="shared" si="1"/>
        <v>100</v>
      </c>
      <c r="V9" s="768" t="s">
        <v>17</v>
      </c>
      <c r="W9" s="769">
        <f t="shared" si="2"/>
        <v>100</v>
      </c>
      <c r="X9" s="770"/>
      <c r="Y9" s="3101" t="s">
        <v>2549</v>
      </c>
      <c r="Z9" s="55" t="str">
        <f t="shared" ref="Z9:Z15" si="7">Q9</f>
        <v>用途</v>
      </c>
      <c r="AA9" s="771">
        <f t="shared" si="3"/>
        <v>1</v>
      </c>
      <c r="AB9" s="771">
        <f t="shared" si="4"/>
        <v>1</v>
      </c>
      <c r="AC9" s="771">
        <f t="shared" si="5"/>
        <v>1</v>
      </c>
    </row>
    <row r="10" spans="1:29" s="426" customFormat="1" ht="27">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261"/>
      <c r="Q10" s="1791"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261"/>
      <c r="Q11" s="1791" t="str">
        <f t="shared" si="6"/>
        <v>容积率</v>
      </c>
      <c r="R11" s="768" t="s">
        <v>21</v>
      </c>
      <c r="S11" s="769" t="e">
        <f t="shared" si="0"/>
        <v>#N/A</v>
      </c>
      <c r="T11" s="768" t="s">
        <v>21</v>
      </c>
      <c r="U11" s="769" t="e">
        <f t="shared" si="1"/>
        <v>#N/A</v>
      </c>
      <c r="V11" s="768" t="s">
        <v>21</v>
      </c>
      <c r="W11" s="769" t="e">
        <f t="shared" si="2"/>
        <v>#N/A</v>
      </c>
      <c r="X11" s="770"/>
      <c r="Y11" s="3101"/>
      <c r="Z11" s="55" t="str">
        <f t="shared" si="7"/>
        <v>容积率</v>
      </c>
      <c r="AA11" s="771" t="e">
        <f t="shared" si="3"/>
        <v>#N/A</v>
      </c>
      <c r="AB11" s="771" t="e">
        <f t="shared" si="4"/>
        <v>#N/A</v>
      </c>
      <c r="AC11" s="771" t="e">
        <f t="shared" si="5"/>
        <v>#N/A</v>
      </c>
    </row>
    <row r="12" spans="1:29" s="116" customFormat="1" ht="15">
      <c r="A12" s="430"/>
      <c r="B12" s="2592">
        <v>111</v>
      </c>
      <c r="C12" s="431"/>
      <c r="D12" s="432">
        <v>100</v>
      </c>
      <c r="E12" s="431"/>
      <c r="F12" s="424">
        <f>SUMIF(70:70,E12,71:71)-SUMIF(70:70,C12,71:71)+100</f>
        <v>100</v>
      </c>
      <c r="G12" s="431"/>
      <c r="H12" s="135">
        <f>SUMIF(70:70,G12,71:71)-SUMIF(70:70,C12,71:71)+100</f>
        <v>100</v>
      </c>
      <c r="I12" s="431"/>
      <c r="J12" s="135">
        <f>SUMIF(70:70,I12,71:71)-SUMIF(70:70,C12,71:71)+100</f>
        <v>100</v>
      </c>
      <c r="K12" s="2593"/>
      <c r="L12" s="1128"/>
      <c r="M12" s="1129"/>
      <c r="N12" s="1129"/>
      <c r="O12" s="1129"/>
      <c r="P12" s="3261"/>
      <c r="Q12" s="1791">
        <f t="shared" si="6"/>
        <v>111</v>
      </c>
      <c r="R12" s="768" t="s">
        <v>21</v>
      </c>
      <c r="S12" s="769">
        <f t="shared" si="0"/>
        <v>100</v>
      </c>
      <c r="T12" s="768" t="s">
        <v>21</v>
      </c>
      <c r="U12" s="769">
        <f t="shared" si="1"/>
        <v>100</v>
      </c>
      <c r="V12" s="768" t="s">
        <v>21</v>
      </c>
      <c r="W12" s="769">
        <f t="shared" si="2"/>
        <v>100</v>
      </c>
      <c r="X12" s="770"/>
      <c r="Y12" s="3101"/>
      <c r="Z12" s="55">
        <f t="shared" si="7"/>
        <v>111</v>
      </c>
      <c r="AA12" s="771">
        <f>D12/F12</f>
        <v>1</v>
      </c>
      <c r="AB12" s="771">
        <f>D12/H12</f>
        <v>1</v>
      </c>
      <c r="AC12" s="771">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6"/>
      <c r="M13" s="1127"/>
      <c r="N13" s="1127"/>
      <c r="O13" s="1127"/>
      <c r="P13" s="3261"/>
      <c r="Q13" s="1791">
        <f t="shared" si="6"/>
        <v>111</v>
      </c>
      <c r="R13" s="768" t="s">
        <v>21</v>
      </c>
      <c r="S13" s="769">
        <f t="shared" si="0"/>
        <v>100</v>
      </c>
      <c r="T13" s="768" t="s">
        <v>21</v>
      </c>
      <c r="U13" s="769">
        <f t="shared" si="1"/>
        <v>100</v>
      </c>
      <c r="V13" s="768" t="s">
        <v>21</v>
      </c>
      <c r="W13" s="769">
        <f t="shared" si="2"/>
        <v>100</v>
      </c>
      <c r="X13" s="770"/>
      <c r="Y13" s="3101"/>
      <c r="Z13" s="55">
        <f t="shared" si="7"/>
        <v>111</v>
      </c>
      <c r="AA13" s="771">
        <f t="shared" si="3"/>
        <v>1</v>
      </c>
      <c r="AB13" s="771">
        <f t="shared" si="4"/>
        <v>1</v>
      </c>
      <c r="AC13" s="771">
        <f t="shared" si="5"/>
        <v>1</v>
      </c>
    </row>
    <row r="14" spans="1:29" ht="15.75"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6"/>
      <c r="M14" s="1127"/>
      <c r="N14" s="1127"/>
      <c r="O14" s="1127"/>
      <c r="P14" s="3261"/>
      <c r="Q14" s="1791">
        <f t="shared" si="6"/>
        <v>111</v>
      </c>
      <c r="R14" s="768" t="s">
        <v>21</v>
      </c>
      <c r="S14" s="769">
        <f t="shared" si="0"/>
        <v>100</v>
      </c>
      <c r="T14" s="768" t="s">
        <v>21</v>
      </c>
      <c r="U14" s="769">
        <f t="shared" si="1"/>
        <v>100</v>
      </c>
      <c r="V14" s="768" t="s">
        <v>21</v>
      </c>
      <c r="W14" s="769">
        <f t="shared" si="2"/>
        <v>100</v>
      </c>
      <c r="X14" s="770"/>
      <c r="Y14" s="3101"/>
      <c r="Z14" s="55">
        <f t="shared" si="7"/>
        <v>111</v>
      </c>
      <c r="AA14" s="771">
        <f t="shared" si="3"/>
        <v>1</v>
      </c>
      <c r="AB14" s="771">
        <f t="shared" si="4"/>
        <v>1</v>
      </c>
      <c r="AC14" s="771">
        <f t="shared" si="5"/>
        <v>1</v>
      </c>
    </row>
    <row r="15" spans="1:29" ht="15">
      <c r="A15" s="439" t="s">
        <v>2552</v>
      </c>
      <c r="B15" s="68" t="s">
        <v>2085</v>
      </c>
      <c r="C15" s="2595">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281" t="s">
        <v>2553</v>
      </c>
      <c r="Q15" s="1806" t="str">
        <f t="shared" si="6"/>
        <v>居住社区成熟度</v>
      </c>
      <c r="R15" s="772" t="s">
        <v>21</v>
      </c>
      <c r="S15" s="773">
        <f t="shared" si="0"/>
        <v>100</v>
      </c>
      <c r="T15" s="772" t="s">
        <v>21</v>
      </c>
      <c r="U15" s="773">
        <f t="shared" si="1"/>
        <v>100</v>
      </c>
      <c r="V15" s="772" t="s">
        <v>21</v>
      </c>
      <c r="W15" s="773">
        <f t="shared" si="2"/>
        <v>100</v>
      </c>
      <c r="X15" s="1809"/>
      <c r="Y15" s="3283" t="s">
        <v>2553</v>
      </c>
      <c r="Z15" s="1810" t="str">
        <f t="shared" si="7"/>
        <v>居住社区成熟度</v>
      </c>
      <c r="AA15" s="1807">
        <f t="shared" si="3"/>
        <v>1</v>
      </c>
      <c r="AB15" s="1807">
        <f t="shared" si="4"/>
        <v>1</v>
      </c>
      <c r="AC15" s="1807">
        <f t="shared" si="5"/>
        <v>1</v>
      </c>
    </row>
    <row r="16" spans="1:29" ht="15">
      <c r="A16" s="427"/>
      <c r="B16" s="445"/>
      <c r="C16" s="446"/>
      <c r="D16" s="447"/>
      <c r="E16" s="2596"/>
      <c r="F16" s="447"/>
      <c r="G16" s="2597"/>
      <c r="H16" s="449"/>
      <c r="I16" s="2597"/>
      <c r="J16" s="447"/>
      <c r="K16" s="2598"/>
      <c r="L16" s="1136"/>
      <c r="M16" s="1127"/>
      <c r="N16" s="1127"/>
      <c r="O16" s="1127"/>
      <c r="P16" s="3282"/>
      <c r="Q16" s="1806"/>
      <c r="R16" s="772"/>
      <c r="S16" s="773"/>
      <c r="T16" s="772"/>
      <c r="U16" s="773"/>
      <c r="V16" s="772"/>
      <c r="W16" s="773"/>
      <c r="X16" s="1809"/>
      <c r="Y16" s="3284"/>
      <c r="Z16" s="1810"/>
      <c r="AA16" s="1807">
        <v>1</v>
      </c>
      <c r="AB16" s="1807">
        <v>1</v>
      </c>
      <c r="AC16" s="1807">
        <v>1</v>
      </c>
    </row>
    <row r="17" spans="1:29" ht="99.75">
      <c r="A17" s="427"/>
      <c r="B17" s="450" t="s">
        <v>2091</v>
      </c>
      <c r="C17" s="2599" t="str">
        <f>估价对象房地状况!C6</f>
        <v>估价对象周边道路状况、周边有24、106、117路及地铁2号、13号、机场线，综合评价交通便捷度好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282"/>
      <c r="Q17" s="1806" t="str">
        <f>B17</f>
        <v>交通便捷度</v>
      </c>
      <c r="R17" s="772" t="s">
        <v>21</v>
      </c>
      <c r="S17" s="773">
        <f>F17</f>
        <v>100</v>
      </c>
      <c r="T17" s="772" t="s">
        <v>21</v>
      </c>
      <c r="U17" s="773">
        <f>H17</f>
        <v>100</v>
      </c>
      <c r="V17" s="772" t="s">
        <v>21</v>
      </c>
      <c r="W17" s="773">
        <f>J17</f>
        <v>100</v>
      </c>
      <c r="X17" s="1809"/>
      <c r="Y17" s="3284"/>
      <c r="Z17" s="1810" t="str">
        <f>Q17</f>
        <v>交通便捷度</v>
      </c>
      <c r="AA17" s="1807">
        <f t="shared" si="3"/>
        <v>1</v>
      </c>
      <c r="AB17" s="1807">
        <f t="shared" si="4"/>
        <v>1</v>
      </c>
      <c r="AC17" s="1807">
        <f t="shared" si="5"/>
        <v>1</v>
      </c>
    </row>
    <row r="18" spans="1:29" ht="15">
      <c r="A18" s="427"/>
      <c r="B18" s="455"/>
      <c r="C18" s="2600"/>
      <c r="D18" s="449"/>
      <c r="E18" s="2601"/>
      <c r="F18" s="449"/>
      <c r="G18" s="2602"/>
      <c r="H18" s="447"/>
      <c r="I18" s="2602"/>
      <c r="J18" s="447"/>
      <c r="K18" s="2598"/>
      <c r="L18" s="1136"/>
      <c r="M18" s="1127"/>
      <c r="N18" s="1127"/>
      <c r="O18" s="1127"/>
      <c r="P18" s="3282"/>
      <c r="Q18" s="1806"/>
      <c r="R18" s="772"/>
      <c r="S18" s="773"/>
      <c r="T18" s="772"/>
      <c r="U18" s="773"/>
      <c r="V18" s="772"/>
      <c r="W18" s="773"/>
      <c r="X18" s="1809"/>
      <c r="Y18" s="3284"/>
      <c r="Z18" s="1810"/>
      <c r="AA18" s="1807">
        <v>1</v>
      </c>
      <c r="AB18" s="1807">
        <v>1</v>
      </c>
      <c r="AC18" s="1807">
        <v>1</v>
      </c>
    </row>
    <row r="19" spans="1:29" ht="71.25">
      <c r="A19" s="427"/>
      <c r="B19" s="450" t="s">
        <v>2090</v>
      </c>
      <c r="C19" s="2599" t="str">
        <f>估价对象房地状况!C7</f>
        <v>周边有银行、购物场所、餐饮等配套设施，公共服务设施状况较好。</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282"/>
      <c r="Q19" s="1806" t="str">
        <f>B19</f>
        <v>公共配套设施</v>
      </c>
      <c r="R19" s="772" t="s">
        <v>21</v>
      </c>
      <c r="S19" s="773">
        <f>F19</f>
        <v>100</v>
      </c>
      <c r="T19" s="772" t="s">
        <v>21</v>
      </c>
      <c r="U19" s="773">
        <f>H19</f>
        <v>100</v>
      </c>
      <c r="V19" s="772" t="s">
        <v>21</v>
      </c>
      <c r="W19" s="773">
        <f>J19</f>
        <v>100</v>
      </c>
      <c r="X19" s="1809"/>
      <c r="Y19" s="3284"/>
      <c r="Z19" s="1810" t="str">
        <f>Q19</f>
        <v>公共配套设施</v>
      </c>
      <c r="AA19" s="1807">
        <f t="shared" si="3"/>
        <v>1</v>
      </c>
      <c r="AB19" s="1807">
        <f t="shared" si="4"/>
        <v>1</v>
      </c>
      <c r="AC19" s="1807">
        <f t="shared" si="5"/>
        <v>1</v>
      </c>
    </row>
    <row r="20" spans="1:29" ht="15">
      <c r="A20" s="427"/>
      <c r="B20" s="455"/>
      <c r="C20" s="446"/>
      <c r="D20" s="447"/>
      <c r="E20" s="2596"/>
      <c r="F20" s="447"/>
      <c r="G20" s="2597"/>
      <c r="H20" s="447"/>
      <c r="I20" s="2597"/>
      <c r="J20" s="447"/>
      <c r="K20" s="2598"/>
      <c r="L20" s="1136"/>
      <c r="M20" s="1127"/>
      <c r="N20" s="1127"/>
      <c r="O20" s="1127"/>
      <c r="P20" s="3282"/>
      <c r="Q20" s="1806"/>
      <c r="R20" s="772"/>
      <c r="S20" s="773"/>
      <c r="T20" s="772"/>
      <c r="U20" s="773"/>
      <c r="V20" s="772"/>
      <c r="W20" s="773"/>
      <c r="X20" s="1809"/>
      <c r="Y20" s="3284"/>
      <c r="Z20" s="1810"/>
      <c r="AA20" s="1807">
        <v>1</v>
      </c>
      <c r="AB20" s="1807">
        <v>1</v>
      </c>
      <c r="AC20" s="1807">
        <v>1</v>
      </c>
    </row>
    <row r="21" spans="1:29" ht="15">
      <c r="A21" s="427"/>
      <c r="B21" s="1380" t="s">
        <v>2092</v>
      </c>
      <c r="C21" s="2599"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282"/>
      <c r="Q21" s="1806" t="str">
        <f>B21</f>
        <v>基础设施水平</v>
      </c>
      <c r="R21" s="772" t="s">
        <v>17</v>
      </c>
      <c r="S21" s="773">
        <f>F21</f>
        <v>100</v>
      </c>
      <c r="T21" s="772" t="s">
        <v>17</v>
      </c>
      <c r="U21" s="773">
        <f>H21</f>
        <v>100</v>
      </c>
      <c r="V21" s="772" t="s">
        <v>17</v>
      </c>
      <c r="W21" s="773">
        <f>J21</f>
        <v>100</v>
      </c>
      <c r="X21" s="1809"/>
      <c r="Y21" s="3284"/>
      <c r="Z21" s="1810" t="str">
        <f>Q21</f>
        <v>基础设施水平</v>
      </c>
      <c r="AA21" s="1807">
        <f t="shared" ref="AA21" si="8">D21/F21</f>
        <v>1</v>
      </c>
      <c r="AB21" s="1807">
        <f t="shared" ref="AB21" si="9">D21/H21</f>
        <v>1</v>
      </c>
      <c r="AC21" s="1807">
        <f t="shared" ref="AC21" si="10">D21/J21</f>
        <v>1</v>
      </c>
    </row>
    <row r="22" spans="1:29" ht="15">
      <c r="A22" s="427"/>
      <c r="B22" s="1380"/>
      <c r="C22" s="2600"/>
      <c r="D22" s="447"/>
      <c r="E22" s="446"/>
      <c r="F22" s="447"/>
      <c r="G22" s="2603"/>
      <c r="H22" s="447"/>
      <c r="I22" s="446"/>
      <c r="J22" s="447"/>
      <c r="K22" s="2604"/>
      <c r="L22" s="1136"/>
      <c r="M22" s="1127"/>
      <c r="N22" s="1127"/>
      <c r="O22" s="1127"/>
      <c r="P22" s="3282"/>
      <c r="Q22" s="1806"/>
      <c r="R22" s="772"/>
      <c r="S22" s="773"/>
      <c r="T22" s="772"/>
      <c r="U22" s="773"/>
      <c r="V22" s="772"/>
      <c r="W22" s="773"/>
      <c r="X22" s="1809"/>
      <c r="Y22" s="3284"/>
      <c r="Z22" s="1810"/>
      <c r="AA22" s="1807">
        <v>1</v>
      </c>
      <c r="AB22" s="1807">
        <v>1</v>
      </c>
      <c r="AC22" s="1807">
        <v>1</v>
      </c>
    </row>
    <row r="23" spans="1:29" ht="99.75">
      <c r="A23" s="427"/>
      <c r="B23" s="450" t="s">
        <v>2094</v>
      </c>
      <c r="C23" s="2599" t="str">
        <f>估价对象房地状况!C9</f>
        <v>区域自然环境：南馆公园、工人体育馆；人文环境：保利艺术博物馆、自来水博物馆；综合评价环境状况较好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282"/>
      <c r="Q23" s="1806" t="str">
        <f>B23</f>
        <v>自然及人文环境</v>
      </c>
      <c r="R23" s="772" t="s">
        <v>21</v>
      </c>
      <c r="S23" s="773">
        <f>F23</f>
        <v>100</v>
      </c>
      <c r="T23" s="772" t="s">
        <v>21</v>
      </c>
      <c r="U23" s="773">
        <f>H23</f>
        <v>100</v>
      </c>
      <c r="V23" s="772" t="s">
        <v>21</v>
      </c>
      <c r="W23" s="773">
        <f>J23</f>
        <v>100</v>
      </c>
      <c r="X23" s="1809"/>
      <c r="Y23" s="3284"/>
      <c r="Z23" s="1810" t="str">
        <f>Q23</f>
        <v>自然及人文环境</v>
      </c>
      <c r="AA23" s="1807">
        <f>D23/F23</f>
        <v>1</v>
      </c>
      <c r="AB23" s="1807">
        <f>D23/H23</f>
        <v>1</v>
      </c>
      <c r="AC23" s="1807">
        <f>D23/J23</f>
        <v>1</v>
      </c>
    </row>
    <row r="24" spans="1:29" ht="15">
      <c r="A24" s="427"/>
      <c r="B24" s="455"/>
      <c r="C24" s="446"/>
      <c r="D24" s="447"/>
      <c r="E24" s="2596"/>
      <c r="F24" s="447"/>
      <c r="G24" s="2597"/>
      <c r="H24" s="447"/>
      <c r="I24" s="2597"/>
      <c r="J24" s="447"/>
      <c r="K24" s="2598"/>
      <c r="L24" s="1136"/>
      <c r="M24" s="1127"/>
      <c r="N24" s="1127"/>
      <c r="O24" s="1127"/>
      <c r="P24" s="3282"/>
      <c r="Q24" s="1806"/>
      <c r="R24" s="772"/>
      <c r="S24" s="773"/>
      <c r="T24" s="772"/>
      <c r="U24" s="773"/>
      <c r="V24" s="772"/>
      <c r="W24" s="773"/>
      <c r="X24" s="1809"/>
      <c r="Y24" s="3284"/>
      <c r="Z24" s="1810"/>
      <c r="AA24" s="1807">
        <v>1</v>
      </c>
      <c r="AB24" s="1807">
        <v>1</v>
      </c>
      <c r="AC24" s="1807">
        <v>1</v>
      </c>
    </row>
    <row r="25" spans="1:29" ht="15">
      <c r="A25" s="427"/>
      <c r="B25" s="421" t="s">
        <v>2554</v>
      </c>
      <c r="C25" s="459"/>
      <c r="D25" s="434">
        <v>100</v>
      </c>
      <c r="E25" s="2605"/>
      <c r="F25" s="434">
        <f>SUMIF(86:86,E25,87:87)-SUMIF(86:86,C25,87:87)+100</f>
        <v>100</v>
      </c>
      <c r="G25" s="2606"/>
      <c r="H25" s="434">
        <f>SUMIF(86:86,G25,87:87)-SUMIF(86:86,C25,87:87)+100</f>
        <v>100</v>
      </c>
      <c r="I25" s="2606"/>
      <c r="J25" s="434">
        <f>SUMIF(86:86,I25,87:87)-SUMIF(86:86,C25,87:87)+100</f>
        <v>100</v>
      </c>
      <c r="K25" s="425"/>
      <c r="L25" s="1136"/>
      <c r="M25" s="1127"/>
      <c r="N25" s="1127"/>
      <c r="O25" s="1127"/>
      <c r="P25" s="3282"/>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284"/>
      <c r="Z25" s="1810" t="str">
        <f>Q25</f>
        <v>楼层-1</v>
      </c>
      <c r="AA25" s="1807">
        <f t="shared" ref="AA25:AA46" si="15">D25/F25</f>
        <v>1</v>
      </c>
      <c r="AB25" s="1807">
        <f t="shared" ref="AB25:AB46" si="16">D25/H25</f>
        <v>1</v>
      </c>
      <c r="AC25" s="1807">
        <f t="shared" ref="AC25:AC46" si="17">D25/J25</f>
        <v>1</v>
      </c>
    </row>
    <row r="26" spans="1:29" ht="15">
      <c r="A26" s="427"/>
      <c r="B26" s="421" t="s">
        <v>2555</v>
      </c>
      <c r="C26" s="459"/>
      <c r="D26" s="434">
        <v>100</v>
      </c>
      <c r="E26" s="2605"/>
      <c r="F26" s="434">
        <f>SUMIF(88:88,E26,89:89)-SUMIF(88:88,C26,89:89)+100</f>
        <v>100</v>
      </c>
      <c r="G26" s="2606"/>
      <c r="H26" s="434">
        <f>SUMIF(88:88,G26,89:89)-SUMIF(88:88,C26,89:89)+100</f>
        <v>100</v>
      </c>
      <c r="I26" s="2606"/>
      <c r="J26" s="434">
        <f>SUMIF(88:88,I26,89:89)-SUMIF(88:88,C26,89:89)+100</f>
        <v>100</v>
      </c>
      <c r="K26" s="425"/>
      <c r="L26" s="1136"/>
      <c r="M26" s="1127"/>
      <c r="N26" s="1127"/>
      <c r="O26" s="1127"/>
      <c r="P26" s="3282"/>
      <c r="Q26" s="1806" t="str">
        <f t="shared" si="11"/>
        <v>朝向</v>
      </c>
      <c r="R26" s="772" t="s">
        <v>21</v>
      </c>
      <c r="S26" s="773">
        <f t="shared" si="12"/>
        <v>100</v>
      </c>
      <c r="T26" s="772" t="s">
        <v>21</v>
      </c>
      <c r="U26" s="773">
        <f t="shared" si="13"/>
        <v>100</v>
      </c>
      <c r="V26" s="772" t="s">
        <v>21</v>
      </c>
      <c r="W26" s="773">
        <f t="shared" si="14"/>
        <v>100</v>
      </c>
      <c r="X26" s="1809"/>
      <c r="Y26" s="3284"/>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3"/>
      <c r="L27" s="1128"/>
      <c r="M27" s="1129"/>
      <c r="N27" s="1129"/>
      <c r="O27" s="1129"/>
      <c r="P27" s="3282"/>
      <c r="Q27" s="1791">
        <f t="shared" si="11"/>
        <v>111</v>
      </c>
      <c r="R27" s="768" t="s">
        <v>21</v>
      </c>
      <c r="S27" s="769">
        <f t="shared" si="12"/>
        <v>100</v>
      </c>
      <c r="T27" s="768" t="s">
        <v>21</v>
      </c>
      <c r="U27" s="769">
        <f t="shared" si="13"/>
        <v>100</v>
      </c>
      <c r="V27" s="768" t="s">
        <v>21</v>
      </c>
      <c r="W27" s="769">
        <f t="shared" si="14"/>
        <v>100</v>
      </c>
      <c r="X27" s="770"/>
      <c r="Y27" s="3284"/>
      <c r="Z27" s="55">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7"/>
      <c r="H28" s="434">
        <f>SUMIF(92:92,G28,93:93)-SUMIF(92:92,C28,93:93)+100</f>
        <v>100</v>
      </c>
      <c r="I28" s="433"/>
      <c r="J28" s="434">
        <f>SUMIF(92:92,I28,93:93)-SUMIF(92:92,C28,93:93)+100</f>
        <v>100</v>
      </c>
      <c r="K28" s="2593"/>
      <c r="L28" s="1136"/>
      <c r="M28" s="1127"/>
      <c r="N28" s="1127"/>
      <c r="O28" s="1127"/>
      <c r="P28" s="3282"/>
      <c r="Q28" s="1806">
        <f t="shared" si="11"/>
        <v>111</v>
      </c>
      <c r="R28" s="772" t="s">
        <v>21</v>
      </c>
      <c r="S28" s="773">
        <f t="shared" si="12"/>
        <v>100</v>
      </c>
      <c r="T28" s="772" t="s">
        <v>21</v>
      </c>
      <c r="U28" s="773">
        <f t="shared" si="13"/>
        <v>100</v>
      </c>
      <c r="V28" s="772" t="s">
        <v>21</v>
      </c>
      <c r="W28" s="773">
        <f t="shared" si="14"/>
        <v>100</v>
      </c>
      <c r="X28" s="1809"/>
      <c r="Y28" s="3284"/>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7"/>
      <c r="H29" s="434">
        <f>SUMIF(94:94,G29,95:95)-SUMIF(94:94,C29,95:95)+100</f>
        <v>100</v>
      </c>
      <c r="I29" s="433"/>
      <c r="J29" s="434">
        <f>SUMIF(94:94,I29,95:95)-SUMIF(94:94,C29,95:95)+100</f>
        <v>100</v>
      </c>
      <c r="K29" s="2593"/>
      <c r="L29" s="1136"/>
      <c r="M29" s="1127"/>
      <c r="N29" s="1127"/>
      <c r="O29" s="1127"/>
      <c r="P29" s="3282"/>
      <c r="Q29" s="1806">
        <f t="shared" si="11"/>
        <v>111</v>
      </c>
      <c r="R29" s="772" t="s">
        <v>21</v>
      </c>
      <c r="S29" s="773">
        <f t="shared" si="12"/>
        <v>100</v>
      </c>
      <c r="T29" s="772" t="s">
        <v>21</v>
      </c>
      <c r="U29" s="773">
        <f t="shared" si="13"/>
        <v>100</v>
      </c>
      <c r="V29" s="772" t="s">
        <v>21</v>
      </c>
      <c r="W29" s="773">
        <f t="shared" si="14"/>
        <v>100</v>
      </c>
      <c r="X29" s="1809"/>
      <c r="Y29" s="3284"/>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7"/>
      <c r="H30" s="434">
        <f>SUMIF(96:96,G30,97:97)-SUMIF(96:96,C30,97:97)+100</f>
        <v>100</v>
      </c>
      <c r="I30" s="433"/>
      <c r="J30" s="434">
        <f>SUMIF(96:96,I30,97:97)-SUMIF(96:96,C30,97:97)+100</f>
        <v>100</v>
      </c>
      <c r="K30" s="2593"/>
      <c r="L30" s="1136"/>
      <c r="M30" s="1127"/>
      <c r="N30" s="1127"/>
      <c r="O30" s="1127"/>
      <c r="P30" s="3282"/>
      <c r="Q30" s="1806">
        <f t="shared" si="11"/>
        <v>111</v>
      </c>
      <c r="R30" s="772" t="s">
        <v>21</v>
      </c>
      <c r="S30" s="773">
        <f t="shared" si="12"/>
        <v>100</v>
      </c>
      <c r="T30" s="772" t="s">
        <v>21</v>
      </c>
      <c r="U30" s="773">
        <f t="shared" si="13"/>
        <v>100</v>
      </c>
      <c r="V30" s="772" t="s">
        <v>21</v>
      </c>
      <c r="W30" s="773">
        <f t="shared" si="14"/>
        <v>100</v>
      </c>
      <c r="X30" s="1809"/>
      <c r="Y30" s="3284"/>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08"/>
      <c r="H31" s="437">
        <f>SUMIF(98:98,G31,99:99)-SUMIF(98:98,C31,99:99)+100</f>
        <v>100</v>
      </c>
      <c r="I31" s="436"/>
      <c r="J31" s="437">
        <f>SUMIF(98:98,I31,99:99)-SUMIF(98:98,C31,99:99)+100</f>
        <v>100</v>
      </c>
      <c r="K31" s="2593"/>
      <c r="L31" s="1136"/>
      <c r="M31" s="1127"/>
      <c r="N31" s="1127"/>
      <c r="O31" s="1127"/>
      <c r="P31" s="3282"/>
      <c r="Q31" s="1806">
        <f t="shared" si="11"/>
        <v>111</v>
      </c>
      <c r="R31" s="772" t="s">
        <v>21</v>
      </c>
      <c r="S31" s="773">
        <f t="shared" si="12"/>
        <v>100</v>
      </c>
      <c r="T31" s="772" t="s">
        <v>21</v>
      </c>
      <c r="U31" s="773">
        <f t="shared" si="13"/>
        <v>100</v>
      </c>
      <c r="V31" s="772" t="s">
        <v>21</v>
      </c>
      <c r="W31" s="773">
        <f t="shared" si="14"/>
        <v>100</v>
      </c>
      <c r="X31" s="1809"/>
      <c r="Y31" s="3284"/>
      <c r="Z31" s="1810">
        <f t="shared" si="18"/>
        <v>111</v>
      </c>
      <c r="AA31" s="1807">
        <f t="shared" si="15"/>
        <v>1</v>
      </c>
      <c r="AB31" s="1807">
        <f t="shared" si="16"/>
        <v>1</v>
      </c>
      <c r="AC31" s="1807">
        <f t="shared" si="17"/>
        <v>1</v>
      </c>
    </row>
    <row r="32" spans="1:29" ht="15">
      <c r="A32" s="439" t="s">
        <v>2556</v>
      </c>
      <c r="B32" s="70" t="s">
        <v>2557</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6"/>
      <c r="M32" s="1127"/>
      <c r="N32" s="1127"/>
      <c r="O32" s="1127"/>
      <c r="P32" s="3285" t="s">
        <v>2558</v>
      </c>
      <c r="Q32" s="1806" t="str">
        <f t="shared" si="11"/>
        <v>建筑类型</v>
      </c>
      <c r="R32" s="772" t="s">
        <v>21</v>
      </c>
      <c r="S32" s="773">
        <f t="shared" si="12"/>
        <v>100</v>
      </c>
      <c r="T32" s="772" t="s">
        <v>21</v>
      </c>
      <c r="U32" s="773">
        <f t="shared" si="13"/>
        <v>100</v>
      </c>
      <c r="V32" s="772" t="s">
        <v>21</v>
      </c>
      <c r="W32" s="773">
        <f t="shared" si="14"/>
        <v>100</v>
      </c>
      <c r="X32" s="1809"/>
      <c r="Y32" s="3288" t="s">
        <v>2558</v>
      </c>
      <c r="Z32" s="1810" t="str">
        <f t="shared" si="18"/>
        <v>建筑类型</v>
      </c>
      <c r="AA32" s="1807">
        <f t="shared" si="15"/>
        <v>1</v>
      </c>
      <c r="AB32" s="1807">
        <f t="shared" si="16"/>
        <v>1</v>
      </c>
      <c r="AC32" s="1807">
        <f t="shared" si="17"/>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3"/>
      <c r="L33" s="1134"/>
      <c r="M33" s="1137"/>
      <c r="N33" s="1137"/>
      <c r="O33" s="1137"/>
      <c r="P33" s="3286"/>
      <c r="Q33" s="774" t="str">
        <f t="shared" si="11"/>
        <v>项目建筑规模</v>
      </c>
      <c r="R33" s="775" t="s">
        <v>21</v>
      </c>
      <c r="S33" s="776" t="e">
        <f t="shared" si="12"/>
        <v>#N/A</v>
      </c>
      <c r="T33" s="775" t="s">
        <v>21</v>
      </c>
      <c r="U33" s="776" t="e">
        <f t="shared" si="13"/>
        <v>#N/A</v>
      </c>
      <c r="V33" s="775" t="s">
        <v>21</v>
      </c>
      <c r="W33" s="776" t="e">
        <f t="shared" si="14"/>
        <v>#N/A</v>
      </c>
      <c r="X33" s="777"/>
      <c r="Y33" s="3288"/>
      <c r="Z33" s="778" t="str">
        <f t="shared" si="18"/>
        <v>项目建筑规模</v>
      </c>
      <c r="AA33" s="1807" t="e">
        <f t="shared" si="15"/>
        <v>#N/A</v>
      </c>
      <c r="AB33" s="1807" t="e">
        <f t="shared" si="16"/>
        <v>#N/A</v>
      </c>
      <c r="AC33" s="1807" t="e">
        <f t="shared" si="17"/>
        <v>#N/A</v>
      </c>
    </row>
    <row r="34" spans="1:29" ht="15">
      <c r="A34" s="471"/>
      <c r="B34" s="421" t="s">
        <v>2560</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6"/>
      <c r="M34" s="1127"/>
      <c r="N34" s="1127"/>
      <c r="O34" s="1127"/>
      <c r="P34" s="3286"/>
      <c r="Q34" s="1806" t="str">
        <f t="shared" si="11"/>
        <v>建筑结构</v>
      </c>
      <c r="R34" s="772" t="s">
        <v>21</v>
      </c>
      <c r="S34" s="773">
        <f t="shared" si="12"/>
        <v>100</v>
      </c>
      <c r="T34" s="772" t="s">
        <v>21</v>
      </c>
      <c r="U34" s="773">
        <f t="shared" si="13"/>
        <v>100</v>
      </c>
      <c r="V34" s="772" t="s">
        <v>21</v>
      </c>
      <c r="W34" s="773">
        <f t="shared" si="14"/>
        <v>100</v>
      </c>
      <c r="X34" s="1809"/>
      <c r="Y34" s="3288"/>
      <c r="Z34" s="1810" t="str">
        <f t="shared" si="18"/>
        <v>建筑结构</v>
      </c>
      <c r="AA34" s="1807">
        <f t="shared" si="15"/>
        <v>1</v>
      </c>
      <c r="AB34" s="1807">
        <f t="shared" si="16"/>
        <v>1</v>
      </c>
      <c r="AC34" s="1807">
        <f t="shared" si="17"/>
        <v>1</v>
      </c>
    </row>
    <row r="35" spans="1:29" ht="15">
      <c r="A35" s="471"/>
      <c r="B35" s="421" t="s">
        <v>2561</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6"/>
      <c r="M35" s="1127"/>
      <c r="N35" s="1127"/>
      <c r="O35" s="1127"/>
      <c r="P35" s="3286"/>
      <c r="Q35" s="1806" t="str">
        <f t="shared" si="11"/>
        <v>建筑品质</v>
      </c>
      <c r="R35" s="772" t="s">
        <v>21</v>
      </c>
      <c r="S35" s="773">
        <f t="shared" si="12"/>
        <v>100</v>
      </c>
      <c r="T35" s="772" t="s">
        <v>21</v>
      </c>
      <c r="U35" s="773">
        <f t="shared" si="13"/>
        <v>100</v>
      </c>
      <c r="V35" s="772" t="s">
        <v>21</v>
      </c>
      <c r="W35" s="773">
        <f t="shared" si="14"/>
        <v>100</v>
      </c>
      <c r="X35" s="1809"/>
      <c r="Y35" s="3288"/>
      <c r="Z35" s="1810" t="str">
        <f t="shared" si="18"/>
        <v>建筑品质</v>
      </c>
      <c r="AA35" s="1807">
        <f t="shared" si="15"/>
        <v>1</v>
      </c>
      <c r="AB35" s="1807">
        <f t="shared" si="16"/>
        <v>1</v>
      </c>
      <c r="AC35" s="1807">
        <f t="shared" si="17"/>
        <v>1</v>
      </c>
    </row>
    <row r="36" spans="1:29" ht="15">
      <c r="A36" s="471"/>
      <c r="B36" s="421" t="s">
        <v>2562</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6"/>
      <c r="M36" s="1127"/>
      <c r="N36" s="1127"/>
      <c r="O36" s="1127"/>
      <c r="P36" s="3286"/>
      <c r="Q36" s="1806" t="str">
        <f t="shared" si="11"/>
        <v>公共部分装修</v>
      </c>
      <c r="R36" s="772" t="s">
        <v>21</v>
      </c>
      <c r="S36" s="773">
        <f t="shared" si="12"/>
        <v>100</v>
      </c>
      <c r="T36" s="772" t="s">
        <v>21</v>
      </c>
      <c r="U36" s="773">
        <f t="shared" si="13"/>
        <v>100</v>
      </c>
      <c r="V36" s="772" t="s">
        <v>21</v>
      </c>
      <c r="W36" s="773">
        <f t="shared" si="14"/>
        <v>100</v>
      </c>
      <c r="X36" s="1809"/>
      <c r="Y36" s="3288"/>
      <c r="Z36" s="1810" t="str">
        <f t="shared" si="18"/>
        <v>公共部分装修</v>
      </c>
      <c r="AA36" s="1807">
        <f t="shared" si="15"/>
        <v>1</v>
      </c>
      <c r="AB36" s="1807">
        <f t="shared" si="16"/>
        <v>1</v>
      </c>
      <c r="AC36" s="1807">
        <f t="shared" si="17"/>
        <v>1</v>
      </c>
    </row>
    <row r="37" spans="1:29" s="116" customFormat="1" ht="15">
      <c r="A37" s="472"/>
      <c r="B37" s="421" t="s">
        <v>2563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286"/>
      <c r="Q37" s="1791" t="str">
        <f t="shared" si="11"/>
        <v>成新度</v>
      </c>
      <c r="R37" s="768" t="s">
        <v>21</v>
      </c>
      <c r="S37" s="769" t="e">
        <f t="shared" si="12"/>
        <v>#N/A</v>
      </c>
      <c r="T37" s="768" t="s">
        <v>21</v>
      </c>
      <c r="U37" s="769" t="e">
        <f t="shared" si="13"/>
        <v>#N/A</v>
      </c>
      <c r="V37" s="768" t="s">
        <v>21</v>
      </c>
      <c r="W37" s="769" t="e">
        <f t="shared" si="14"/>
        <v>#N/A</v>
      </c>
      <c r="X37" s="770"/>
      <c r="Y37" s="3288"/>
      <c r="Z37" s="55" t="str">
        <f t="shared" si="18"/>
        <v>成新度</v>
      </c>
      <c r="AA37" s="771" t="e">
        <f t="shared" si="15"/>
        <v>#N/A</v>
      </c>
      <c r="AB37" s="771" t="e">
        <f t="shared" si="16"/>
        <v>#N/A</v>
      </c>
      <c r="AC37" s="771" t="e">
        <f t="shared" si="17"/>
        <v>#N/A</v>
      </c>
    </row>
    <row r="38" spans="1:29" ht="15">
      <c r="A38" s="471"/>
      <c r="B38" s="421" t="s">
        <v>2564</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6"/>
      <c r="M38" s="1127"/>
      <c r="N38" s="1127"/>
      <c r="O38" s="1127"/>
      <c r="P38" s="3286" t="s">
        <v>2558</v>
      </c>
      <c r="Q38" s="1806" t="str">
        <f t="shared" si="11"/>
        <v>物业管理</v>
      </c>
      <c r="R38" s="772" t="s">
        <v>21</v>
      </c>
      <c r="S38" s="773">
        <f t="shared" si="12"/>
        <v>100</v>
      </c>
      <c r="T38" s="772" t="s">
        <v>21</v>
      </c>
      <c r="U38" s="773">
        <f t="shared" si="13"/>
        <v>100</v>
      </c>
      <c r="V38" s="772" t="s">
        <v>21</v>
      </c>
      <c r="W38" s="773">
        <f t="shared" si="14"/>
        <v>100</v>
      </c>
      <c r="X38" s="1809"/>
      <c r="Y38" s="3288" t="s">
        <v>2558</v>
      </c>
      <c r="Z38" s="1810" t="str">
        <f t="shared" si="18"/>
        <v>物业管理</v>
      </c>
      <c r="AA38" s="1807">
        <f t="shared" si="15"/>
        <v>1</v>
      </c>
      <c r="AB38" s="1807">
        <f t="shared" si="16"/>
        <v>1</v>
      </c>
      <c r="AC38" s="1807">
        <f t="shared" si="17"/>
        <v>1</v>
      </c>
    </row>
    <row r="39" spans="1:29" ht="15">
      <c r="A39" s="471"/>
      <c r="B39" s="421" t="s">
        <v>2565</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6"/>
      <c r="M39" s="1127"/>
      <c r="N39" s="1127"/>
      <c r="O39" s="1127"/>
      <c r="P39" s="3286"/>
      <c r="Q39" s="1806" t="str">
        <f t="shared" si="11"/>
        <v>市政基础设施</v>
      </c>
      <c r="R39" s="772" t="s">
        <v>21</v>
      </c>
      <c r="S39" s="773">
        <f t="shared" si="12"/>
        <v>100</v>
      </c>
      <c r="T39" s="772" t="s">
        <v>21</v>
      </c>
      <c r="U39" s="773">
        <f t="shared" si="13"/>
        <v>100</v>
      </c>
      <c r="V39" s="772" t="s">
        <v>21</v>
      </c>
      <c r="W39" s="773">
        <f t="shared" si="14"/>
        <v>100</v>
      </c>
      <c r="X39" s="1809"/>
      <c r="Y39" s="3288"/>
      <c r="Z39" s="1810" t="str">
        <f t="shared" si="18"/>
        <v>市政基础设施</v>
      </c>
      <c r="AA39" s="1807">
        <f t="shared" si="15"/>
        <v>1</v>
      </c>
      <c r="AB39" s="1807">
        <f t="shared" si="16"/>
        <v>1</v>
      </c>
      <c r="AC39" s="1807">
        <f t="shared" si="17"/>
        <v>1</v>
      </c>
    </row>
    <row r="40" spans="1:29" ht="15">
      <c r="A40" s="471"/>
      <c r="B40" s="421" t="s">
        <v>2566</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6"/>
      <c r="M40" s="1127"/>
      <c r="N40" s="1127"/>
      <c r="O40" s="1127"/>
      <c r="P40" s="3286"/>
      <c r="Q40" s="1806" t="str">
        <f t="shared" si="11"/>
        <v>房型</v>
      </c>
      <c r="R40" s="772" t="s">
        <v>21</v>
      </c>
      <c r="S40" s="773">
        <f t="shared" si="12"/>
        <v>100</v>
      </c>
      <c r="T40" s="772" t="s">
        <v>21</v>
      </c>
      <c r="U40" s="773">
        <f t="shared" si="13"/>
        <v>100</v>
      </c>
      <c r="V40" s="772" t="s">
        <v>21</v>
      </c>
      <c r="W40" s="773">
        <f t="shared" si="14"/>
        <v>100</v>
      </c>
      <c r="X40" s="1809"/>
      <c r="Y40" s="3288"/>
      <c r="Z40" s="1810" t="str">
        <f t="shared" si="18"/>
        <v>房型</v>
      </c>
      <c r="AA40" s="1807">
        <f t="shared" si="15"/>
        <v>1</v>
      </c>
      <c r="AB40" s="1807">
        <f t="shared" si="16"/>
        <v>1</v>
      </c>
      <c r="AC40" s="1807">
        <f t="shared" si="17"/>
        <v>1</v>
      </c>
    </row>
    <row r="41" spans="1:29" s="470" customFormat="1" ht="28.5">
      <c r="A41" s="467"/>
      <c r="B41" s="421" t="s">
        <v>2567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3"/>
      <c r="L41" s="1134"/>
      <c r="M41" s="1137"/>
      <c r="N41" s="1137"/>
      <c r="O41" s="1137"/>
      <c r="P41" s="3286"/>
      <c r="Q41" s="774" t="str">
        <f t="shared" si="11"/>
        <v>单套/主力户型建筑面积</v>
      </c>
      <c r="R41" s="775" t="s">
        <v>21</v>
      </c>
      <c r="S41" s="776">
        <f t="shared" si="12"/>
        <v>100</v>
      </c>
      <c r="T41" s="775" t="s">
        <v>21</v>
      </c>
      <c r="U41" s="776">
        <f t="shared" si="13"/>
        <v>100</v>
      </c>
      <c r="V41" s="775" t="s">
        <v>21</v>
      </c>
      <c r="W41" s="776">
        <f t="shared" si="14"/>
        <v>100</v>
      </c>
      <c r="X41" s="777"/>
      <c r="Y41" s="3288"/>
      <c r="Z41" s="778" t="str">
        <f t="shared" si="18"/>
        <v>单套/主力户型建筑面积</v>
      </c>
      <c r="AA41" s="1807">
        <f t="shared" si="15"/>
        <v>1</v>
      </c>
      <c r="AB41" s="1807">
        <f t="shared" si="16"/>
        <v>1</v>
      </c>
      <c r="AC41" s="1807">
        <f t="shared" si="17"/>
        <v>1</v>
      </c>
    </row>
    <row r="42" spans="1:29" ht="15">
      <c r="A42" s="471"/>
      <c r="B42" s="421" t="s">
        <v>2568</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6"/>
      <c r="M42" s="1127"/>
      <c r="N42" s="1127"/>
      <c r="O42" s="1127"/>
      <c r="P42" s="3286"/>
      <c r="Q42" s="1806" t="str">
        <f t="shared" si="11"/>
        <v>内部装修</v>
      </c>
      <c r="R42" s="772" t="s">
        <v>21</v>
      </c>
      <c r="S42" s="773">
        <f t="shared" si="12"/>
        <v>100</v>
      </c>
      <c r="T42" s="772" t="s">
        <v>21</v>
      </c>
      <c r="U42" s="773">
        <f t="shared" si="13"/>
        <v>100</v>
      </c>
      <c r="V42" s="772" t="s">
        <v>21</v>
      </c>
      <c r="W42" s="773">
        <f t="shared" si="14"/>
        <v>100</v>
      </c>
      <c r="X42" s="1809"/>
      <c r="Y42" s="3288"/>
      <c r="Z42" s="1810" t="str">
        <f t="shared" si="18"/>
        <v>内部装修</v>
      </c>
      <c r="AA42" s="1807">
        <f t="shared" si="15"/>
        <v>1</v>
      </c>
      <c r="AB42" s="1807">
        <f t="shared" si="16"/>
        <v>1</v>
      </c>
      <c r="AC42" s="1807">
        <f t="shared" si="17"/>
        <v>1</v>
      </c>
    </row>
    <row r="43" spans="1:29" ht="15">
      <c r="A43" s="471"/>
      <c r="B43" s="421" t="s">
        <v>2569</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6"/>
      <c r="M43" s="1127"/>
      <c r="N43" s="1127"/>
      <c r="O43" s="1127"/>
      <c r="P43" s="3286"/>
      <c r="Q43" s="1806" t="str">
        <f t="shared" si="11"/>
        <v>内部装修维护情况</v>
      </c>
      <c r="R43" s="772" t="s">
        <v>21</v>
      </c>
      <c r="S43" s="773">
        <f t="shared" si="12"/>
        <v>100</v>
      </c>
      <c r="T43" s="772" t="s">
        <v>21</v>
      </c>
      <c r="U43" s="773">
        <f t="shared" si="13"/>
        <v>100</v>
      </c>
      <c r="V43" s="772" t="s">
        <v>21</v>
      </c>
      <c r="W43" s="773">
        <f t="shared" si="14"/>
        <v>100</v>
      </c>
      <c r="X43" s="1809"/>
      <c r="Y43" s="3288"/>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3"/>
      <c r="L44" s="1128"/>
      <c r="M44" s="1129"/>
      <c r="N44" s="1129"/>
      <c r="O44" s="1129"/>
      <c r="P44" s="3286"/>
      <c r="Q44" s="1791">
        <f t="shared" si="11"/>
        <v>111</v>
      </c>
      <c r="R44" s="768" t="s">
        <v>21</v>
      </c>
      <c r="S44" s="769">
        <f t="shared" si="12"/>
        <v>100</v>
      </c>
      <c r="T44" s="768" t="s">
        <v>21</v>
      </c>
      <c r="U44" s="769">
        <f t="shared" si="13"/>
        <v>100</v>
      </c>
      <c r="V44" s="768" t="s">
        <v>21</v>
      </c>
      <c r="W44" s="769">
        <f t="shared" si="14"/>
        <v>100</v>
      </c>
      <c r="X44" s="770"/>
      <c r="Y44" s="3288"/>
      <c r="Z44" s="55">
        <f t="shared" si="18"/>
        <v>111</v>
      </c>
      <c r="AA44" s="771">
        <f t="shared" si="15"/>
        <v>1</v>
      </c>
      <c r="AB44" s="771">
        <f t="shared" si="16"/>
        <v>1</v>
      </c>
      <c r="AC44" s="771">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6"/>
      <c r="M45" s="1127"/>
      <c r="N45" s="1127"/>
      <c r="O45" s="1127"/>
      <c r="P45" s="3286"/>
      <c r="Q45" s="1806">
        <f t="shared" si="11"/>
        <v>111</v>
      </c>
      <c r="R45" s="772" t="s">
        <v>21</v>
      </c>
      <c r="S45" s="773">
        <f t="shared" si="12"/>
        <v>100</v>
      </c>
      <c r="T45" s="772" t="s">
        <v>21</v>
      </c>
      <c r="U45" s="773">
        <f t="shared" si="13"/>
        <v>100</v>
      </c>
      <c r="V45" s="772" t="s">
        <v>21</v>
      </c>
      <c r="W45" s="773">
        <f t="shared" si="14"/>
        <v>100</v>
      </c>
      <c r="X45" s="1809"/>
      <c r="Y45" s="3288"/>
      <c r="Z45" s="1810">
        <f t="shared" si="18"/>
        <v>111</v>
      </c>
      <c r="AA45" s="1807">
        <f t="shared" si="15"/>
        <v>1</v>
      </c>
      <c r="AB45" s="1807">
        <f t="shared" si="16"/>
        <v>1</v>
      </c>
      <c r="AC45" s="1807">
        <f t="shared" si="17"/>
        <v>1</v>
      </c>
    </row>
    <row r="46" spans="1:29" ht="15.75" thickBot="1">
      <c r="A46" s="477"/>
      <c r="B46" s="259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6"/>
      <c r="M46" s="1127"/>
      <c r="N46" s="1127"/>
      <c r="O46" s="1127"/>
      <c r="P46" s="3287"/>
      <c r="Q46" s="1806">
        <f t="shared" si="11"/>
        <v>111</v>
      </c>
      <c r="R46" s="772" t="s">
        <v>20</v>
      </c>
      <c r="S46" s="773">
        <f t="shared" si="12"/>
        <v>100</v>
      </c>
      <c r="T46" s="772" t="s">
        <v>20</v>
      </c>
      <c r="U46" s="773">
        <f t="shared" si="13"/>
        <v>100</v>
      </c>
      <c r="V46" s="772" t="s">
        <v>20</v>
      </c>
      <c r="W46" s="773">
        <f t="shared" si="14"/>
        <v>100</v>
      </c>
      <c r="X46" s="1809"/>
      <c r="Y46" s="3289"/>
      <c r="Z46" s="1810">
        <f t="shared" si="18"/>
        <v>111</v>
      </c>
      <c r="AA46" s="1807">
        <f t="shared" si="15"/>
        <v>1</v>
      </c>
      <c r="AB46" s="1807">
        <f t="shared" si="16"/>
        <v>1</v>
      </c>
      <c r="AC46" s="1807">
        <f t="shared" si="17"/>
        <v>1</v>
      </c>
    </row>
    <row r="47" spans="1:29" ht="15">
      <c r="A47" s="478" t="s">
        <v>2570</v>
      </c>
      <c r="B47" s="479"/>
      <c r="C47" s="1403" t="s">
        <v>19</v>
      </c>
      <c r="D47" s="1404"/>
      <c r="E47" s="1405"/>
      <c r="F47" s="1406"/>
      <c r="G47" s="1407"/>
      <c r="H47" s="1408"/>
      <c r="I47" s="1405"/>
      <c r="J47" s="1408"/>
      <c r="K47" s="2613"/>
      <c r="L47" s="1139"/>
      <c r="M47" s="1140"/>
      <c r="N47" s="1127"/>
      <c r="O47" s="1140"/>
      <c r="P47" s="3290" t="str">
        <f>A47</f>
        <v>成交单价（元/平方米）</v>
      </c>
      <c r="Q47" s="3290"/>
      <c r="R47" s="3291">
        <f>E47</f>
        <v>0</v>
      </c>
      <c r="S47" s="3291"/>
      <c r="T47" s="3291">
        <f>G47</f>
        <v>0</v>
      </c>
      <c r="U47" s="3291"/>
      <c r="V47" s="3291">
        <f>I47</f>
        <v>0</v>
      </c>
      <c r="W47" s="3291"/>
      <c r="X47" s="757"/>
      <c r="Y47" s="779"/>
      <c r="Z47" s="757"/>
      <c r="AA47" s="757"/>
      <c r="AB47" s="757"/>
      <c r="AC47" s="757"/>
    </row>
    <row r="48" spans="1:29" ht="15.75" thickBot="1">
      <c r="A48" s="485" t="s">
        <v>2571</v>
      </c>
      <c r="B48" s="486"/>
      <c r="C48" s="1409" t="e">
        <f>R49</f>
        <v>#DIV/0!</v>
      </c>
      <c r="D48" s="1410"/>
      <c r="E48" s="1411" t="e">
        <f>R48</f>
        <v>#DIV/0!</v>
      </c>
      <c r="F48" s="1411"/>
      <c r="G48" s="1409" t="e">
        <f>T48</f>
        <v>#DIV/0!</v>
      </c>
      <c r="H48" s="1410"/>
      <c r="I48" s="1411" t="e">
        <f>V48</f>
        <v>#DIV/0!</v>
      </c>
      <c r="J48" s="1410"/>
      <c r="K48" s="2614"/>
      <c r="L48" s="1139"/>
      <c r="M48" s="1140"/>
      <c r="N48" s="1140"/>
      <c r="O48" s="1140"/>
      <c r="P48" s="3290" t="str">
        <f>A48</f>
        <v>比较价值（元/平方米）</v>
      </c>
      <c r="Q48" s="3290"/>
      <c r="R48" s="3291" t="e">
        <f>IF(F1="售价",ROUND(PRODUCT(R47,AA7:AA46),0),ROUND(PRODUCT(R47,AA7:AA46),1))</f>
        <v>#DIV/0!</v>
      </c>
      <c r="S48" s="3291"/>
      <c r="T48" s="3291" t="e">
        <f>IF(F1="售价",ROUND(PRODUCT(T47,AB7:AB46),0),ROUND(PRODUCT(T47,AB7:AB46),1))</f>
        <v>#DIV/0!</v>
      </c>
      <c r="U48" s="3291"/>
      <c r="V48" s="3291" t="e">
        <f>IF(F1="售价",ROUND(PRODUCT(V47,AC7:AC46),0),ROUND(PRODUCT(V47,AC7:AC46),1))</f>
        <v>#DIV/0!</v>
      </c>
      <c r="W48" s="3291"/>
      <c r="X48" s="757"/>
      <c r="Y48" s="757"/>
      <c r="Z48" s="757"/>
      <c r="AA48" s="757"/>
      <c r="AB48" s="757"/>
      <c r="AC48" s="757"/>
    </row>
    <row r="49" spans="1:29" ht="15.75" thickBot="1">
      <c r="A49" s="491" t="s">
        <v>2572</v>
      </c>
      <c r="B49" s="492"/>
      <c r="C49" s="1412" t="e">
        <f>R49</f>
        <v>#DIV/0!</v>
      </c>
      <c r="D49" s="1413"/>
      <c r="E49" s="1413"/>
      <c r="F49" s="1413"/>
      <c r="G49" s="1413"/>
      <c r="H49" s="1413"/>
      <c r="I49" s="1413"/>
      <c r="J49" s="1413"/>
      <c r="K49" s="2615"/>
      <c r="L49" s="1139"/>
      <c r="M49" s="1140"/>
      <c r="N49" s="1140"/>
      <c r="O49" s="1140"/>
      <c r="P49" s="3341" t="str">
        <f>A49</f>
        <v>估价对象XX用房的比较价值（楼面单价，元/平方米）</v>
      </c>
      <c r="Q49" s="3342"/>
      <c r="R49" s="3343" t="e">
        <f>IF(F1="售价",ROUND(AVERAGE(R48:V48),0),ROUND(AVERAGE(R48:V48),1))</f>
        <v>#DIV/0!</v>
      </c>
      <c r="S49" s="3343"/>
      <c r="T49" s="3343"/>
      <c r="U49" s="3343"/>
      <c r="V49" s="3343"/>
      <c r="W49" s="3343"/>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2574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2575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7"/>
    </row>
    <row r="55" spans="1:29" s="501" customFormat="1">
      <c r="A55" s="1141"/>
      <c r="B55" s="1142"/>
      <c r="C55" s="1146"/>
      <c r="D55" s="1141"/>
      <c r="E55" s="1141"/>
      <c r="F55" s="1141"/>
      <c r="G55" s="1141"/>
      <c r="H55" s="1141"/>
      <c r="I55" s="1141"/>
      <c r="J55" s="1141"/>
      <c r="K55" s="1144"/>
      <c r="L55" s="1145"/>
      <c r="M55" s="1141"/>
      <c r="N55" s="1141"/>
      <c r="O55" s="1141"/>
      <c r="P55" s="2617"/>
    </row>
    <row r="56" spans="1:29">
      <c r="A56" s="1140"/>
      <c r="B56" s="1142"/>
      <c r="C56" s="1146"/>
      <c r="D56" s="1140"/>
      <c r="E56" s="1140"/>
      <c r="F56" s="1140"/>
      <c r="G56" s="1140"/>
      <c r="H56" s="1140"/>
      <c r="I56" s="1140"/>
      <c r="J56" s="1140"/>
      <c r="K56" s="1101"/>
      <c r="L56" s="1102"/>
      <c r="M56" s="1140"/>
      <c r="N56" s="1140"/>
      <c r="O56" s="1140"/>
    </row>
    <row r="57" spans="1:29" ht="21.75" thickBot="1">
      <c r="A57" s="761" t="s">
        <v>2576</v>
      </c>
      <c r="B57" s="757"/>
      <c r="C57" s="762"/>
      <c r="D57" s="762"/>
      <c r="E57" s="762"/>
      <c r="F57" s="763"/>
      <c r="G57" s="763"/>
      <c r="H57" s="762"/>
      <c r="I57" s="762"/>
      <c r="J57" s="762"/>
      <c r="K57" s="1156"/>
      <c r="L57" s="1157"/>
      <c r="M57" s="1155"/>
      <c r="N57" s="1155"/>
      <c r="O57" s="1155"/>
      <c r="P57" s="2618"/>
      <c r="Q57" s="503"/>
    </row>
    <row r="58" spans="1:29" s="507" customFormat="1" ht="15">
      <c r="A58" s="504" t="s">
        <v>2577</v>
      </c>
      <c r="B58" s="505"/>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6" customFormat="1" ht="15">
      <c r="A59" s="508"/>
      <c r="B59" s="2619"/>
      <c r="C59" s="1569">
        <v>100</v>
      </c>
      <c r="D59" s="510"/>
      <c r="E59" s="511"/>
      <c r="F59" s="511"/>
      <c r="G59" s="511"/>
      <c r="H59" s="511"/>
      <c r="I59" s="511"/>
      <c r="J59" s="511"/>
      <c r="K59" s="511"/>
      <c r="L59" s="511"/>
      <c r="M59" s="512"/>
      <c r="N59" s="511"/>
      <c r="O59" s="512"/>
      <c r="P59" s="2620"/>
    </row>
    <row r="60" spans="1:29" s="116" customFormat="1" ht="15.75" thickBot="1">
      <c r="A60" s="514" t="s">
        <v>2578</v>
      </c>
      <c r="B60" s="515"/>
      <c r="C60" s="516"/>
      <c r="D60" s="517"/>
      <c r="E60" s="517"/>
      <c r="F60" s="517"/>
      <c r="G60" s="517"/>
      <c r="H60" s="517"/>
      <c r="I60" s="517"/>
      <c r="J60" s="517"/>
      <c r="K60" s="517"/>
      <c r="L60" s="517"/>
      <c r="M60" s="518"/>
      <c r="N60" s="517"/>
      <c r="O60" s="518"/>
      <c r="P60" s="2620"/>
      <c r="Q60" s="503"/>
    </row>
    <row r="61" spans="1:29" s="116" customFormat="1" ht="15">
      <c r="A61" s="520" t="s">
        <v>2579</v>
      </c>
      <c r="B61" s="509"/>
      <c r="C61" s="521" t="s">
        <v>2580</v>
      </c>
      <c r="D61" s="522"/>
      <c r="E61" s="522"/>
      <c r="F61" s="522"/>
      <c r="G61" s="522"/>
      <c r="H61" s="522"/>
      <c r="I61" s="522"/>
      <c r="J61" s="522"/>
      <c r="K61" s="522"/>
      <c r="L61" s="523"/>
      <c r="M61" s="524"/>
      <c r="N61" s="1147"/>
      <c r="O61" s="1147"/>
      <c r="P61" s="2621"/>
      <c r="Q61" s="503"/>
    </row>
    <row r="62" spans="1:29" s="116" customFormat="1" ht="15.75" thickBot="1">
      <c r="A62" s="520"/>
      <c r="B62" s="509"/>
      <c r="C62" s="510">
        <v>100</v>
      </c>
      <c r="D62" s="511"/>
      <c r="E62" s="511"/>
      <c r="F62" s="511"/>
      <c r="G62" s="511"/>
      <c r="H62" s="511"/>
      <c r="I62" s="511"/>
      <c r="J62" s="511"/>
      <c r="K62" s="511"/>
      <c r="L62" s="511"/>
      <c r="M62" s="513"/>
      <c r="N62" s="1147"/>
      <c r="O62" s="1147"/>
      <c r="P62" s="2620"/>
      <c r="Q62" s="503"/>
    </row>
    <row r="63" spans="1:29">
      <c r="A63" s="526" t="s">
        <v>2581</v>
      </c>
      <c r="B63" s="527" t="s">
        <v>2547</v>
      </c>
      <c r="C63" s="528">
        <f>C9</f>
        <v>0</v>
      </c>
      <c r="D63" s="529"/>
      <c r="E63" s="529"/>
      <c r="F63" s="529"/>
      <c r="G63" s="529"/>
      <c r="H63" s="529"/>
      <c r="I63" s="529"/>
      <c r="J63" s="529"/>
      <c r="K63" s="530"/>
      <c r="L63" s="531"/>
      <c r="M63" s="532"/>
      <c r="N63" s="1148"/>
      <c r="O63" s="1148"/>
      <c r="P63" s="2622"/>
      <c r="Q63" s="503"/>
    </row>
    <row r="64" spans="1:29" ht="15.75" thickBot="1">
      <c r="A64" s="533"/>
      <c r="B64" s="534"/>
      <c r="C64" s="535">
        <v>100</v>
      </c>
      <c r="D64" s="535"/>
      <c r="E64" s="535"/>
      <c r="F64" s="535"/>
      <c r="G64" s="535"/>
      <c r="H64" s="535"/>
      <c r="I64" s="535"/>
      <c r="J64" s="535"/>
      <c r="K64" s="535"/>
      <c r="L64" s="535"/>
      <c r="M64" s="536"/>
      <c r="N64" s="1149"/>
      <c r="O64" s="1149"/>
      <c r="P64" s="2622"/>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48"/>
      <c r="O65" s="1148"/>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2"/>
      <c r="Q66" s="503"/>
    </row>
    <row r="67" spans="1:17" ht="15.75" thickTop="1">
      <c r="A67" s="533"/>
      <c r="B67" s="545" t="s">
        <v>2551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2"/>
      <c r="Q67" s="503"/>
    </row>
    <row r="68" spans="1:17" ht="15">
      <c r="A68" s="533"/>
      <c r="B68" s="547"/>
      <c r="C68" s="548"/>
      <c r="D68" s="548"/>
      <c r="E68" s="548"/>
      <c r="F68" s="548"/>
      <c r="G68" s="548"/>
      <c r="H68" s="548"/>
      <c r="I68" s="548"/>
      <c r="J68" s="548"/>
      <c r="K68" s="549"/>
      <c r="L68" s="550"/>
      <c r="M68" s="551"/>
      <c r="N68" s="1148"/>
      <c r="O68" s="1148"/>
      <c r="P68" s="262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2"/>
      <c r="Q69" s="503"/>
    </row>
    <row r="70" spans="1:17" s="470" customFormat="1" ht="15.75" thickTop="1">
      <c r="A70" s="552"/>
      <c r="B70" s="537">
        <f>B12</f>
        <v>111</v>
      </c>
      <c r="C70" s="553"/>
      <c r="D70" s="553"/>
      <c r="E70" s="553"/>
      <c r="F70" s="553"/>
      <c r="G70" s="553"/>
      <c r="H70" s="554"/>
      <c r="I70" s="554"/>
      <c r="J70" s="554"/>
      <c r="K70" s="554"/>
      <c r="L70" s="555"/>
      <c r="M70" s="556"/>
      <c r="N70" s="1150"/>
      <c r="O70" s="1150"/>
      <c r="P70" s="2623"/>
      <c r="Q70" s="558"/>
    </row>
    <row r="71" spans="1:17" s="470" customFormat="1" ht="15.75" thickBot="1">
      <c r="A71" s="552"/>
      <c r="B71" s="542"/>
      <c r="C71" s="559"/>
      <c r="D71" s="535"/>
      <c r="E71" s="535"/>
      <c r="F71" s="535"/>
      <c r="G71" s="535"/>
      <c r="H71" s="535"/>
      <c r="I71" s="535"/>
      <c r="J71" s="535"/>
      <c r="K71" s="535"/>
      <c r="L71" s="535"/>
      <c r="M71" s="536"/>
      <c r="N71" s="1149"/>
      <c r="O71" s="1149"/>
      <c r="P71" s="2623"/>
      <c r="Q71" s="558"/>
    </row>
    <row r="72" spans="1:17" s="470" customFormat="1" ht="15.75" thickTop="1">
      <c r="A72" s="552"/>
      <c r="B72" s="537">
        <f>B13</f>
        <v>111</v>
      </c>
      <c r="C72" s="553"/>
      <c r="D72" s="553"/>
      <c r="E72" s="553"/>
      <c r="F72" s="553"/>
      <c r="G72" s="553"/>
      <c r="H72" s="554"/>
      <c r="I72" s="554"/>
      <c r="J72" s="554"/>
      <c r="K72" s="554"/>
      <c r="L72" s="555"/>
      <c r="M72" s="556"/>
      <c r="N72" s="1150"/>
      <c r="O72" s="1150"/>
      <c r="P72" s="2624"/>
      <c r="Q72" s="560"/>
    </row>
    <row r="73" spans="1:17" s="470" customFormat="1" ht="15.75" thickBot="1">
      <c r="A73" s="552"/>
      <c r="B73" s="542"/>
      <c r="C73" s="559"/>
      <c r="D73" s="559"/>
      <c r="E73" s="559"/>
      <c r="F73" s="559"/>
      <c r="G73" s="559"/>
      <c r="H73" s="561"/>
      <c r="I73" s="561"/>
      <c r="J73" s="561"/>
      <c r="K73" s="561"/>
      <c r="L73" s="561"/>
      <c r="M73" s="562"/>
      <c r="N73" s="1150"/>
      <c r="O73" s="1150"/>
      <c r="P73" s="2623"/>
      <c r="Q73" s="558"/>
    </row>
    <row r="74" spans="1:17" s="470" customFormat="1" ht="15.75" thickTop="1">
      <c r="A74" s="552"/>
      <c r="B74" s="545">
        <f>B14</f>
        <v>111</v>
      </c>
      <c r="C74" s="553"/>
      <c r="D74" s="553"/>
      <c r="E74" s="553"/>
      <c r="F74" s="553"/>
      <c r="G74" s="522"/>
      <c r="H74" s="563"/>
      <c r="I74" s="563"/>
      <c r="J74" s="563"/>
      <c r="K74" s="563"/>
      <c r="L74" s="564"/>
      <c r="M74" s="565"/>
      <c r="N74" s="1150"/>
      <c r="O74" s="1150"/>
      <c r="P74" s="2625"/>
      <c r="Q74" s="558"/>
    </row>
    <row r="75" spans="1:17" s="470" customFormat="1" ht="15.75" thickBot="1">
      <c r="A75" s="567"/>
      <c r="B75" s="568"/>
      <c r="C75" s="569"/>
      <c r="D75" s="569"/>
      <c r="E75" s="569"/>
      <c r="F75" s="569"/>
      <c r="G75" s="569"/>
      <c r="H75" s="570"/>
      <c r="I75" s="570"/>
      <c r="J75" s="570"/>
      <c r="K75" s="570"/>
      <c r="L75" s="570"/>
      <c r="M75" s="571"/>
      <c r="N75" s="1150"/>
      <c r="O75" s="1150"/>
      <c r="P75" s="2623"/>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48"/>
      <c r="O76" s="1148"/>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2"/>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48"/>
      <c r="O78" s="1148"/>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2"/>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48"/>
      <c r="O80" s="1148"/>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2"/>
      <c r="Q81" s="503"/>
    </row>
    <row r="82" spans="1:17" ht="15.75" thickTop="1">
      <c r="A82" s="533"/>
      <c r="B82" s="545" t="s">
        <v>2092</v>
      </c>
      <c r="C82" s="538" t="s">
        <v>2597</v>
      </c>
      <c r="D82" s="538" t="s">
        <v>2598</v>
      </c>
      <c r="E82" s="538" t="s">
        <v>2599</v>
      </c>
      <c r="F82" s="538" t="s">
        <v>2600</v>
      </c>
      <c r="G82" s="538" t="s">
        <v>2601</v>
      </c>
      <c r="H82" s="538"/>
      <c r="I82" s="538"/>
      <c r="J82" s="538"/>
      <c r="K82" s="538"/>
      <c r="L82" s="538"/>
      <c r="M82" s="1378"/>
      <c r="N82" s="1149"/>
      <c r="O82" s="1149"/>
      <c r="P82" s="262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2"/>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48"/>
      <c r="O84" s="1148"/>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2"/>
      <c r="Q85" s="503"/>
    </row>
    <row r="86" spans="1:17" s="116" customFormat="1" ht="15.75" thickTop="1">
      <c r="A86" s="578"/>
      <c r="B86" s="537" t="s">
        <v>2603</v>
      </c>
      <c r="C86" s="553"/>
      <c r="D86" s="553"/>
      <c r="E86" s="553"/>
      <c r="F86" s="553"/>
      <c r="G86" s="553"/>
      <c r="H86" s="553"/>
      <c r="I86" s="553"/>
      <c r="J86" s="553"/>
      <c r="K86" s="553"/>
      <c r="L86" s="579"/>
      <c r="M86" s="580"/>
      <c r="N86" s="1147"/>
      <c r="O86" s="1147"/>
      <c r="P86" s="262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2"/>
      <c r="Q87" s="503"/>
    </row>
    <row r="88" spans="1:17" s="116" customFormat="1" ht="15.75" thickTop="1">
      <c r="A88" s="578"/>
      <c r="B88" s="537" t="s">
        <v>2604</v>
      </c>
      <c r="C88" s="553"/>
      <c r="D88" s="553"/>
      <c r="E88" s="553"/>
      <c r="F88" s="2627"/>
      <c r="G88" s="553"/>
      <c r="H88" s="553"/>
      <c r="I88" s="553"/>
      <c r="J88" s="553"/>
      <c r="K88" s="553"/>
      <c r="L88" s="553"/>
      <c r="M88" s="580"/>
      <c r="N88" s="1147"/>
      <c r="O88" s="1147"/>
      <c r="P88" s="262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2"/>
      <c r="Q89" s="503"/>
    </row>
    <row r="90" spans="1:17" s="470" customFormat="1" ht="15.75" thickTop="1">
      <c r="A90" s="552"/>
      <c r="B90" s="537">
        <f>B27</f>
        <v>111</v>
      </c>
      <c r="C90" s="553"/>
      <c r="D90" s="553"/>
      <c r="E90" s="553"/>
      <c r="F90" s="553"/>
      <c r="G90" s="553"/>
      <c r="H90" s="554"/>
      <c r="I90" s="554"/>
      <c r="J90" s="554"/>
      <c r="K90" s="554"/>
      <c r="L90" s="555"/>
      <c r="M90" s="556"/>
      <c r="N90" s="1150"/>
      <c r="O90" s="1150"/>
      <c r="P90" s="2623"/>
      <c r="Q90" s="558"/>
    </row>
    <row r="91" spans="1:17" s="470" customFormat="1" ht="15.75" thickBot="1">
      <c r="A91" s="552"/>
      <c r="B91" s="542"/>
      <c r="C91" s="559"/>
      <c r="D91" s="559"/>
      <c r="E91" s="559"/>
      <c r="F91" s="559"/>
      <c r="G91" s="559"/>
      <c r="H91" s="561"/>
      <c r="I91" s="561"/>
      <c r="J91" s="561"/>
      <c r="K91" s="561"/>
      <c r="L91" s="561"/>
      <c r="M91" s="562"/>
      <c r="N91" s="1150"/>
      <c r="O91" s="1150"/>
      <c r="P91" s="2623"/>
      <c r="Q91" s="558"/>
    </row>
    <row r="92" spans="1:17" ht="15.75" thickTop="1">
      <c r="A92" s="533"/>
      <c r="B92" s="537">
        <f>B28</f>
        <v>111</v>
      </c>
      <c r="C92" s="553"/>
      <c r="D92" s="553"/>
      <c r="E92" s="553"/>
      <c r="F92" s="553"/>
      <c r="G92" s="582"/>
      <c r="H92" s="582"/>
      <c r="I92" s="582"/>
      <c r="J92" s="582"/>
      <c r="K92" s="583"/>
      <c r="L92" s="584"/>
      <c r="M92" s="585"/>
      <c r="N92" s="1148"/>
      <c r="O92" s="1148"/>
      <c r="P92" s="2622"/>
      <c r="Q92" s="503"/>
    </row>
    <row r="93" spans="1:17" ht="15.75" thickBot="1">
      <c r="A93" s="533"/>
      <c r="B93" s="542"/>
      <c r="C93" s="559"/>
      <c r="D93" s="535"/>
      <c r="E93" s="535"/>
      <c r="F93" s="535"/>
      <c r="G93" s="535"/>
      <c r="H93" s="535"/>
      <c r="I93" s="535"/>
      <c r="J93" s="535"/>
      <c r="K93" s="535"/>
      <c r="L93" s="535"/>
      <c r="M93" s="536"/>
      <c r="N93" s="1149"/>
      <c r="O93" s="1149"/>
      <c r="P93" s="2622"/>
      <c r="Q93" s="503"/>
    </row>
    <row r="94" spans="1:17" ht="15.75" thickTop="1">
      <c r="A94" s="533"/>
      <c r="B94" s="537">
        <f>B29</f>
        <v>111</v>
      </c>
      <c r="C94" s="553"/>
      <c r="D94" s="553"/>
      <c r="E94" s="553"/>
      <c r="F94" s="553"/>
      <c r="G94" s="582"/>
      <c r="H94" s="582"/>
      <c r="I94" s="582"/>
      <c r="J94" s="582"/>
      <c r="K94" s="583"/>
      <c r="L94" s="584"/>
      <c r="M94" s="585"/>
      <c r="N94" s="1148"/>
      <c r="O94" s="1148"/>
      <c r="P94" s="2622"/>
      <c r="Q94" s="503"/>
    </row>
    <row r="95" spans="1:17" ht="15.75" thickBot="1">
      <c r="A95" s="533"/>
      <c r="B95" s="542"/>
      <c r="C95" s="559"/>
      <c r="D95" s="559"/>
      <c r="E95" s="559"/>
      <c r="F95" s="559"/>
      <c r="G95" s="535"/>
      <c r="H95" s="535"/>
      <c r="I95" s="535"/>
      <c r="J95" s="535"/>
      <c r="K95" s="535"/>
      <c r="L95" s="535"/>
      <c r="M95" s="536"/>
      <c r="N95" s="1149"/>
      <c r="O95" s="1149"/>
      <c r="P95" s="2622"/>
      <c r="Q95" s="503"/>
    </row>
    <row r="96" spans="1:17" ht="15.75" thickTop="1">
      <c r="A96" s="533"/>
      <c r="B96" s="537">
        <f>B30</f>
        <v>111</v>
      </c>
      <c r="C96" s="553"/>
      <c r="D96" s="553"/>
      <c r="E96" s="553"/>
      <c r="F96" s="553"/>
      <c r="G96" s="582"/>
      <c r="H96" s="582"/>
      <c r="I96" s="582"/>
      <c r="J96" s="582"/>
      <c r="K96" s="583"/>
      <c r="L96" s="584"/>
      <c r="M96" s="585"/>
      <c r="N96" s="1148"/>
      <c r="O96" s="1148"/>
      <c r="P96" s="2622"/>
      <c r="Q96" s="503"/>
    </row>
    <row r="97" spans="1:17" ht="15.75" thickBot="1">
      <c r="A97" s="533"/>
      <c r="B97" s="542"/>
      <c r="C97" s="569"/>
      <c r="D97" s="569"/>
      <c r="E97" s="569"/>
      <c r="F97" s="569"/>
      <c r="G97" s="535"/>
      <c r="H97" s="535"/>
      <c r="I97" s="535"/>
      <c r="J97" s="535"/>
      <c r="K97" s="535"/>
      <c r="L97" s="535"/>
      <c r="M97" s="536"/>
      <c r="N97" s="1149"/>
      <c r="O97" s="1149"/>
      <c r="P97" s="2622"/>
      <c r="Q97" s="503"/>
    </row>
    <row r="98" spans="1:17" ht="15.75" thickTop="1">
      <c r="A98" s="533"/>
      <c r="B98" s="545">
        <f>B31</f>
        <v>111</v>
      </c>
      <c r="C98" s="586"/>
      <c r="D98" s="586"/>
      <c r="E98" s="586"/>
      <c r="F98" s="586"/>
      <c r="G98" s="586"/>
      <c r="H98" s="586"/>
      <c r="I98" s="586"/>
      <c r="J98" s="586"/>
      <c r="K98" s="587"/>
      <c r="L98" s="588"/>
      <c r="M98" s="589"/>
      <c r="N98" s="1148"/>
      <c r="O98" s="1148"/>
      <c r="P98" s="2622"/>
      <c r="Q98" s="503"/>
    </row>
    <row r="99" spans="1:17" ht="15.75" thickBot="1">
      <c r="A99" s="2628"/>
      <c r="B99" s="568"/>
      <c r="C99" s="590"/>
      <c r="D99" s="590"/>
      <c r="E99" s="590"/>
      <c r="F99" s="590"/>
      <c r="G99" s="590"/>
      <c r="H99" s="590"/>
      <c r="I99" s="590"/>
      <c r="J99" s="590"/>
      <c r="K99" s="590"/>
      <c r="L99" s="590"/>
      <c r="M99" s="591"/>
      <c r="N99" s="1149"/>
      <c r="O99" s="1149"/>
      <c r="P99" s="2622"/>
      <c r="Q99" s="503"/>
    </row>
    <row r="100" spans="1:17">
      <c r="A100" s="526" t="s">
        <v>2556</v>
      </c>
      <c r="B100" s="527" t="s">
        <v>2605</v>
      </c>
      <c r="C100" s="529"/>
      <c r="D100" s="529"/>
      <c r="E100" s="529"/>
      <c r="F100" s="529"/>
      <c r="G100" s="529"/>
      <c r="H100" s="529"/>
      <c r="I100" s="529"/>
      <c r="J100" s="529"/>
      <c r="K100" s="530"/>
      <c r="L100" s="531"/>
      <c r="M100" s="532"/>
      <c r="N100" s="1148"/>
      <c r="O100" s="1148"/>
      <c r="P100" s="262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2"/>
      <c r="Q101" s="503"/>
    </row>
    <row r="102" spans="1:17" ht="15.75" thickTop="1">
      <c r="A102" s="533"/>
      <c r="B102" s="537" t="s">
        <v>2606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2"/>
      <c r="Q102" s="503"/>
    </row>
    <row r="103" spans="1:17" s="470" customFormat="1">
      <c r="A103" s="592"/>
      <c r="B103" s="593"/>
      <c r="C103" s="594"/>
      <c r="D103" s="594"/>
      <c r="E103" s="594"/>
      <c r="F103" s="594"/>
      <c r="G103" s="594"/>
      <c r="H103" s="594"/>
      <c r="I103" s="594"/>
      <c r="J103" s="595"/>
      <c r="K103" s="595"/>
      <c r="L103" s="596"/>
      <c r="M103" s="597"/>
      <c r="N103" s="1150"/>
      <c r="O103" s="1150"/>
      <c r="P103" s="2623"/>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3"/>
      <c r="Q104" s="558"/>
    </row>
    <row r="105" spans="1:17" ht="15" thickTop="1">
      <c r="A105" s="598"/>
      <c r="B105" s="537" t="s">
        <v>2607</v>
      </c>
      <c r="C105" s="553"/>
      <c r="D105" s="553"/>
      <c r="E105" s="582"/>
      <c r="F105" s="582"/>
      <c r="G105" s="582"/>
      <c r="H105" s="582"/>
      <c r="I105" s="582"/>
      <c r="J105" s="582"/>
      <c r="K105" s="583"/>
      <c r="L105" s="584"/>
      <c r="M105" s="585"/>
      <c r="N105" s="1148"/>
      <c r="O105" s="1148"/>
      <c r="P105" s="262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2"/>
      <c r="Q106" s="503"/>
    </row>
    <row r="107" spans="1:17" ht="15" thickTop="1">
      <c r="A107" s="598"/>
      <c r="B107" s="537" t="s">
        <v>2608</v>
      </c>
      <c r="C107" s="582"/>
      <c r="D107" s="582"/>
      <c r="E107" s="582"/>
      <c r="F107" s="582"/>
      <c r="G107" s="582"/>
      <c r="H107" s="582"/>
      <c r="I107" s="582"/>
      <c r="J107" s="582"/>
      <c r="K107" s="583"/>
      <c r="L107" s="584"/>
      <c r="M107" s="585"/>
      <c r="N107" s="1148"/>
      <c r="O107" s="1148"/>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2"/>
      <c r="Q108" s="503"/>
    </row>
    <row r="109" spans="1:17" ht="15" thickTop="1">
      <c r="A109" s="598"/>
      <c r="B109" s="537" t="s">
        <v>2609</v>
      </c>
      <c r="C109" s="553"/>
      <c r="D109" s="553"/>
      <c r="E109" s="553"/>
      <c r="F109" s="582"/>
      <c r="G109" s="582"/>
      <c r="H109" s="582"/>
      <c r="I109" s="582"/>
      <c r="J109" s="582"/>
      <c r="K109" s="583"/>
      <c r="L109" s="584"/>
      <c r="M109" s="585"/>
      <c r="N109" s="1148"/>
      <c r="O109" s="1148"/>
      <c r="P109" s="262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2"/>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3"/>
      <c r="Q113" s="558"/>
    </row>
    <row r="114" spans="1:17" ht="15" thickTop="1">
      <c r="A114" s="598"/>
      <c r="B114" s="537" t="s">
        <v>2610</v>
      </c>
      <c r="C114" s="553"/>
      <c r="D114" s="553"/>
      <c r="E114" s="582"/>
      <c r="F114" s="582"/>
      <c r="G114" s="582"/>
      <c r="H114" s="582"/>
      <c r="I114" s="582"/>
      <c r="J114" s="582"/>
      <c r="K114" s="583"/>
      <c r="L114" s="584"/>
      <c r="M114" s="585"/>
      <c r="N114" s="1148"/>
      <c r="O114" s="1148"/>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2"/>
      <c r="Q115" s="503"/>
    </row>
    <row r="116" spans="1:17" ht="15" thickTop="1">
      <c r="A116" s="598"/>
      <c r="B116" s="537" t="s">
        <v>2611</v>
      </c>
      <c r="C116" s="553"/>
      <c r="D116" s="553"/>
      <c r="E116" s="553"/>
      <c r="F116" s="553"/>
      <c r="G116" s="553"/>
      <c r="H116" s="582"/>
      <c r="I116" s="582"/>
      <c r="J116" s="582"/>
      <c r="K116" s="583"/>
      <c r="L116" s="584"/>
      <c r="M116" s="585"/>
      <c r="N116" s="1148"/>
      <c r="O116" s="1148"/>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2"/>
      <c r="Q117" s="503"/>
    </row>
    <row r="118" spans="1:17" ht="15" thickTop="1">
      <c r="A118" s="598"/>
      <c r="B118" s="537" t="s">
        <v>2612</v>
      </c>
      <c r="C118" s="582"/>
      <c r="D118" s="582"/>
      <c r="E118" s="582"/>
      <c r="F118" s="582"/>
      <c r="G118" s="582"/>
      <c r="H118" s="582"/>
      <c r="I118" s="582"/>
      <c r="J118" s="582"/>
      <c r="K118" s="583"/>
      <c r="L118" s="584"/>
      <c r="M118" s="585"/>
      <c r="N118" s="1148"/>
      <c r="O118" s="1148"/>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2"/>
      <c r="Q119" s="503"/>
    </row>
    <row r="120" spans="1:17" s="470" customFormat="1" ht="28.5" thickTop="1">
      <c r="A120" s="592"/>
      <c r="B120" s="537" t="s">
        <v>2567</v>
      </c>
      <c r="C120" s="553"/>
      <c r="D120" s="553"/>
      <c r="E120" s="553"/>
      <c r="F120" s="553"/>
      <c r="G120" s="553"/>
      <c r="H120" s="553"/>
      <c r="I120" s="553"/>
      <c r="J120" s="553"/>
      <c r="K120" s="553"/>
      <c r="L120" s="579"/>
      <c r="M120" s="580"/>
      <c r="N120" s="1150"/>
      <c r="O120" s="1150"/>
      <c r="P120" s="2623"/>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3"/>
      <c r="Q121" s="558"/>
    </row>
    <row r="122" spans="1:17" ht="15" thickTop="1">
      <c r="A122" s="598"/>
      <c r="B122" s="537" t="s">
        <v>2613</v>
      </c>
      <c r="C122" s="553"/>
      <c r="D122" s="553"/>
      <c r="E122" s="553"/>
      <c r="F122" s="582"/>
      <c r="G122" s="582"/>
      <c r="H122" s="582"/>
      <c r="I122" s="582"/>
      <c r="J122" s="582"/>
      <c r="K122" s="583"/>
      <c r="L122" s="584"/>
      <c r="M122" s="585"/>
      <c r="N122" s="1148"/>
      <c r="O122" s="1148"/>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2"/>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48"/>
      <c r="O124" s="1148"/>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2"/>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3"/>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3"/>
      <c r="Q127" s="558"/>
    </row>
    <row r="128" spans="1:17" ht="15" thickTop="1">
      <c r="A128" s="598"/>
      <c r="B128" s="537">
        <f>B45</f>
        <v>111</v>
      </c>
      <c r="C128" s="553"/>
      <c r="D128" s="553"/>
      <c r="E128" s="553"/>
      <c r="F128" s="553"/>
      <c r="G128" s="582"/>
      <c r="H128" s="582"/>
      <c r="I128" s="582"/>
      <c r="J128" s="582"/>
      <c r="K128" s="583"/>
      <c r="L128" s="584"/>
      <c r="M128" s="585"/>
      <c r="N128" s="1148"/>
      <c r="O128" s="1148"/>
      <c r="P128" s="2622"/>
      <c r="Q128" s="503"/>
    </row>
    <row r="129" spans="1:17" ht="15.75" thickBot="1">
      <c r="A129" s="533"/>
      <c r="B129" s="542"/>
      <c r="C129" s="559"/>
      <c r="D129" s="559"/>
      <c r="E129" s="559"/>
      <c r="F129" s="559"/>
      <c r="G129" s="535"/>
      <c r="H129" s="535"/>
      <c r="I129" s="535"/>
      <c r="J129" s="535"/>
      <c r="K129" s="535"/>
      <c r="L129" s="535"/>
      <c r="M129" s="536"/>
      <c r="N129" s="1149"/>
      <c r="O129" s="1149"/>
      <c r="P129" s="2622"/>
      <c r="Q129" s="503"/>
    </row>
    <row r="130" spans="1:17" ht="15" thickTop="1">
      <c r="A130" s="598"/>
      <c r="B130" s="545">
        <f>B46</f>
        <v>111</v>
      </c>
      <c r="C130" s="553"/>
      <c r="D130" s="553"/>
      <c r="E130" s="553"/>
      <c r="F130" s="553"/>
      <c r="G130" s="586"/>
      <c r="H130" s="586"/>
      <c r="I130" s="586"/>
      <c r="J130" s="586"/>
      <c r="K130" s="522"/>
      <c r="L130" s="523"/>
      <c r="M130" s="589"/>
      <c r="N130" s="1148"/>
      <c r="O130" s="1148"/>
      <c r="P130" s="2622"/>
      <c r="Q130" s="503"/>
    </row>
    <row r="131" spans="1:17" ht="15.75" thickBot="1">
      <c r="A131" s="2628"/>
      <c r="B131" s="568"/>
      <c r="C131" s="569"/>
      <c r="D131" s="569"/>
      <c r="E131" s="569"/>
      <c r="F131" s="569"/>
      <c r="G131" s="590"/>
      <c r="H131" s="590"/>
      <c r="I131" s="590"/>
      <c r="J131" s="590"/>
      <c r="K131" s="590"/>
      <c r="L131" s="590"/>
      <c r="M131" s="591"/>
      <c r="N131" s="1149"/>
      <c r="O131" s="1149"/>
      <c r="P131" s="2622"/>
      <c r="Q131" s="503"/>
    </row>
    <row r="136" spans="1:17" ht="15" thickBot="1">
      <c r="B136" s="2629" t="s">
        <v>2615</v>
      </c>
    </row>
    <row r="137" spans="1:17" ht="15">
      <c r="B137" s="2630" t="s">
        <v>2616</v>
      </c>
      <c r="C137" s="2631"/>
      <c r="D137" s="2631"/>
      <c r="E137" s="2631"/>
      <c r="F137" s="2631"/>
      <c r="G137" s="2632"/>
      <c r="H137" s="2633"/>
      <c r="I137" s="2634" t="s">
        <v>2617</v>
      </c>
      <c r="J137" s="2631"/>
      <c r="K137" s="2635"/>
    </row>
    <row r="138" spans="1:17" ht="15">
      <c r="B138" s="2636"/>
      <c r="C138" s="145" t="s">
        <v>2618</v>
      </c>
      <c r="D138" s="145" t="s">
        <v>2619</v>
      </c>
      <c r="E138" s="2637" t="s">
        <v>2620</v>
      </c>
      <c r="F138" s="2638" t="s">
        <v>2621</v>
      </c>
      <c r="G138" s="145" t="s">
        <v>2619</v>
      </c>
      <c r="H138" s="146" t="s">
        <v>2620</v>
      </c>
      <c r="I138" s="2639"/>
      <c r="J138" s="145" t="s">
        <v>2622</v>
      </c>
      <c r="K138" s="146" t="s">
        <v>2623</v>
      </c>
    </row>
    <row r="139" spans="1:17" ht="15">
      <c r="B139" s="1080">
        <v>6</v>
      </c>
      <c r="C139" s="1081">
        <v>96</v>
      </c>
      <c r="D139" s="2640" t="s">
        <v>2624</v>
      </c>
      <c r="E139" s="1082">
        <v>100</v>
      </c>
      <c r="F139" s="1083">
        <v>102.5</v>
      </c>
      <c r="G139" s="2640" t="s">
        <v>2624</v>
      </c>
      <c r="H139" s="1084">
        <v>105</v>
      </c>
      <c r="I139" s="2641" t="s">
        <v>2625</v>
      </c>
      <c r="J139" s="1081">
        <v>20</v>
      </c>
      <c r="K139" s="1085">
        <f>C145/(J139-2)</f>
        <v>4.0555555555555553E-3</v>
      </c>
    </row>
    <row r="140" spans="1:17" ht="15">
      <c r="B140" s="1086">
        <v>5</v>
      </c>
      <c r="C140" s="1087">
        <v>100</v>
      </c>
      <c r="D140" s="1087"/>
      <c r="E140" s="1088"/>
      <c r="F140" s="1089">
        <v>102</v>
      </c>
      <c r="G140" s="1087"/>
      <c r="H140" s="1090"/>
      <c r="I140" s="2642" t="s">
        <v>2626</v>
      </c>
      <c r="J140" s="314">
        <f>ROUNDUP((J139-1)/2,0)</f>
        <v>10</v>
      </c>
      <c r="K140" s="1091">
        <v>100</v>
      </c>
    </row>
    <row r="141" spans="1:17" ht="15">
      <c r="B141" s="1086">
        <v>4</v>
      </c>
      <c r="C141" s="1087">
        <v>102</v>
      </c>
      <c r="D141" s="1087"/>
      <c r="E141" s="1088"/>
      <c r="F141" s="1089">
        <v>101.5</v>
      </c>
      <c r="G141" s="1087"/>
      <c r="H141" s="1090"/>
      <c r="I141" s="2642" t="s">
        <v>2627</v>
      </c>
      <c r="J141" s="314">
        <v>1</v>
      </c>
      <c r="K141" s="1092">
        <f>ROUND(100+(J141-J140)*K139*100,1)</f>
        <v>96.4</v>
      </c>
    </row>
    <row r="142" spans="1:17" ht="15">
      <c r="B142" s="1086">
        <v>3</v>
      </c>
      <c r="C142" s="1087">
        <v>103</v>
      </c>
      <c r="D142" s="1087"/>
      <c r="E142" s="1088"/>
      <c r="F142" s="1089">
        <v>101</v>
      </c>
      <c r="G142" s="1087"/>
      <c r="H142" s="1090"/>
      <c r="I142" s="2642" t="s">
        <v>2628</v>
      </c>
      <c r="J142" s="314">
        <f>J139</f>
        <v>20</v>
      </c>
      <c r="K142" s="1093">
        <v>95</v>
      </c>
    </row>
    <row r="143" spans="1:17" ht="15">
      <c r="B143" s="1086">
        <v>2</v>
      </c>
      <c r="C143" s="1087">
        <v>100</v>
      </c>
      <c r="D143" s="1087"/>
      <c r="E143" s="1088"/>
      <c r="F143" s="1089">
        <v>100.5</v>
      </c>
      <c r="G143" s="1087"/>
      <c r="H143" s="1090"/>
      <c r="I143" s="2642" t="s">
        <v>2629</v>
      </c>
      <c r="J143" s="1087">
        <v>15</v>
      </c>
      <c r="K143" s="1092">
        <f>ROUND(100+(J143-J140)*K139*100,1)</f>
        <v>102</v>
      </c>
    </row>
    <row r="144" spans="1:17" ht="15">
      <c r="B144" s="1086">
        <v>1</v>
      </c>
      <c r="C144" s="1087">
        <v>98</v>
      </c>
      <c r="D144" s="2643" t="s">
        <v>2630</v>
      </c>
      <c r="E144" s="1088">
        <v>102</v>
      </c>
      <c r="F144" s="1094">
        <v>100</v>
      </c>
      <c r="G144" s="2643" t="s">
        <v>2630</v>
      </c>
      <c r="H144" s="1090">
        <v>105</v>
      </c>
      <c r="I144" s="2642" t="s">
        <v>2629</v>
      </c>
      <c r="J144" s="1087">
        <v>18</v>
      </c>
      <c r="K144" s="1092">
        <f>ROUND(100+(J144-J140)*K139*100,1)</f>
        <v>103.2</v>
      </c>
    </row>
    <row r="145" spans="2:11" ht="15.75" thickBot="1">
      <c r="B145" s="2644" t="s">
        <v>2631</v>
      </c>
      <c r="C145" s="1095">
        <f>ROUND(MAX(C139:C144)/MIN(C139:C144)-1,3)</f>
        <v>7.2999999999999995E-2</v>
      </c>
      <c r="D145" s="1096"/>
      <c r="E145" s="1096"/>
      <c r="F145" s="2645" t="s">
        <v>2632</v>
      </c>
      <c r="G145" s="2646"/>
      <c r="H145" s="2647"/>
      <c r="I145" s="2648" t="s">
        <v>2629</v>
      </c>
      <c r="J145" s="1097">
        <v>8</v>
      </c>
      <c r="K145" s="1098">
        <f>ROUND(100+(J145-J140)*K139*100,1)</f>
        <v>99.2</v>
      </c>
    </row>
    <row r="147" spans="2:11">
      <c r="B147" s="2629" t="s">
        <v>2633</v>
      </c>
    </row>
    <row r="148" spans="2:11">
      <c r="B148" s="2629"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2521</v>
      </c>
      <c r="B1" s="2574" t="s">
        <v>2635</v>
      </c>
      <c r="C1" s="1630" t="s">
        <v>2523</v>
      </c>
      <c r="D1" s="1617"/>
      <c r="E1" s="2649"/>
      <c r="F1" s="2576"/>
      <c r="G1" s="1627" t="s">
        <v>2636</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7" customFormat="1" ht="28.5" customHeight="1" thickTop="1">
      <c r="A2" s="1613" t="s">
        <v>2320</v>
      </c>
      <c r="B2" s="1414" t="e">
        <f ca="1">IF(C2="——",ROUND(C49*D3/10000,0),ROUND(C49*D3/10000,0)-D2)</f>
        <v>#DIV/0!</v>
      </c>
      <c r="C2" s="2578"/>
      <c r="D2" s="1361" t="e">
        <f ca="1">SUMIF(INDIRECT("'"&amp;F2&amp;"'"&amp;"!A:A"),"承租人权益价值",INDIRECT("'"&amp;F2&amp;"'"&amp;"!c:c"))</f>
        <v>#REF!</v>
      </c>
      <c r="E2" s="2579" t="s">
        <v>2321</v>
      </c>
      <c r="F2" s="2580"/>
      <c r="G2" s="1121"/>
      <c r="H2" s="1121"/>
      <c r="I2" s="1121"/>
      <c r="J2" s="1121"/>
      <c r="K2" s="1121"/>
      <c r="L2" s="1124"/>
      <c r="M2" s="1125"/>
      <c r="N2" s="1125"/>
      <c r="O2" s="1125"/>
      <c r="P2" s="2653"/>
      <c r="Q2" s="1125"/>
      <c r="R2" s="1125"/>
      <c r="S2" s="1125"/>
      <c r="T2" s="1125"/>
      <c r="U2" s="1125"/>
      <c r="V2" s="1125"/>
      <c r="W2" s="1125"/>
      <c r="X2" s="1125"/>
      <c r="Y2" s="1125"/>
      <c r="Z2" s="1125"/>
      <c r="AA2" s="1125"/>
      <c r="AB2" s="1125"/>
      <c r="AC2" s="2654"/>
    </row>
    <row r="3" spans="1:29" s="397" customFormat="1" ht="28.5" customHeight="1" thickBot="1">
      <c r="A3" s="246" t="s">
        <v>2322</v>
      </c>
      <c r="B3" s="608" t="e">
        <f ca="1">IF(C2="——",C49,ROUND(B2*10000/D3,0))</f>
        <v>#DIV/0!</v>
      </c>
      <c r="C3" s="399" t="s">
        <v>2637</v>
      </c>
      <c r="D3" s="398">
        <f>IF(D1="",'数据-汇总表'!E3,SUMIF('数据-汇总表'!$C19:$C33,D1,'数据-汇总表'!$E19:$E33))</f>
        <v>52177.779999999992</v>
      </c>
      <c r="E3" s="2655"/>
      <c r="F3" s="1122"/>
      <c r="G3" s="1121"/>
      <c r="H3" s="1121"/>
      <c r="I3" s="1121"/>
      <c r="J3" s="1121"/>
      <c r="K3" s="1123"/>
      <c r="L3" s="1124"/>
      <c r="M3" s="1125"/>
      <c r="N3" s="1125"/>
      <c r="O3" s="1125"/>
      <c r="P3" s="2653"/>
      <c r="Q3" s="1125"/>
      <c r="R3" s="1125"/>
      <c r="S3" s="1125"/>
      <c r="T3" s="1125"/>
      <c r="U3" s="1125"/>
      <c r="V3" s="1125"/>
      <c r="W3" s="1125"/>
      <c r="X3" s="1125"/>
      <c r="Y3" s="1125"/>
      <c r="Z3" s="1125"/>
      <c r="AA3" s="1125"/>
      <c r="AB3" s="1125"/>
      <c r="AC3" s="2655"/>
    </row>
    <row r="4" spans="1:29" ht="15">
      <c r="A4" s="400" t="s">
        <v>2638</v>
      </c>
      <c r="B4" s="401"/>
      <c r="C4" s="3265" t="s">
        <v>2639</v>
      </c>
      <c r="D4" s="3266"/>
      <c r="E4" s="3267" t="s">
        <v>2640</v>
      </c>
      <c r="F4" s="3268"/>
      <c r="G4" s="3265" t="s">
        <v>2641</v>
      </c>
      <c r="H4" s="3266"/>
      <c r="I4" s="3265" t="s">
        <v>2642</v>
      </c>
      <c r="J4" s="3266"/>
      <c r="K4" s="609" t="s">
        <v>2643</v>
      </c>
      <c r="L4" s="1126"/>
      <c r="M4" s="1127"/>
      <c r="N4" s="1127"/>
      <c r="O4" s="1127"/>
      <c r="P4" s="3337" t="s">
        <v>2644</v>
      </c>
      <c r="Q4" s="3338"/>
      <c r="R4" s="3327" t="s">
        <v>2640</v>
      </c>
      <c r="S4" s="3328"/>
      <c r="T4" s="3327" t="s">
        <v>2641</v>
      </c>
      <c r="U4" s="3328"/>
      <c r="V4" s="3278" t="s">
        <v>2642</v>
      </c>
      <c r="W4" s="3278"/>
      <c r="X4" s="1809"/>
      <c r="Y4" s="3327" t="s">
        <v>2644</v>
      </c>
      <c r="Z4" s="3328"/>
      <c r="AA4" s="3326" t="s">
        <v>2640</v>
      </c>
      <c r="AB4" s="3278" t="s">
        <v>2641</v>
      </c>
      <c r="AC4" s="3326" t="s">
        <v>2642</v>
      </c>
    </row>
    <row r="5" spans="1:29" ht="15">
      <c r="A5" s="403"/>
      <c r="B5" s="404"/>
      <c r="C5" s="3331" t="s">
        <v>2535</v>
      </c>
      <c r="D5" s="3332"/>
      <c r="E5" s="3329" t="s">
        <v>2536</v>
      </c>
      <c r="F5" s="3330"/>
      <c r="G5" s="3331" t="s">
        <v>2537</v>
      </c>
      <c r="H5" s="3332"/>
      <c r="I5" s="3331" t="s">
        <v>2538</v>
      </c>
      <c r="J5" s="3332"/>
      <c r="K5" s="609"/>
      <c r="L5" s="1126"/>
      <c r="M5" s="1127"/>
      <c r="N5" s="1127"/>
      <c r="O5" s="1127"/>
      <c r="P5" s="3339"/>
      <c r="Q5" s="3272"/>
      <c r="R5" s="3251"/>
      <c r="S5" s="3252"/>
      <c r="T5" s="3251"/>
      <c r="U5" s="3252"/>
      <c r="V5" s="3278"/>
      <c r="W5" s="3278"/>
      <c r="X5" s="1809"/>
      <c r="Y5" s="3251"/>
      <c r="Z5" s="3252"/>
      <c r="AA5" s="3245"/>
      <c r="AB5" s="3278"/>
      <c r="AC5" s="3245"/>
    </row>
    <row r="6" spans="1:29" ht="15.75" thickBot="1">
      <c r="A6" s="405"/>
      <c r="B6" s="406"/>
      <c r="C6" s="3333" t="s">
        <v>2539</v>
      </c>
      <c r="D6" s="3334"/>
      <c r="E6" s="3335" t="s">
        <v>2539</v>
      </c>
      <c r="F6" s="3336"/>
      <c r="G6" s="3333" t="s">
        <v>2539</v>
      </c>
      <c r="H6" s="3334"/>
      <c r="I6" s="3333" t="s">
        <v>2539</v>
      </c>
      <c r="J6" s="3334"/>
      <c r="K6" s="609" t="s">
        <v>2540</v>
      </c>
      <c r="L6" s="1126"/>
      <c r="M6" s="1127"/>
      <c r="N6" s="1127"/>
      <c r="O6" s="1127"/>
      <c r="P6" s="3340"/>
      <c r="Q6" s="3274"/>
      <c r="R6" s="3251"/>
      <c r="S6" s="3252"/>
      <c r="T6" s="3275"/>
      <c r="U6" s="3276"/>
      <c r="V6" s="3278"/>
      <c r="W6" s="3278"/>
      <c r="X6" s="1809"/>
      <c r="Y6" s="3275"/>
      <c r="Z6" s="3276"/>
      <c r="AA6" s="3246"/>
      <c r="AB6" s="3278"/>
      <c r="AC6" s="3246"/>
    </row>
    <row r="7" spans="1:29" s="116" customFormat="1" ht="15.75" thickBot="1">
      <c r="A7" s="407" t="s">
        <v>2541</v>
      </c>
      <c r="B7" s="408"/>
      <c r="C7" s="409">
        <f>'数据-取费表'!B2</f>
        <v>43165</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47" t="s">
        <v>2542</v>
      </c>
      <c r="Q7" s="3280"/>
      <c r="R7" s="768" t="s">
        <v>17</v>
      </c>
      <c r="S7" s="769">
        <f t="shared" ref="S7:S15" si="0">F7</f>
        <v>0</v>
      </c>
      <c r="T7" s="768" t="s">
        <v>17</v>
      </c>
      <c r="U7" s="769">
        <f t="shared" ref="U7:U15" si="1">H7</f>
        <v>0</v>
      </c>
      <c r="V7" s="768" t="s">
        <v>17</v>
      </c>
      <c r="W7" s="769">
        <f t="shared" ref="W7:W15" si="2">J7</f>
        <v>0</v>
      </c>
      <c r="X7" s="770"/>
      <c r="Y7" s="3247" t="s">
        <v>2542</v>
      </c>
      <c r="Z7" s="3248"/>
      <c r="AA7" s="771" t="e">
        <f>D7/F7</f>
        <v>#DIV/0!</v>
      </c>
      <c r="AB7" s="771" t="e">
        <f>D7/H7</f>
        <v>#DIV/0!</v>
      </c>
      <c r="AC7" s="771" t="e">
        <f>D7/J7</f>
        <v>#DIV/0!</v>
      </c>
    </row>
    <row r="8" spans="1:29" s="116" customFormat="1" ht="15.75" thickBot="1">
      <c r="A8" s="407" t="s">
        <v>2543</v>
      </c>
      <c r="B8" s="408"/>
      <c r="C8" s="413" t="s">
        <v>2645</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47" t="s">
        <v>2545</v>
      </c>
      <c r="Q8" s="3248"/>
      <c r="R8" s="768" t="s">
        <v>17</v>
      </c>
      <c r="S8" s="769">
        <f t="shared" si="0"/>
        <v>0</v>
      </c>
      <c r="T8" s="768" t="s">
        <v>17</v>
      </c>
      <c r="U8" s="769">
        <f t="shared" si="1"/>
        <v>0</v>
      </c>
      <c r="V8" s="768" t="s">
        <v>17</v>
      </c>
      <c r="W8" s="769">
        <f t="shared" si="2"/>
        <v>0</v>
      </c>
      <c r="X8" s="770"/>
      <c r="Y8" s="3247" t="s">
        <v>2545</v>
      </c>
      <c r="Z8" s="3248"/>
      <c r="AA8" s="771" t="e">
        <f t="shared" ref="AA8:AA46" si="3">D8/F8</f>
        <v>#DIV/0!</v>
      </c>
      <c r="AB8" s="771" t="e">
        <f t="shared" ref="AB8:AB46" si="4">D8/H8</f>
        <v>#DIV/0!</v>
      </c>
      <c r="AC8" s="771" t="e">
        <f t="shared" ref="AC8:AC46" si="5">D8/J8</f>
        <v>#DIV/0!</v>
      </c>
    </row>
    <row r="9" spans="1:29" s="116" customFormat="1">
      <c r="A9" s="414" t="s">
        <v>2546</v>
      </c>
      <c r="B9" s="70" t="s">
        <v>2547</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61" t="s">
        <v>2548</v>
      </c>
      <c r="Q9" s="1791" t="str">
        <f t="shared" ref="Q9:Q15" si="6">B9</f>
        <v>用途</v>
      </c>
      <c r="R9" s="768" t="s">
        <v>17</v>
      </c>
      <c r="S9" s="769">
        <f t="shared" si="0"/>
        <v>100</v>
      </c>
      <c r="T9" s="768" t="s">
        <v>17</v>
      </c>
      <c r="U9" s="769">
        <f t="shared" si="1"/>
        <v>100</v>
      </c>
      <c r="V9" s="768" t="s">
        <v>17</v>
      </c>
      <c r="W9" s="769">
        <f t="shared" si="2"/>
        <v>100</v>
      </c>
      <c r="X9" s="770"/>
      <c r="Y9" s="3101" t="s">
        <v>2549</v>
      </c>
      <c r="Z9" s="55" t="str">
        <f t="shared" ref="Z9:Z15" si="7">Q9</f>
        <v>用途</v>
      </c>
      <c r="AA9" s="771">
        <f t="shared" si="3"/>
        <v>1</v>
      </c>
      <c r="AB9" s="771">
        <f t="shared" si="4"/>
        <v>1</v>
      </c>
      <c r="AC9" s="771">
        <f t="shared" si="5"/>
        <v>1</v>
      </c>
    </row>
    <row r="10" spans="1:29" s="426" customFormat="1" ht="27">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61"/>
      <c r="Q10" s="1791"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61"/>
      <c r="Q11" s="1791" t="str">
        <f t="shared" si="6"/>
        <v>容积率</v>
      </c>
      <c r="R11" s="768" t="s">
        <v>17</v>
      </c>
      <c r="S11" s="769" t="e">
        <f t="shared" si="0"/>
        <v>#N/A</v>
      </c>
      <c r="T11" s="768" t="s">
        <v>17</v>
      </c>
      <c r="U11" s="769" t="e">
        <f t="shared" si="1"/>
        <v>#N/A</v>
      </c>
      <c r="V11" s="768" t="s">
        <v>17</v>
      </c>
      <c r="W11" s="769" t="e">
        <f t="shared" si="2"/>
        <v>#N/A</v>
      </c>
      <c r="X11" s="770"/>
      <c r="Y11" s="3101"/>
      <c r="Z11" s="55" t="str">
        <f t="shared" si="7"/>
        <v>容积率</v>
      </c>
      <c r="AA11" s="771" t="e">
        <f t="shared" si="3"/>
        <v>#N/A</v>
      </c>
      <c r="AB11" s="771" t="e">
        <f t="shared" si="4"/>
        <v>#N/A</v>
      </c>
      <c r="AC11" s="771" t="e">
        <f t="shared" si="5"/>
        <v>#N/A</v>
      </c>
    </row>
    <row r="12" spans="1:29" s="116" customFormat="1" ht="15">
      <c r="A12" s="430"/>
      <c r="B12" s="2592">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61"/>
      <c r="Q12" s="1791">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61"/>
      <c r="Q13" s="1791">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15.75"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61"/>
      <c r="Q14" s="1791">
        <f t="shared" si="6"/>
        <v>111</v>
      </c>
      <c r="R14" s="768" t="s">
        <v>17</v>
      </c>
      <c r="S14" s="769">
        <f t="shared" si="0"/>
        <v>100</v>
      </c>
      <c r="T14" s="768" t="s">
        <v>17</v>
      </c>
      <c r="U14" s="769">
        <f t="shared" si="1"/>
        <v>100</v>
      </c>
      <c r="V14" s="768" t="s">
        <v>17</v>
      </c>
      <c r="W14" s="769">
        <f t="shared" si="2"/>
        <v>100</v>
      </c>
      <c r="X14" s="770"/>
      <c r="Y14" s="3101"/>
      <c r="Z14" s="55">
        <f t="shared" si="7"/>
        <v>111</v>
      </c>
      <c r="AA14" s="771">
        <f t="shared" si="3"/>
        <v>1</v>
      </c>
      <c r="AB14" s="771">
        <f t="shared" si="4"/>
        <v>1</v>
      </c>
      <c r="AC14" s="771">
        <f t="shared" si="5"/>
        <v>1</v>
      </c>
    </row>
    <row r="15" spans="1:29" ht="15">
      <c r="A15" s="439" t="s">
        <v>2552</v>
      </c>
      <c r="B15" s="68" t="s">
        <v>2646</v>
      </c>
      <c r="C15" s="2595">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81" t="s">
        <v>2553</v>
      </c>
      <c r="Q15" s="1806" t="str">
        <f t="shared" si="6"/>
        <v>商业繁华度</v>
      </c>
      <c r="R15" s="772" t="s">
        <v>17</v>
      </c>
      <c r="S15" s="773">
        <f t="shared" si="0"/>
        <v>100</v>
      </c>
      <c r="T15" s="772" t="s">
        <v>17</v>
      </c>
      <c r="U15" s="773">
        <f t="shared" si="1"/>
        <v>100</v>
      </c>
      <c r="V15" s="772" t="s">
        <v>17</v>
      </c>
      <c r="W15" s="773">
        <f t="shared" si="2"/>
        <v>100</v>
      </c>
      <c r="X15" s="1809"/>
      <c r="Y15" s="3283" t="s">
        <v>2553</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82"/>
      <c r="Q16" s="1806"/>
      <c r="R16" s="772"/>
      <c r="S16" s="773"/>
      <c r="T16" s="772"/>
      <c r="U16" s="773"/>
      <c r="V16" s="772"/>
      <c r="W16" s="773"/>
      <c r="X16" s="1809"/>
      <c r="Y16" s="3284"/>
      <c r="Z16" s="1810"/>
      <c r="AA16" s="1807">
        <v>1</v>
      </c>
      <c r="AB16" s="1807">
        <v>1</v>
      </c>
      <c r="AC16" s="1807">
        <v>1</v>
      </c>
    </row>
    <row r="17" spans="1:29" ht="99.75">
      <c r="A17" s="427"/>
      <c r="B17" s="450" t="s">
        <v>2091</v>
      </c>
      <c r="C17" s="2599" t="str">
        <f>估价对象房地状况!C6</f>
        <v>估价对象周边道路状况、周边有24、106、117路及地铁2号、13号、机场线，综合评价交通便捷度好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82"/>
      <c r="Q17" s="1806" t="str">
        <f>B17</f>
        <v>交通便捷度</v>
      </c>
      <c r="R17" s="772" t="s">
        <v>17</v>
      </c>
      <c r="S17" s="773">
        <f>F17</f>
        <v>100</v>
      </c>
      <c r="T17" s="772" t="s">
        <v>17</v>
      </c>
      <c r="U17" s="773">
        <f>H17</f>
        <v>100</v>
      </c>
      <c r="V17" s="772" t="s">
        <v>17</v>
      </c>
      <c r="W17" s="773">
        <f>J17</f>
        <v>100</v>
      </c>
      <c r="X17" s="1809"/>
      <c r="Y17" s="3284"/>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6"/>
      <c r="M18" s="1127"/>
      <c r="N18" s="1127"/>
      <c r="O18" s="1127"/>
      <c r="P18" s="3282"/>
      <c r="Q18" s="1806"/>
      <c r="R18" s="772"/>
      <c r="S18" s="773"/>
      <c r="T18" s="772"/>
      <c r="U18" s="773"/>
      <c r="V18" s="772"/>
      <c r="W18" s="773"/>
      <c r="X18" s="1809"/>
      <c r="Y18" s="3284"/>
      <c r="Z18" s="1810"/>
      <c r="AA18" s="1807">
        <v>1</v>
      </c>
      <c r="AB18" s="1807">
        <v>1</v>
      </c>
      <c r="AC18" s="1807">
        <v>1</v>
      </c>
    </row>
    <row r="19" spans="1:29" ht="71.25">
      <c r="A19" s="427"/>
      <c r="B19" s="450" t="s">
        <v>2647</v>
      </c>
      <c r="C19" s="2599" t="str">
        <f>估价对象房地状况!C7</f>
        <v>周边有银行、购物场所、餐饮等配套设施，公共服务设施状况较好。</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82"/>
      <c r="Q19" s="1806" t="str">
        <f>B19</f>
        <v>公共配套设施</v>
      </c>
      <c r="R19" s="772" t="s">
        <v>17</v>
      </c>
      <c r="S19" s="773">
        <f>F19</f>
        <v>100</v>
      </c>
      <c r="T19" s="772" t="s">
        <v>17</v>
      </c>
      <c r="U19" s="773">
        <f>H19</f>
        <v>100</v>
      </c>
      <c r="V19" s="772" t="s">
        <v>17</v>
      </c>
      <c r="W19" s="773">
        <f>J19</f>
        <v>100</v>
      </c>
      <c r="X19" s="1809"/>
      <c r="Y19" s="3284"/>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6"/>
      <c r="M20" s="1127"/>
      <c r="N20" s="1127"/>
      <c r="O20" s="1127"/>
      <c r="P20" s="3282"/>
      <c r="Q20" s="1806"/>
      <c r="R20" s="772"/>
      <c r="S20" s="773"/>
      <c r="T20" s="772"/>
      <c r="U20" s="773"/>
      <c r="V20" s="772"/>
      <c r="W20" s="773"/>
      <c r="X20" s="1809"/>
      <c r="Y20" s="3284"/>
      <c r="Z20" s="1810"/>
      <c r="AA20" s="1807">
        <v>1</v>
      </c>
      <c r="AB20" s="1807">
        <v>1</v>
      </c>
      <c r="AC20" s="1807">
        <v>1</v>
      </c>
    </row>
    <row r="21" spans="1:29" ht="15">
      <c r="A21" s="427"/>
      <c r="B21" s="1380" t="s">
        <v>2648</v>
      </c>
      <c r="C21" s="2599"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82"/>
      <c r="Q21" s="1806" t="str">
        <f>B21</f>
        <v>基础设施水平</v>
      </c>
      <c r="R21" s="772" t="s">
        <v>17</v>
      </c>
      <c r="S21" s="773">
        <f>F21</f>
        <v>100</v>
      </c>
      <c r="T21" s="772" t="s">
        <v>17</v>
      </c>
      <c r="U21" s="773">
        <f>H21</f>
        <v>100</v>
      </c>
      <c r="V21" s="772" t="s">
        <v>17</v>
      </c>
      <c r="W21" s="773">
        <f>J21</f>
        <v>100</v>
      </c>
      <c r="X21" s="1809"/>
      <c r="Y21" s="3284"/>
      <c r="Z21" s="1810" t="str">
        <f>Q21</f>
        <v>基础设施水平</v>
      </c>
      <c r="AA21" s="1807">
        <f t="shared" ref="AA21" si="8">D21/F21</f>
        <v>1</v>
      </c>
      <c r="AB21" s="1807">
        <f t="shared" ref="AB21" si="9">D21/H21</f>
        <v>1</v>
      </c>
      <c r="AC21" s="1807">
        <f t="shared" ref="AC21" si="10">D21/J21</f>
        <v>1</v>
      </c>
    </row>
    <row r="22" spans="1:29" ht="15">
      <c r="A22" s="427"/>
      <c r="B22" s="1380"/>
      <c r="C22" s="2600"/>
      <c r="D22" s="447"/>
      <c r="E22" s="446"/>
      <c r="F22" s="448"/>
      <c r="G22" s="446"/>
      <c r="H22" s="447"/>
      <c r="I22" s="446"/>
      <c r="J22" s="447"/>
      <c r="K22" s="1379"/>
      <c r="L22" s="1136"/>
      <c r="M22" s="1127"/>
      <c r="N22" s="1127"/>
      <c r="O22" s="1127"/>
      <c r="P22" s="3282"/>
      <c r="Q22" s="1806"/>
      <c r="R22" s="772"/>
      <c r="S22" s="773"/>
      <c r="T22" s="772"/>
      <c r="U22" s="773"/>
      <c r="V22" s="772"/>
      <c r="W22" s="773"/>
      <c r="X22" s="1809"/>
      <c r="Y22" s="3284"/>
      <c r="Z22" s="1810"/>
      <c r="AA22" s="1807">
        <v>1</v>
      </c>
      <c r="AB22" s="1807">
        <v>1</v>
      </c>
      <c r="AC22" s="1807">
        <v>1</v>
      </c>
    </row>
    <row r="23" spans="1:29" ht="99.75">
      <c r="A23" s="427"/>
      <c r="B23" s="450" t="s">
        <v>2094</v>
      </c>
      <c r="C23" s="2656" t="str">
        <f>估价对象房地状况!C9</f>
        <v>区域自然环境：南馆公园、工人体育馆；人文环境：保利艺术博物馆、自来水博物馆；综合评价环境状况较好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82"/>
      <c r="Q23" s="1806" t="str">
        <f>B23</f>
        <v>自然及人文环境</v>
      </c>
      <c r="R23" s="772" t="s">
        <v>17</v>
      </c>
      <c r="S23" s="773">
        <f>F23</f>
        <v>100</v>
      </c>
      <c r="T23" s="772" t="s">
        <v>17</v>
      </c>
      <c r="U23" s="773">
        <f>H23</f>
        <v>100</v>
      </c>
      <c r="V23" s="772" t="s">
        <v>17</v>
      </c>
      <c r="W23" s="773">
        <f>J23</f>
        <v>100</v>
      </c>
      <c r="X23" s="1809"/>
      <c r="Y23" s="3284"/>
      <c r="Z23" s="1810" t="str">
        <f>Q23</f>
        <v>自然及人文环境</v>
      </c>
      <c r="AA23" s="1807">
        <f t="shared" si="3"/>
        <v>1</v>
      </c>
      <c r="AB23" s="1807">
        <f t="shared" si="4"/>
        <v>1</v>
      </c>
      <c r="AC23" s="1807">
        <f t="shared" si="5"/>
        <v>1</v>
      </c>
    </row>
    <row r="24" spans="1:29" ht="15">
      <c r="A24" s="427"/>
      <c r="B24" s="455"/>
      <c r="C24" s="446"/>
      <c r="D24" s="447"/>
      <c r="E24" s="2597"/>
      <c r="F24" s="448"/>
      <c r="G24" s="2596"/>
      <c r="H24" s="447"/>
      <c r="I24" s="2597"/>
      <c r="J24" s="447"/>
      <c r="K24" s="614"/>
      <c r="L24" s="1136"/>
      <c r="M24" s="1127"/>
      <c r="N24" s="1127"/>
      <c r="O24" s="1127"/>
      <c r="P24" s="3282"/>
      <c r="Q24" s="1806"/>
      <c r="R24" s="772"/>
      <c r="S24" s="773"/>
      <c r="T24" s="772"/>
      <c r="U24" s="773"/>
      <c r="V24" s="772"/>
      <c r="W24" s="773"/>
      <c r="X24" s="1809"/>
      <c r="Y24" s="3284"/>
      <c r="Z24" s="1810"/>
      <c r="AA24" s="1807">
        <v>1</v>
      </c>
      <c r="AB24" s="1807">
        <v>1</v>
      </c>
      <c r="AC24" s="1807">
        <v>1</v>
      </c>
    </row>
    <row r="25" spans="1:29" ht="15">
      <c r="A25" s="427"/>
      <c r="B25" s="421" t="s">
        <v>2649</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82"/>
      <c r="Q25" s="1806" t="str">
        <f t="shared" ref="Q25:Q46" si="11">B25</f>
        <v>临街状况</v>
      </c>
      <c r="R25" s="772" t="s">
        <v>17</v>
      </c>
      <c r="S25" s="773">
        <f>F25</f>
        <v>100</v>
      </c>
      <c r="T25" s="772" t="s">
        <v>17</v>
      </c>
      <c r="U25" s="773">
        <f>H25</f>
        <v>100</v>
      </c>
      <c r="V25" s="772" t="s">
        <v>17</v>
      </c>
      <c r="W25" s="773">
        <f>J25</f>
        <v>100</v>
      </c>
      <c r="X25" s="1809"/>
      <c r="Y25" s="3284"/>
      <c r="Z25" s="1810" t="str">
        <f>Q25</f>
        <v>临街状况</v>
      </c>
      <c r="AA25" s="1807">
        <f t="shared" si="3"/>
        <v>1</v>
      </c>
      <c r="AB25" s="1807">
        <f t="shared" si="4"/>
        <v>1</v>
      </c>
      <c r="AC25" s="1807">
        <f t="shared" si="5"/>
        <v>1</v>
      </c>
    </row>
    <row r="26" spans="1:29" ht="15">
      <c r="A26" s="427"/>
      <c r="B26" s="1382" t="s">
        <v>2650</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82"/>
      <c r="Q26" s="1806" t="str">
        <f t="shared" si="11"/>
        <v>平面位置/可视性</v>
      </c>
      <c r="R26" s="772" t="s">
        <v>17</v>
      </c>
      <c r="S26" s="773">
        <f>F26</f>
        <v>100</v>
      </c>
      <c r="T26" s="772" t="s">
        <v>17</v>
      </c>
      <c r="U26" s="773">
        <f>H26</f>
        <v>100</v>
      </c>
      <c r="V26" s="772" t="s">
        <v>17</v>
      </c>
      <c r="W26" s="773">
        <f>J26</f>
        <v>100</v>
      </c>
      <c r="X26" s="1809"/>
      <c r="Y26" s="3284"/>
      <c r="Z26" s="1810" t="str">
        <f>Q26</f>
        <v>平面位置/可视性</v>
      </c>
      <c r="AA26" s="1807">
        <f t="shared" si="3"/>
        <v>1</v>
      </c>
      <c r="AB26" s="1807">
        <f t="shared" si="4"/>
        <v>1</v>
      </c>
      <c r="AC26" s="1807">
        <f t="shared" si="5"/>
        <v>1</v>
      </c>
    </row>
    <row r="27" spans="1:29" s="116" customFormat="1" ht="15">
      <c r="A27" s="430"/>
      <c r="B27" s="450" t="s">
        <v>2651</v>
      </c>
      <c r="C27" s="2657"/>
      <c r="D27" s="461">
        <v>100</v>
      </c>
      <c r="E27" s="2657"/>
      <c r="F27" s="463">
        <f>SUMIF(90:90,E27,91:91)-SUMIF(90:90,C27,91:91)+100</f>
        <v>100</v>
      </c>
      <c r="G27" s="2657"/>
      <c r="H27" s="461">
        <f>SUMIF(90:90,G27,91:91)-SUMIF(90:90,C27,91:91)+100</f>
        <v>100</v>
      </c>
      <c r="I27" s="2657"/>
      <c r="J27" s="461">
        <f>SUMIF(90:90,I27,91:91)-SUMIF(90:90,C27,91:91)+100</f>
        <v>100</v>
      </c>
      <c r="K27" s="611"/>
      <c r="L27" s="1128"/>
      <c r="M27" s="1129"/>
      <c r="N27" s="1129"/>
      <c r="O27" s="1129"/>
      <c r="P27" s="3282"/>
      <c r="Q27" s="1791" t="str">
        <f t="shared" si="11"/>
        <v>人流量</v>
      </c>
      <c r="R27" s="768" t="s">
        <v>17</v>
      </c>
      <c r="S27" s="769">
        <f>F27</f>
        <v>100</v>
      </c>
      <c r="T27" s="768" t="s">
        <v>17</v>
      </c>
      <c r="U27" s="769">
        <f>H27</f>
        <v>100</v>
      </c>
      <c r="V27" s="768" t="s">
        <v>17</v>
      </c>
      <c r="W27" s="769">
        <f>J27</f>
        <v>100</v>
      </c>
      <c r="X27" s="770"/>
      <c r="Y27" s="3284"/>
      <c r="Z27" s="55" t="str">
        <f>Q27</f>
        <v>人流量</v>
      </c>
      <c r="AA27" s="1807">
        <f>D27/F27</f>
        <v>1</v>
      </c>
      <c r="AB27" s="1807">
        <f>D27/H27</f>
        <v>1</v>
      </c>
      <c r="AC27" s="1807">
        <f>D27/J27</f>
        <v>1</v>
      </c>
    </row>
    <row r="28" spans="1:29" ht="15">
      <c r="A28" s="427"/>
      <c r="B28" s="421" t="s">
        <v>2652</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82"/>
      <c r="Q28" s="1806" t="str">
        <f t="shared" si="11"/>
        <v>楼层</v>
      </c>
      <c r="R28" s="772" t="s">
        <v>17</v>
      </c>
      <c r="S28" s="773">
        <f t="shared" ref="S28:S46" si="12">F28</f>
        <v>100</v>
      </c>
      <c r="T28" s="772" t="s">
        <v>17</v>
      </c>
      <c r="U28" s="773">
        <f t="shared" ref="U28:U46" si="13">H28</f>
        <v>100</v>
      </c>
      <c r="V28" s="772" t="s">
        <v>17</v>
      </c>
      <c r="W28" s="773">
        <f t="shared" ref="W28:W46" si="14">J28</f>
        <v>100</v>
      </c>
      <c r="X28" s="1809"/>
      <c r="Y28" s="3284"/>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82"/>
      <c r="Q29" s="1806">
        <f t="shared" si="11"/>
        <v>111</v>
      </c>
      <c r="R29" s="772" t="s">
        <v>17</v>
      </c>
      <c r="S29" s="773">
        <f t="shared" si="12"/>
        <v>100</v>
      </c>
      <c r="T29" s="772" t="s">
        <v>17</v>
      </c>
      <c r="U29" s="773">
        <f t="shared" si="13"/>
        <v>100</v>
      </c>
      <c r="V29" s="772" t="s">
        <v>17</v>
      </c>
      <c r="W29" s="773">
        <f t="shared" si="14"/>
        <v>100</v>
      </c>
      <c r="X29" s="1809"/>
      <c r="Y29" s="3284"/>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82"/>
      <c r="Q30" s="1806">
        <f t="shared" si="11"/>
        <v>111</v>
      </c>
      <c r="R30" s="772" t="s">
        <v>17</v>
      </c>
      <c r="S30" s="773">
        <f t="shared" si="12"/>
        <v>100</v>
      </c>
      <c r="T30" s="772" t="s">
        <v>17</v>
      </c>
      <c r="U30" s="773">
        <f t="shared" si="13"/>
        <v>100</v>
      </c>
      <c r="V30" s="772" t="s">
        <v>17</v>
      </c>
      <c r="W30" s="773">
        <f t="shared" si="14"/>
        <v>100</v>
      </c>
      <c r="X30" s="1809"/>
      <c r="Y30" s="3284"/>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82"/>
      <c r="Q31" s="1806">
        <f t="shared" si="11"/>
        <v>111</v>
      </c>
      <c r="R31" s="772" t="s">
        <v>17</v>
      </c>
      <c r="S31" s="773">
        <f t="shared" si="12"/>
        <v>100</v>
      </c>
      <c r="T31" s="772" t="s">
        <v>17</v>
      </c>
      <c r="U31" s="773">
        <f t="shared" si="13"/>
        <v>100</v>
      </c>
      <c r="V31" s="772" t="s">
        <v>17</v>
      </c>
      <c r="W31" s="773">
        <f t="shared" si="14"/>
        <v>100</v>
      </c>
      <c r="X31" s="1809"/>
      <c r="Y31" s="3284"/>
      <c r="Z31" s="1810">
        <f t="shared" si="15"/>
        <v>111</v>
      </c>
      <c r="AA31" s="1807">
        <f t="shared" si="3"/>
        <v>1</v>
      </c>
      <c r="AB31" s="1807">
        <f t="shared" si="4"/>
        <v>1</v>
      </c>
      <c r="AC31" s="1807">
        <f t="shared" si="5"/>
        <v>1</v>
      </c>
    </row>
    <row r="32" spans="1:29" ht="15">
      <c r="A32" s="439" t="s">
        <v>2556</v>
      </c>
      <c r="B32" s="70" t="s">
        <v>2653</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6"/>
      <c r="M32" s="1127"/>
      <c r="N32" s="1127"/>
      <c r="O32" s="1127"/>
      <c r="P32" s="3285" t="s">
        <v>2558</v>
      </c>
      <c r="Q32" s="1806" t="str">
        <f t="shared" si="11"/>
        <v>商业类型</v>
      </c>
      <c r="R32" s="772" t="s">
        <v>17</v>
      </c>
      <c r="S32" s="773">
        <f t="shared" si="12"/>
        <v>100</v>
      </c>
      <c r="T32" s="772" t="s">
        <v>17</v>
      </c>
      <c r="U32" s="773">
        <f t="shared" si="13"/>
        <v>100</v>
      </c>
      <c r="V32" s="772" t="s">
        <v>17</v>
      </c>
      <c r="W32" s="773">
        <f t="shared" si="14"/>
        <v>100</v>
      </c>
      <c r="X32" s="1809"/>
      <c r="Y32" s="3288" t="s">
        <v>2558</v>
      </c>
      <c r="Z32" s="1810" t="str">
        <f t="shared" si="15"/>
        <v>商业类型</v>
      </c>
      <c r="AA32" s="1807">
        <f t="shared" si="3"/>
        <v>1</v>
      </c>
      <c r="AB32" s="1807">
        <f t="shared" si="4"/>
        <v>1</v>
      </c>
      <c r="AC32" s="1807">
        <f t="shared" si="5"/>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86"/>
      <c r="Q33" s="774" t="str">
        <f t="shared" si="11"/>
        <v>项目建筑规模</v>
      </c>
      <c r="R33" s="775" t="s">
        <v>17</v>
      </c>
      <c r="S33" s="776" t="e">
        <f t="shared" si="12"/>
        <v>#N/A</v>
      </c>
      <c r="T33" s="775" t="s">
        <v>17</v>
      </c>
      <c r="U33" s="776" t="e">
        <f t="shared" si="13"/>
        <v>#N/A</v>
      </c>
      <c r="V33" s="775" t="s">
        <v>17</v>
      </c>
      <c r="W33" s="776" t="e">
        <f t="shared" si="14"/>
        <v>#N/A</v>
      </c>
      <c r="X33" s="777"/>
      <c r="Y33" s="3288"/>
      <c r="Z33" s="778" t="str">
        <f t="shared" si="15"/>
        <v>项目建筑规模</v>
      </c>
      <c r="AA33" s="1807" t="e">
        <f t="shared" si="3"/>
        <v>#N/A</v>
      </c>
      <c r="AB33" s="1807" t="e">
        <f t="shared" si="4"/>
        <v>#N/A</v>
      </c>
      <c r="AC33" s="1807" t="e">
        <f t="shared" si="5"/>
        <v>#N/A</v>
      </c>
    </row>
    <row r="34" spans="1:29" ht="15">
      <c r="A34" s="471"/>
      <c r="B34" s="421" t="s">
        <v>2560</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6"/>
      <c r="M34" s="1127"/>
      <c r="N34" s="1127"/>
      <c r="O34" s="1127"/>
      <c r="P34" s="3286"/>
      <c r="Q34" s="1806" t="str">
        <f t="shared" si="11"/>
        <v>建筑结构</v>
      </c>
      <c r="R34" s="772" t="s">
        <v>17</v>
      </c>
      <c r="S34" s="773">
        <f t="shared" si="12"/>
        <v>100</v>
      </c>
      <c r="T34" s="772" t="s">
        <v>17</v>
      </c>
      <c r="U34" s="773">
        <f t="shared" si="13"/>
        <v>100</v>
      </c>
      <c r="V34" s="772" t="s">
        <v>17</v>
      </c>
      <c r="W34" s="773">
        <f t="shared" si="14"/>
        <v>100</v>
      </c>
      <c r="X34" s="1809"/>
      <c r="Y34" s="3288"/>
      <c r="Z34" s="1810" t="str">
        <f t="shared" si="15"/>
        <v>建筑结构</v>
      </c>
      <c r="AA34" s="1807">
        <f t="shared" si="3"/>
        <v>1</v>
      </c>
      <c r="AB34" s="1807">
        <f t="shared" si="4"/>
        <v>1</v>
      </c>
      <c r="AC34" s="1807">
        <f t="shared" si="5"/>
        <v>1</v>
      </c>
    </row>
    <row r="35" spans="1:29" ht="15">
      <c r="A35" s="471"/>
      <c r="B35" s="421" t="s">
        <v>2654</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6"/>
      <c r="M35" s="1127"/>
      <c r="N35" s="1127"/>
      <c r="O35" s="1127"/>
      <c r="P35" s="3286"/>
      <c r="Q35" s="1806" t="str">
        <f t="shared" si="11"/>
        <v>公共部分装修</v>
      </c>
      <c r="R35" s="772" t="s">
        <v>17</v>
      </c>
      <c r="S35" s="773">
        <f t="shared" si="12"/>
        <v>100</v>
      </c>
      <c r="T35" s="772" t="s">
        <v>17</v>
      </c>
      <c r="U35" s="773">
        <f t="shared" si="13"/>
        <v>100</v>
      </c>
      <c r="V35" s="772" t="s">
        <v>17</v>
      </c>
      <c r="W35" s="773">
        <f t="shared" si="14"/>
        <v>100</v>
      </c>
      <c r="X35" s="1809"/>
      <c r="Y35" s="3288"/>
      <c r="Z35" s="1810" t="str">
        <f t="shared" si="15"/>
        <v>公共部分装修</v>
      </c>
      <c r="AA35" s="1807">
        <f t="shared" si="3"/>
        <v>1</v>
      </c>
      <c r="AB35" s="1807">
        <f t="shared" si="4"/>
        <v>1</v>
      </c>
      <c r="AC35" s="1807">
        <f t="shared" si="5"/>
        <v>1</v>
      </c>
    </row>
    <row r="36" spans="1:29" ht="15">
      <c r="A36" s="471"/>
      <c r="B36" s="421" t="s">
        <v>2655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86"/>
      <c r="Q36" s="1806" t="str">
        <f t="shared" si="11"/>
        <v>成新度</v>
      </c>
      <c r="R36" s="772" t="s">
        <v>17</v>
      </c>
      <c r="S36" s="773" t="e">
        <f t="shared" si="12"/>
        <v>#N/A</v>
      </c>
      <c r="T36" s="772" t="s">
        <v>17</v>
      </c>
      <c r="U36" s="773" t="e">
        <f t="shared" si="13"/>
        <v>#N/A</v>
      </c>
      <c r="V36" s="772" t="s">
        <v>17</v>
      </c>
      <c r="W36" s="773" t="e">
        <f t="shared" si="14"/>
        <v>#N/A</v>
      </c>
      <c r="X36" s="1809"/>
      <c r="Y36" s="3288"/>
      <c r="Z36" s="1810" t="str">
        <f t="shared" si="15"/>
        <v>成新度</v>
      </c>
      <c r="AA36" s="1807" t="e">
        <f t="shared" si="3"/>
        <v>#N/A</v>
      </c>
      <c r="AB36" s="1807" t="e">
        <f t="shared" si="4"/>
        <v>#N/A</v>
      </c>
      <c r="AC36" s="1807" t="e">
        <f t="shared" si="5"/>
        <v>#N/A</v>
      </c>
    </row>
    <row r="37" spans="1:29" s="116" customFormat="1" ht="15">
      <c r="A37" s="472"/>
      <c r="B37" s="421" t="s">
        <v>2656</v>
      </c>
      <c r="C37" s="2605"/>
      <c r="D37" s="135">
        <v>100</v>
      </c>
      <c r="E37" s="2605"/>
      <c r="F37" s="460">
        <f>SUMIF(112:112,E37,113:113)-SUMIF(112:112,C37,113:113)+100</f>
        <v>100</v>
      </c>
      <c r="G37" s="2605"/>
      <c r="H37" s="434">
        <f>SUMIF(112:112,G37,113:113)-SUMIF(112:112,C37,113:113)+100</f>
        <v>100</v>
      </c>
      <c r="I37" s="2605"/>
      <c r="J37" s="434">
        <f>SUMIF(112:112,I37,113:113)-SUMIF(112:112,C37,113:113)+100</f>
        <v>100</v>
      </c>
      <c r="K37" s="611"/>
      <c r="L37" s="1128"/>
      <c r="M37" s="1129"/>
      <c r="N37" s="1129"/>
      <c r="O37" s="1129"/>
      <c r="P37" s="3286"/>
      <c r="Q37" s="1791" t="str">
        <f t="shared" si="11"/>
        <v>市政基础设施</v>
      </c>
      <c r="R37" s="768" t="s">
        <v>17</v>
      </c>
      <c r="S37" s="769">
        <f t="shared" si="12"/>
        <v>100</v>
      </c>
      <c r="T37" s="768" t="s">
        <v>17</v>
      </c>
      <c r="U37" s="769">
        <f t="shared" si="13"/>
        <v>100</v>
      </c>
      <c r="V37" s="768" t="s">
        <v>17</v>
      </c>
      <c r="W37" s="769">
        <f t="shared" si="14"/>
        <v>100</v>
      </c>
      <c r="X37" s="770"/>
      <c r="Y37" s="3288"/>
      <c r="Z37" s="55" t="str">
        <f t="shared" si="15"/>
        <v>市政基础设施</v>
      </c>
      <c r="AA37" s="771">
        <f t="shared" si="3"/>
        <v>1</v>
      </c>
      <c r="AB37" s="771">
        <f t="shared" si="4"/>
        <v>1</v>
      </c>
      <c r="AC37" s="771">
        <f t="shared" si="5"/>
        <v>1</v>
      </c>
    </row>
    <row r="38" spans="1:29" ht="15">
      <c r="A38" s="471"/>
      <c r="B38" s="421" t="s">
        <v>2657</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6"/>
      <c r="M38" s="1127"/>
      <c r="N38" s="1127"/>
      <c r="O38" s="1127"/>
      <c r="P38" s="3286" t="s">
        <v>2558</v>
      </c>
      <c r="Q38" s="1806" t="str">
        <f t="shared" si="11"/>
        <v>业态</v>
      </c>
      <c r="R38" s="772" t="s">
        <v>17</v>
      </c>
      <c r="S38" s="773">
        <f t="shared" si="12"/>
        <v>100</v>
      </c>
      <c r="T38" s="772" t="s">
        <v>17</v>
      </c>
      <c r="U38" s="773">
        <f t="shared" si="13"/>
        <v>100</v>
      </c>
      <c r="V38" s="772" t="s">
        <v>17</v>
      </c>
      <c r="W38" s="773">
        <f t="shared" si="14"/>
        <v>100</v>
      </c>
      <c r="X38" s="1809"/>
      <c r="Y38" s="3288" t="s">
        <v>2558</v>
      </c>
      <c r="Z38" s="1810" t="str">
        <f t="shared" si="15"/>
        <v>业态</v>
      </c>
      <c r="AA38" s="1807">
        <f t="shared" si="3"/>
        <v>1</v>
      </c>
      <c r="AB38" s="1807">
        <f t="shared" si="4"/>
        <v>1</v>
      </c>
      <c r="AC38" s="1807">
        <f t="shared" si="5"/>
        <v>1</v>
      </c>
    </row>
    <row r="39" spans="1:29" ht="15">
      <c r="A39" s="471"/>
      <c r="B39" s="421" t="s">
        <v>2658</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6"/>
      <c r="M39" s="1127"/>
      <c r="N39" s="1127"/>
      <c r="O39" s="1127"/>
      <c r="P39" s="3286"/>
      <c r="Q39" s="1806" t="str">
        <f t="shared" si="11"/>
        <v>层高</v>
      </c>
      <c r="R39" s="772" t="s">
        <v>17</v>
      </c>
      <c r="S39" s="773">
        <f t="shared" si="12"/>
        <v>100</v>
      </c>
      <c r="T39" s="772" t="s">
        <v>17</v>
      </c>
      <c r="U39" s="773">
        <f t="shared" si="13"/>
        <v>100</v>
      </c>
      <c r="V39" s="772" t="s">
        <v>17</v>
      </c>
      <c r="W39" s="773">
        <f t="shared" si="14"/>
        <v>100</v>
      </c>
      <c r="X39" s="1809"/>
      <c r="Y39" s="3288"/>
      <c r="Z39" s="1810" t="str">
        <f t="shared" si="15"/>
        <v>层高</v>
      </c>
      <c r="AA39" s="1807">
        <f t="shared" si="3"/>
        <v>1</v>
      </c>
      <c r="AB39" s="1807">
        <f t="shared" si="4"/>
        <v>1</v>
      </c>
      <c r="AC39" s="1807">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86"/>
      <c r="Q40" s="1806" t="str">
        <f t="shared" si="11"/>
        <v>单套建筑面积</v>
      </c>
      <c r="R40" s="772" t="s">
        <v>17</v>
      </c>
      <c r="S40" s="773">
        <f t="shared" si="12"/>
        <v>100</v>
      </c>
      <c r="T40" s="772" t="s">
        <v>17</v>
      </c>
      <c r="U40" s="773">
        <f t="shared" si="13"/>
        <v>100</v>
      </c>
      <c r="V40" s="772" t="s">
        <v>17</v>
      </c>
      <c r="W40" s="773">
        <f t="shared" si="14"/>
        <v>100</v>
      </c>
      <c r="X40" s="1809"/>
      <c r="Y40" s="3288"/>
      <c r="Z40" s="1810" t="str">
        <f t="shared" si="15"/>
        <v>单套建筑面积</v>
      </c>
      <c r="AA40" s="1807">
        <f t="shared" si="3"/>
        <v>1</v>
      </c>
      <c r="AB40" s="1807">
        <f t="shared" si="4"/>
        <v>1</v>
      </c>
      <c r="AC40" s="1807">
        <f t="shared" si="5"/>
        <v>1</v>
      </c>
    </row>
    <row r="41" spans="1:29" s="470" customFormat="1" ht="15">
      <c r="A41" s="467"/>
      <c r="B41" s="1808"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86"/>
      <c r="Q41" s="774" t="str">
        <f t="shared" si="11"/>
        <v>进深比</v>
      </c>
      <c r="R41" s="775" t="s">
        <v>17</v>
      </c>
      <c r="S41" s="776">
        <f t="shared" si="12"/>
        <v>100</v>
      </c>
      <c r="T41" s="775" t="s">
        <v>17</v>
      </c>
      <c r="U41" s="776">
        <f t="shared" si="13"/>
        <v>100</v>
      </c>
      <c r="V41" s="775" t="s">
        <v>17</v>
      </c>
      <c r="W41" s="776">
        <f t="shared" si="14"/>
        <v>100</v>
      </c>
      <c r="X41" s="777"/>
      <c r="Y41" s="3288"/>
      <c r="Z41" s="778" t="str">
        <f t="shared" si="15"/>
        <v>进深比</v>
      </c>
      <c r="AA41" s="1807">
        <f t="shared" si="3"/>
        <v>1</v>
      </c>
      <c r="AB41" s="1807">
        <f t="shared" si="4"/>
        <v>1</v>
      </c>
      <c r="AC41" s="1807">
        <f t="shared" si="5"/>
        <v>1</v>
      </c>
    </row>
    <row r="42" spans="1:29" ht="15">
      <c r="A42" s="471"/>
      <c r="B42" s="421" t="s">
        <v>2661</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6"/>
      <c r="M42" s="1127"/>
      <c r="N42" s="1127"/>
      <c r="O42" s="1127"/>
      <c r="P42" s="3286"/>
      <c r="Q42" s="1806" t="str">
        <f t="shared" si="11"/>
        <v>内部装修</v>
      </c>
      <c r="R42" s="772" t="s">
        <v>17</v>
      </c>
      <c r="S42" s="773">
        <f t="shared" si="12"/>
        <v>100</v>
      </c>
      <c r="T42" s="772" t="s">
        <v>17</v>
      </c>
      <c r="U42" s="773">
        <f t="shared" si="13"/>
        <v>100</v>
      </c>
      <c r="V42" s="772" t="s">
        <v>17</v>
      </c>
      <c r="W42" s="773">
        <f t="shared" si="14"/>
        <v>100</v>
      </c>
      <c r="X42" s="1809"/>
      <c r="Y42" s="3288"/>
      <c r="Z42" s="1810" t="str">
        <f t="shared" si="15"/>
        <v>内部装修</v>
      </c>
      <c r="AA42" s="1807">
        <f t="shared" si="3"/>
        <v>1</v>
      </c>
      <c r="AB42" s="1807">
        <f t="shared" si="4"/>
        <v>1</v>
      </c>
      <c r="AC42" s="1807">
        <f t="shared" si="5"/>
        <v>1</v>
      </c>
    </row>
    <row r="43" spans="1:29" ht="15">
      <c r="A43" s="471"/>
      <c r="B43" s="421" t="s">
        <v>2569</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6"/>
      <c r="M43" s="1127"/>
      <c r="N43" s="1127"/>
      <c r="O43" s="1127"/>
      <c r="P43" s="3286"/>
      <c r="Q43" s="1806" t="str">
        <f t="shared" si="11"/>
        <v>内部装修维护情况</v>
      </c>
      <c r="R43" s="772" t="s">
        <v>17</v>
      </c>
      <c r="S43" s="773">
        <f t="shared" si="12"/>
        <v>100</v>
      </c>
      <c r="T43" s="772" t="s">
        <v>17</v>
      </c>
      <c r="U43" s="773">
        <f t="shared" si="13"/>
        <v>100</v>
      </c>
      <c r="V43" s="772" t="s">
        <v>17</v>
      </c>
      <c r="W43" s="773">
        <f t="shared" si="14"/>
        <v>100</v>
      </c>
      <c r="X43" s="1809"/>
      <c r="Y43" s="3288"/>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86"/>
      <c r="Q44" s="1791">
        <f t="shared" si="11"/>
        <v>111</v>
      </c>
      <c r="R44" s="768" t="s">
        <v>17</v>
      </c>
      <c r="S44" s="769">
        <f t="shared" si="12"/>
        <v>100</v>
      </c>
      <c r="T44" s="768" t="s">
        <v>17</v>
      </c>
      <c r="U44" s="769">
        <f t="shared" si="13"/>
        <v>100</v>
      </c>
      <c r="V44" s="768" t="s">
        <v>17</v>
      </c>
      <c r="W44" s="769">
        <f t="shared" si="14"/>
        <v>100</v>
      </c>
      <c r="X44" s="770"/>
      <c r="Y44" s="3288"/>
      <c r="Z44" s="55">
        <f t="shared" si="15"/>
        <v>111</v>
      </c>
      <c r="AA44" s="771">
        <f t="shared" si="3"/>
        <v>1</v>
      </c>
      <c r="AB44" s="771">
        <f t="shared" si="4"/>
        <v>1</v>
      </c>
      <c r="AC44" s="771">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86"/>
      <c r="Q45" s="1806">
        <f t="shared" si="11"/>
        <v>111</v>
      </c>
      <c r="R45" s="772" t="s">
        <v>17</v>
      </c>
      <c r="S45" s="773">
        <f t="shared" si="12"/>
        <v>100</v>
      </c>
      <c r="T45" s="772" t="s">
        <v>17</v>
      </c>
      <c r="U45" s="773">
        <f t="shared" si="13"/>
        <v>100</v>
      </c>
      <c r="V45" s="772" t="s">
        <v>17</v>
      </c>
      <c r="W45" s="773">
        <f t="shared" si="14"/>
        <v>100</v>
      </c>
      <c r="X45" s="1809"/>
      <c r="Y45" s="3288"/>
      <c r="Z45" s="1810">
        <f t="shared" si="15"/>
        <v>111</v>
      </c>
      <c r="AA45" s="1807">
        <f t="shared" si="3"/>
        <v>1</v>
      </c>
      <c r="AB45" s="1807">
        <f t="shared" si="4"/>
        <v>1</v>
      </c>
      <c r="AC45" s="1807">
        <f t="shared" si="5"/>
        <v>1</v>
      </c>
    </row>
    <row r="46" spans="1:29" ht="15.75"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87"/>
      <c r="Q46" s="1806">
        <f t="shared" si="11"/>
        <v>111</v>
      </c>
      <c r="R46" s="772" t="s">
        <v>17</v>
      </c>
      <c r="S46" s="773">
        <f t="shared" si="12"/>
        <v>100</v>
      </c>
      <c r="T46" s="772" t="s">
        <v>17</v>
      </c>
      <c r="U46" s="773">
        <f t="shared" si="13"/>
        <v>100</v>
      </c>
      <c r="V46" s="772" t="s">
        <v>17</v>
      </c>
      <c r="W46" s="773">
        <f t="shared" si="14"/>
        <v>100</v>
      </c>
      <c r="X46" s="1809"/>
      <c r="Y46" s="3289"/>
      <c r="Z46" s="1810">
        <f t="shared" si="15"/>
        <v>111</v>
      </c>
      <c r="AA46" s="1807">
        <f t="shared" si="3"/>
        <v>1</v>
      </c>
      <c r="AB46" s="1807">
        <f t="shared" si="4"/>
        <v>1</v>
      </c>
      <c r="AC46" s="1807">
        <f t="shared" si="5"/>
        <v>1</v>
      </c>
    </row>
    <row r="47" spans="1:29" ht="15">
      <c r="A47" s="478" t="s">
        <v>2570</v>
      </c>
      <c r="B47" s="479"/>
      <c r="C47" s="1403" t="s">
        <v>1</v>
      </c>
      <c r="D47" s="1404"/>
      <c r="E47" s="1405"/>
      <c r="F47" s="1406"/>
      <c r="G47" s="1407"/>
      <c r="H47" s="1408"/>
      <c r="I47" s="1405"/>
      <c r="J47" s="1408"/>
      <c r="K47" s="781"/>
      <c r="L47" s="1139"/>
      <c r="M47" s="1140"/>
      <c r="N47" s="1127"/>
      <c r="O47" s="1140"/>
      <c r="P47" s="3290" t="str">
        <f>A47</f>
        <v>成交单价（元/平方米）</v>
      </c>
      <c r="Q47" s="3290"/>
      <c r="R47" s="3278">
        <f>E47</f>
        <v>0</v>
      </c>
      <c r="S47" s="3278"/>
      <c r="T47" s="3278">
        <f>G47</f>
        <v>0</v>
      </c>
      <c r="U47" s="3278"/>
      <c r="V47" s="3278">
        <f>I47</f>
        <v>0</v>
      </c>
      <c r="W47" s="3278"/>
      <c r="X47" s="757"/>
      <c r="Y47" s="779"/>
      <c r="Z47" s="757"/>
      <c r="AA47" s="757"/>
      <c r="AB47" s="757"/>
      <c r="AC47" s="757"/>
    </row>
    <row r="48" spans="1:29" ht="15.75" thickBot="1">
      <c r="A48" s="485" t="s">
        <v>2662</v>
      </c>
      <c r="B48" s="486"/>
      <c r="C48" s="1409" t="e">
        <f>R49</f>
        <v>#DIV/0!</v>
      </c>
      <c r="D48" s="1410"/>
      <c r="E48" s="1411" t="e">
        <f>R48</f>
        <v>#DIV/0!</v>
      </c>
      <c r="F48" s="1411"/>
      <c r="G48" s="1409" t="e">
        <f>T48</f>
        <v>#DIV/0!</v>
      </c>
      <c r="H48" s="1410"/>
      <c r="I48" s="1411" t="e">
        <f>V48</f>
        <v>#DIV/0!</v>
      </c>
      <c r="J48" s="1410"/>
      <c r="K48" s="782"/>
      <c r="L48" s="1139"/>
      <c r="M48" s="1140"/>
      <c r="N48" s="1127"/>
      <c r="O48" s="1140"/>
      <c r="P48" s="3290" t="str">
        <f>A48</f>
        <v>比较价值（元/平方米）</v>
      </c>
      <c r="Q48" s="3290"/>
      <c r="R48" s="3291" t="e">
        <f>IF(F1="售价",ROUND(PRODUCT(R47,AA7:AA46),0),ROUND(PRODUCT(R47,AA7:AA46),1))</f>
        <v>#DIV/0!</v>
      </c>
      <c r="S48" s="3291"/>
      <c r="T48" s="3291" t="e">
        <f>IF(F1="售价",ROUND(PRODUCT(T47,AB7:AB46),0),ROUND(PRODUCT(T47,AB7:AB46),1))</f>
        <v>#DIV/0!</v>
      </c>
      <c r="U48" s="3291"/>
      <c r="V48" s="3291" t="e">
        <f>IF(F1="售价",ROUND(PRODUCT(V47,AC7:AC46),0),ROUND(PRODUCT(V47,AC7:AC46),1))</f>
        <v>#DIV/0!</v>
      </c>
      <c r="W48" s="3291"/>
      <c r="X48" s="757"/>
      <c r="Y48" s="757"/>
      <c r="Z48" s="757"/>
      <c r="AA48" s="757"/>
      <c r="AB48" s="757"/>
      <c r="AC48" s="757"/>
    </row>
    <row r="49" spans="1:29" ht="15.75" thickBot="1">
      <c r="A49" s="491" t="s">
        <v>2663</v>
      </c>
      <c r="B49" s="492"/>
      <c r="C49" s="1413" t="e">
        <f>R49</f>
        <v>#DIV/0!</v>
      </c>
      <c r="D49" s="1413"/>
      <c r="E49" s="1413"/>
      <c r="F49" s="1413"/>
      <c r="G49" s="1413"/>
      <c r="H49" s="1413"/>
      <c r="I49" s="1413"/>
      <c r="J49" s="1413"/>
      <c r="K49" s="783"/>
      <c r="L49" s="1139"/>
      <c r="M49" s="1140"/>
      <c r="N49" s="1127"/>
      <c r="O49" s="1140"/>
      <c r="P49" s="3341" t="str">
        <f>A49</f>
        <v>估价对象XX用房的比较价值（楼面单价，元/平方米）</v>
      </c>
      <c r="Q49" s="3342"/>
      <c r="R49" s="3343" t="e">
        <f>IF(F1="售价",ROUND(AVERAGE(R48:V48),0),ROUND(AVERAGE(R48:V48),1))</f>
        <v>#DIV/0!</v>
      </c>
      <c r="S49" s="3343"/>
      <c r="T49" s="3343"/>
      <c r="U49" s="3343"/>
      <c r="V49" s="3343"/>
      <c r="W49" s="3343"/>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4"/>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4"/>
      <c r="Q51" s="757"/>
      <c r="R51" s="757"/>
      <c r="S51" s="757"/>
      <c r="T51" s="757"/>
      <c r="U51" s="757"/>
      <c r="V51" s="757"/>
      <c r="W51" s="757"/>
      <c r="X51" s="757"/>
      <c r="Y51" s="757"/>
      <c r="Z51" s="757"/>
      <c r="AA51" s="757"/>
      <c r="AB51" s="757"/>
      <c r="AC51" s="757"/>
    </row>
    <row r="52" spans="1:29" ht="13.5" customHeight="1">
      <c r="A52" s="1140"/>
      <c r="B52" s="1140"/>
      <c r="C52" s="496" t="s">
        <v>2664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7"/>
      <c r="R52" s="757"/>
      <c r="S52" s="757"/>
      <c r="T52" s="757"/>
      <c r="U52" s="757"/>
      <c r="V52" s="757"/>
      <c r="W52" s="757"/>
      <c r="X52" s="757"/>
      <c r="Y52" s="757"/>
      <c r="Z52" s="757"/>
      <c r="AA52" s="757"/>
      <c r="AB52" s="757"/>
      <c r="AC52" s="757"/>
    </row>
    <row r="53" spans="1:29" ht="13.5" customHeight="1">
      <c r="A53" s="1140"/>
      <c r="B53" s="1140"/>
      <c r="C53" s="496" t="s">
        <v>2665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7"/>
      <c r="R53" s="757"/>
      <c r="S53" s="757"/>
      <c r="T53" s="757"/>
      <c r="U53" s="757"/>
      <c r="V53" s="757"/>
      <c r="W53" s="757"/>
      <c r="X53" s="757"/>
      <c r="Y53" s="757"/>
      <c r="Z53" s="757"/>
      <c r="AA53" s="757"/>
      <c r="AB53" s="757"/>
      <c r="AC53" s="757"/>
    </row>
    <row r="54" spans="1:29" s="501" customFormat="1" ht="13.5" customHeight="1">
      <c r="A54" s="1141"/>
      <c r="B54" s="1141"/>
      <c r="C54" s="496" t="s">
        <v>2666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8"/>
      <c r="Q54" s="758"/>
      <c r="R54" s="758"/>
      <c r="S54" s="758"/>
      <c r="T54" s="758"/>
      <c r="U54" s="758"/>
      <c r="V54" s="758"/>
      <c r="W54" s="758"/>
      <c r="X54" s="758"/>
      <c r="Y54" s="758"/>
      <c r="Z54" s="758"/>
      <c r="AA54" s="758"/>
      <c r="AB54" s="758"/>
      <c r="AC54" s="758"/>
    </row>
    <row r="55" spans="1:29" s="501" customFormat="1">
      <c r="A55" s="1141"/>
      <c r="B55" s="1142"/>
      <c r="C55" s="1146"/>
      <c r="D55" s="1141"/>
      <c r="E55" s="1141"/>
      <c r="F55" s="1141"/>
      <c r="G55" s="1141"/>
      <c r="H55" s="1141"/>
      <c r="I55" s="1141"/>
      <c r="J55" s="1141"/>
      <c r="K55" s="1144"/>
      <c r="L55" s="1145"/>
      <c r="M55" s="1141"/>
      <c r="N55" s="1141"/>
      <c r="O55" s="1141"/>
      <c r="P55" s="2658"/>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4"/>
      <c r="Q56" s="757"/>
      <c r="R56" s="757"/>
      <c r="S56" s="757"/>
      <c r="T56" s="757"/>
      <c r="U56" s="757"/>
      <c r="V56" s="757"/>
      <c r="W56" s="757"/>
      <c r="X56" s="757"/>
      <c r="Y56" s="757"/>
      <c r="Z56" s="757"/>
      <c r="AA56" s="757"/>
      <c r="AB56" s="757"/>
      <c r="AC56" s="757"/>
    </row>
    <row r="57" spans="1:29" ht="21.75" thickBot="1">
      <c r="A57" s="761" t="s">
        <v>2667</v>
      </c>
      <c r="B57" s="757"/>
      <c r="C57" s="762"/>
      <c r="D57" s="762"/>
      <c r="E57" s="762"/>
      <c r="F57" s="763"/>
      <c r="G57" s="763"/>
      <c r="H57" s="762"/>
      <c r="I57" s="762"/>
      <c r="J57" s="762"/>
      <c r="K57" s="764"/>
      <c r="L57" s="1157"/>
      <c r="M57" s="1155"/>
      <c r="N57" s="1155"/>
      <c r="O57" s="1155"/>
      <c r="P57" s="2659"/>
      <c r="Q57" s="2660"/>
      <c r="R57" s="757"/>
      <c r="S57" s="757"/>
      <c r="T57" s="757"/>
      <c r="U57" s="757"/>
      <c r="V57" s="757"/>
      <c r="W57" s="757"/>
      <c r="X57" s="757"/>
      <c r="Y57" s="757"/>
      <c r="Z57" s="757"/>
      <c r="AA57" s="757"/>
      <c r="AB57" s="757"/>
      <c r="AC57" s="757"/>
    </row>
    <row r="58" spans="1:29" s="507" customFormat="1" ht="15">
      <c r="A58" s="504" t="s">
        <v>2541</v>
      </c>
      <c r="B58" s="505"/>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6" customFormat="1" ht="15">
      <c r="A59" s="508"/>
      <c r="B59" s="509"/>
      <c r="C59" s="1569">
        <v>100</v>
      </c>
      <c r="D59" s="511"/>
      <c r="E59" s="511"/>
      <c r="F59" s="511"/>
      <c r="G59" s="511"/>
      <c r="H59" s="511"/>
      <c r="I59" s="511"/>
      <c r="J59" s="511"/>
      <c r="K59" s="511"/>
      <c r="L59" s="511"/>
      <c r="M59" s="512"/>
      <c r="N59" s="511"/>
      <c r="O59" s="512"/>
      <c r="P59" s="2620"/>
    </row>
    <row r="60" spans="1:29" s="116" customFormat="1" ht="15.75" thickBot="1">
      <c r="A60" s="514" t="s">
        <v>2578</v>
      </c>
      <c r="B60" s="515"/>
      <c r="C60" s="516"/>
      <c r="D60" s="517"/>
      <c r="E60" s="517"/>
      <c r="F60" s="517"/>
      <c r="G60" s="517"/>
      <c r="H60" s="517"/>
      <c r="I60" s="517"/>
      <c r="J60" s="517"/>
      <c r="K60" s="517"/>
      <c r="L60" s="517"/>
      <c r="M60" s="518"/>
      <c r="N60" s="517"/>
      <c r="O60" s="518"/>
      <c r="P60" s="2620"/>
      <c r="Q60" s="503"/>
    </row>
    <row r="61" spans="1:29" s="116" customFormat="1" ht="15">
      <c r="A61" s="520" t="s">
        <v>2543</v>
      </c>
      <c r="B61" s="509"/>
      <c r="C61" s="521" t="s">
        <v>2645</v>
      </c>
      <c r="D61" s="522"/>
      <c r="E61" s="522"/>
      <c r="F61" s="522"/>
      <c r="G61" s="522"/>
      <c r="H61" s="522"/>
      <c r="I61" s="522"/>
      <c r="J61" s="522"/>
      <c r="K61" s="522"/>
      <c r="L61" s="523"/>
      <c r="M61" s="524"/>
      <c r="N61" s="1147"/>
      <c r="O61" s="1147"/>
      <c r="P61" s="2621"/>
      <c r="Q61" s="503"/>
    </row>
    <row r="62" spans="1:29" s="116" customFormat="1" ht="15.75" thickBot="1">
      <c r="A62" s="520"/>
      <c r="B62" s="509"/>
      <c r="C62" s="510">
        <v>100</v>
      </c>
      <c r="D62" s="511"/>
      <c r="E62" s="511"/>
      <c r="F62" s="511"/>
      <c r="G62" s="511"/>
      <c r="H62" s="511"/>
      <c r="I62" s="511"/>
      <c r="J62" s="511"/>
      <c r="K62" s="511"/>
      <c r="L62" s="511"/>
      <c r="M62" s="513"/>
      <c r="N62" s="1147"/>
      <c r="O62" s="1147"/>
      <c r="P62" s="2620"/>
      <c r="Q62" s="503"/>
    </row>
    <row r="63" spans="1:29">
      <c r="A63" s="526" t="s">
        <v>2581</v>
      </c>
      <c r="B63" s="527" t="s">
        <v>2547</v>
      </c>
      <c r="C63" s="528">
        <f>C9</f>
        <v>0</v>
      </c>
      <c r="D63" s="529"/>
      <c r="E63" s="529"/>
      <c r="F63" s="529"/>
      <c r="G63" s="529"/>
      <c r="H63" s="529"/>
      <c r="I63" s="529"/>
      <c r="J63" s="529"/>
      <c r="K63" s="530"/>
      <c r="L63" s="531"/>
      <c r="M63" s="532"/>
      <c r="N63" s="1148"/>
      <c r="O63" s="1148"/>
      <c r="P63" s="2622"/>
      <c r="Q63" s="503"/>
    </row>
    <row r="64" spans="1:29" ht="15.75" thickBot="1">
      <c r="A64" s="533"/>
      <c r="B64" s="534"/>
      <c r="C64" s="535">
        <v>100</v>
      </c>
      <c r="D64" s="535"/>
      <c r="E64" s="535"/>
      <c r="F64" s="535"/>
      <c r="G64" s="535"/>
      <c r="H64" s="535"/>
      <c r="I64" s="535"/>
      <c r="J64" s="535"/>
      <c r="K64" s="535"/>
      <c r="L64" s="535"/>
      <c r="M64" s="536"/>
      <c r="N64" s="1149"/>
      <c r="O64" s="1149"/>
      <c r="P64" s="2622"/>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48"/>
      <c r="O65" s="1148"/>
      <c r="P65" s="262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2"/>
      <c r="Q66" s="503"/>
    </row>
    <row r="67" spans="1:17" ht="15.75" thickTop="1">
      <c r="A67" s="533"/>
      <c r="B67" s="545" t="s">
        <v>2551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2"/>
      <c r="Q67" s="503"/>
    </row>
    <row r="68" spans="1:17" ht="15">
      <c r="A68" s="533"/>
      <c r="B68" s="547"/>
      <c r="C68" s="548"/>
      <c r="D68" s="548"/>
      <c r="E68" s="548"/>
      <c r="F68" s="548"/>
      <c r="G68" s="548"/>
      <c r="H68" s="548"/>
      <c r="I68" s="548"/>
      <c r="J68" s="548"/>
      <c r="K68" s="549"/>
      <c r="L68" s="550"/>
      <c r="M68" s="551"/>
      <c r="N68" s="1148"/>
      <c r="O68" s="1148"/>
      <c r="P68" s="262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2"/>
      <c r="Q69" s="503"/>
    </row>
    <row r="70" spans="1:17" s="470" customFormat="1" ht="15.75" thickTop="1">
      <c r="A70" s="552"/>
      <c r="B70" s="537">
        <f>B12</f>
        <v>111</v>
      </c>
      <c r="C70" s="553"/>
      <c r="D70" s="553"/>
      <c r="E70" s="553"/>
      <c r="F70" s="553"/>
      <c r="G70" s="553"/>
      <c r="H70" s="554"/>
      <c r="I70" s="554"/>
      <c r="J70" s="554"/>
      <c r="K70" s="554"/>
      <c r="L70" s="555"/>
      <c r="M70" s="556"/>
      <c r="N70" s="1150"/>
      <c r="O70" s="1150"/>
      <c r="P70" s="2623"/>
      <c r="Q70" s="558"/>
    </row>
    <row r="71" spans="1:17" s="470" customFormat="1" ht="15.75" thickBot="1">
      <c r="A71" s="552"/>
      <c r="B71" s="542"/>
      <c r="C71" s="559"/>
      <c r="D71" s="535"/>
      <c r="E71" s="535"/>
      <c r="F71" s="535"/>
      <c r="G71" s="535"/>
      <c r="H71" s="535"/>
      <c r="I71" s="535"/>
      <c r="J71" s="535"/>
      <c r="K71" s="535"/>
      <c r="L71" s="535"/>
      <c r="M71" s="536"/>
      <c r="N71" s="1149"/>
      <c r="O71" s="1149"/>
      <c r="P71" s="2623"/>
      <c r="Q71" s="558"/>
    </row>
    <row r="72" spans="1:17" s="470" customFormat="1" ht="15.75" thickTop="1">
      <c r="A72" s="552"/>
      <c r="B72" s="537">
        <f>B13</f>
        <v>111</v>
      </c>
      <c r="C72" s="553"/>
      <c r="D72" s="553"/>
      <c r="E72" s="553"/>
      <c r="F72" s="553"/>
      <c r="G72" s="553"/>
      <c r="H72" s="554"/>
      <c r="I72" s="554"/>
      <c r="J72" s="554"/>
      <c r="K72" s="554"/>
      <c r="L72" s="555"/>
      <c r="M72" s="556"/>
      <c r="N72" s="1150"/>
      <c r="O72" s="1150"/>
      <c r="P72" s="2624"/>
      <c r="Q72" s="560"/>
    </row>
    <row r="73" spans="1:17" s="470" customFormat="1" ht="15.75" thickBot="1">
      <c r="A73" s="552"/>
      <c r="B73" s="542"/>
      <c r="C73" s="559"/>
      <c r="D73" s="535"/>
      <c r="E73" s="535"/>
      <c r="F73" s="535"/>
      <c r="G73" s="559"/>
      <c r="H73" s="561"/>
      <c r="I73" s="561"/>
      <c r="J73" s="561"/>
      <c r="K73" s="561"/>
      <c r="L73" s="561"/>
      <c r="M73" s="562"/>
      <c r="N73" s="1150"/>
      <c r="O73" s="1150"/>
      <c r="P73" s="2623"/>
      <c r="Q73" s="558"/>
    </row>
    <row r="74" spans="1:17" s="470" customFormat="1" ht="15.75" thickTop="1">
      <c r="A74" s="552"/>
      <c r="B74" s="545">
        <f>B14</f>
        <v>111</v>
      </c>
      <c r="C74" s="553"/>
      <c r="D74" s="553"/>
      <c r="E74" s="553"/>
      <c r="F74" s="553"/>
      <c r="G74" s="522"/>
      <c r="H74" s="563"/>
      <c r="I74" s="563"/>
      <c r="J74" s="563"/>
      <c r="K74" s="563"/>
      <c r="L74" s="564"/>
      <c r="M74" s="565"/>
      <c r="N74" s="1150"/>
      <c r="O74" s="1150"/>
      <c r="P74" s="2625"/>
      <c r="Q74" s="558"/>
    </row>
    <row r="75" spans="1:17" s="470" customFormat="1" ht="15.75" thickBot="1">
      <c r="A75" s="567"/>
      <c r="B75" s="568"/>
      <c r="C75" s="569"/>
      <c r="D75" s="569"/>
      <c r="E75" s="569"/>
      <c r="F75" s="569"/>
      <c r="G75" s="569"/>
      <c r="H75" s="570"/>
      <c r="I75" s="570"/>
      <c r="J75" s="570"/>
      <c r="K75" s="570"/>
      <c r="L75" s="570"/>
      <c r="M75" s="571"/>
      <c r="N75" s="1150"/>
      <c r="O75" s="1150"/>
      <c r="P75" s="2623"/>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48"/>
      <c r="O76" s="1148"/>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2"/>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48"/>
      <c r="O78" s="1148"/>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2"/>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48"/>
      <c r="O80" s="1148"/>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2"/>
      <c r="Q81" s="503"/>
    </row>
    <row r="82" spans="1:17" ht="15.75" thickTop="1">
      <c r="A82" s="533"/>
      <c r="B82" s="545" t="s">
        <v>2648</v>
      </c>
      <c r="C82" s="659" t="s">
        <v>2668</v>
      </c>
      <c r="D82" s="659" t="s">
        <v>2669</v>
      </c>
      <c r="E82" s="659" t="s">
        <v>2670</v>
      </c>
      <c r="F82" s="659" t="s">
        <v>2671</v>
      </c>
      <c r="G82" s="659" t="s">
        <v>2672</v>
      </c>
      <c r="H82" s="538"/>
      <c r="I82" s="538"/>
      <c r="J82" s="538"/>
      <c r="K82" s="538"/>
      <c r="L82" s="538"/>
      <c r="M82" s="1378"/>
      <c r="N82" s="1149"/>
      <c r="O82" s="1149"/>
      <c r="P82" s="262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2"/>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48"/>
      <c r="O84" s="1148"/>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2"/>
      <c r="Q85" s="503"/>
    </row>
    <row r="86" spans="1:17" s="116" customFormat="1" ht="15.75" thickTop="1">
      <c r="A86" s="578"/>
      <c r="B86" s="537" t="s">
        <v>2673</v>
      </c>
      <c r="C86" s="553"/>
      <c r="D86" s="553"/>
      <c r="E86" s="553"/>
      <c r="F86" s="553"/>
      <c r="G86" s="553"/>
      <c r="H86" s="553"/>
      <c r="I86" s="553"/>
      <c r="J86" s="553"/>
      <c r="K86" s="553"/>
      <c r="L86" s="579"/>
      <c r="M86" s="580"/>
      <c r="N86" s="1147"/>
      <c r="O86" s="1147"/>
      <c r="P86" s="262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2"/>
      <c r="Q87" s="503"/>
    </row>
    <row r="88" spans="1:17" s="116" customFormat="1" ht="15.75" thickTop="1">
      <c r="A88" s="578"/>
      <c r="B88" s="537" t="str">
        <f>B26</f>
        <v>平面位置/可视性</v>
      </c>
      <c r="C88" s="553"/>
      <c r="D88" s="553"/>
      <c r="E88" s="553"/>
      <c r="F88" s="2627"/>
      <c r="G88" s="553"/>
      <c r="H88" s="553"/>
      <c r="I88" s="553"/>
      <c r="J88" s="553"/>
      <c r="K88" s="553"/>
      <c r="L88" s="553"/>
      <c r="M88" s="580"/>
      <c r="N88" s="1147"/>
      <c r="O88" s="1147"/>
      <c r="P88" s="2622"/>
      <c r="Q88" s="503"/>
    </row>
    <row r="89" spans="1:17" s="116" customFormat="1" ht="15.75" thickBot="1">
      <c r="A89" s="578"/>
      <c r="B89" s="542"/>
      <c r="C89" s="559"/>
      <c r="D89" s="535"/>
      <c r="E89" s="535"/>
      <c r="F89" s="535"/>
      <c r="G89" s="535"/>
      <c r="H89" s="535"/>
      <c r="I89" s="535"/>
      <c r="J89" s="535"/>
      <c r="K89" s="535"/>
      <c r="L89" s="535"/>
      <c r="M89" s="535"/>
      <c r="N89" s="1149"/>
      <c r="O89" s="1149"/>
      <c r="P89" s="2622"/>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3"/>
      <c r="Q91" s="558"/>
    </row>
    <row r="92" spans="1:17" ht="15.75" thickTop="1">
      <c r="A92" s="533"/>
      <c r="B92" s="537" t="str">
        <f>B28</f>
        <v>楼层</v>
      </c>
      <c r="C92" s="553"/>
      <c r="D92" s="553"/>
      <c r="E92" s="553"/>
      <c r="F92" s="553"/>
      <c r="G92" s="553"/>
      <c r="H92" s="553"/>
      <c r="I92" s="553"/>
      <c r="J92" s="553"/>
      <c r="K92" s="553"/>
      <c r="L92" s="579"/>
      <c r="M92" s="580"/>
      <c r="N92" s="1148"/>
      <c r="O92" s="1148"/>
      <c r="P92" s="2622"/>
      <c r="Q92" s="503"/>
    </row>
    <row r="93" spans="1:17" ht="15.75" thickBot="1">
      <c r="A93" s="533"/>
      <c r="B93" s="542"/>
      <c r="C93" s="535"/>
      <c r="D93" s="535"/>
      <c r="E93" s="535"/>
      <c r="F93" s="535"/>
      <c r="G93" s="535"/>
      <c r="H93" s="535"/>
      <c r="I93" s="535"/>
      <c r="J93" s="535"/>
      <c r="K93" s="535"/>
      <c r="L93" s="535"/>
      <c r="M93" s="536"/>
      <c r="N93" s="1149"/>
      <c r="O93" s="1149"/>
      <c r="P93" s="2622"/>
      <c r="Q93" s="503"/>
    </row>
    <row r="94" spans="1:17" ht="15.75" thickTop="1">
      <c r="A94" s="533"/>
      <c r="B94" s="537">
        <f>B29</f>
        <v>111</v>
      </c>
      <c r="C94" s="553"/>
      <c r="D94" s="553"/>
      <c r="E94" s="553"/>
      <c r="F94" s="553"/>
      <c r="G94" s="582"/>
      <c r="H94" s="582"/>
      <c r="I94" s="582"/>
      <c r="J94" s="582"/>
      <c r="K94" s="583"/>
      <c r="L94" s="584"/>
      <c r="M94" s="585"/>
      <c r="N94" s="1148"/>
      <c r="O94" s="1148"/>
      <c r="P94" s="2622"/>
      <c r="Q94" s="503"/>
    </row>
    <row r="95" spans="1:17" ht="15.75" thickBot="1">
      <c r="A95" s="533"/>
      <c r="B95" s="542"/>
      <c r="C95" s="559"/>
      <c r="D95" s="535"/>
      <c r="E95" s="535"/>
      <c r="F95" s="535"/>
      <c r="G95" s="535"/>
      <c r="H95" s="535"/>
      <c r="I95" s="535"/>
      <c r="J95" s="535"/>
      <c r="K95" s="535"/>
      <c r="L95" s="535"/>
      <c r="M95" s="536"/>
      <c r="N95" s="1149"/>
      <c r="O95" s="1149"/>
      <c r="P95" s="2622"/>
      <c r="Q95" s="503"/>
    </row>
    <row r="96" spans="1:17" ht="15.75" thickTop="1">
      <c r="A96" s="533"/>
      <c r="B96" s="537">
        <f>B30</f>
        <v>111</v>
      </c>
      <c r="C96" s="553"/>
      <c r="D96" s="553"/>
      <c r="E96" s="553"/>
      <c r="F96" s="553"/>
      <c r="G96" s="582"/>
      <c r="H96" s="582"/>
      <c r="I96" s="582"/>
      <c r="J96" s="582"/>
      <c r="K96" s="583"/>
      <c r="L96" s="584"/>
      <c r="M96" s="585"/>
      <c r="N96" s="1148"/>
      <c r="O96" s="1148"/>
      <c r="P96" s="2622"/>
      <c r="Q96" s="503"/>
    </row>
    <row r="97" spans="1:17" ht="15.75" thickBot="1">
      <c r="A97" s="533"/>
      <c r="B97" s="542"/>
      <c r="C97" s="559"/>
      <c r="D97" s="535"/>
      <c r="E97" s="535"/>
      <c r="F97" s="535"/>
      <c r="G97" s="535"/>
      <c r="H97" s="535"/>
      <c r="I97" s="535"/>
      <c r="J97" s="535"/>
      <c r="K97" s="535"/>
      <c r="L97" s="535"/>
      <c r="M97" s="536"/>
      <c r="N97" s="1149"/>
      <c r="O97" s="1149"/>
      <c r="P97" s="2622"/>
      <c r="Q97" s="503"/>
    </row>
    <row r="98" spans="1:17" ht="15.75" thickTop="1">
      <c r="A98" s="533"/>
      <c r="B98" s="545">
        <f>B31</f>
        <v>111</v>
      </c>
      <c r="C98" s="553"/>
      <c r="D98" s="553"/>
      <c r="E98" s="553"/>
      <c r="F98" s="553"/>
      <c r="G98" s="586"/>
      <c r="H98" s="586"/>
      <c r="I98" s="586"/>
      <c r="J98" s="586"/>
      <c r="K98" s="587"/>
      <c r="L98" s="588"/>
      <c r="M98" s="589"/>
      <c r="N98" s="1148"/>
      <c r="O98" s="1148"/>
      <c r="P98" s="2622"/>
      <c r="Q98" s="503"/>
    </row>
    <row r="99" spans="1:17" ht="15.75" thickBot="1">
      <c r="A99" s="2628"/>
      <c r="B99" s="568"/>
      <c r="C99" s="569"/>
      <c r="D99" s="569"/>
      <c r="E99" s="569"/>
      <c r="F99" s="569"/>
      <c r="G99" s="590"/>
      <c r="H99" s="590"/>
      <c r="I99" s="590"/>
      <c r="J99" s="590"/>
      <c r="K99" s="590"/>
      <c r="L99" s="590"/>
      <c r="M99" s="591"/>
      <c r="N99" s="1149"/>
      <c r="O99" s="1149"/>
      <c r="P99" s="2622"/>
      <c r="Q99" s="503"/>
    </row>
    <row r="100" spans="1:17">
      <c r="A100" s="526" t="s">
        <v>2556</v>
      </c>
      <c r="B100" s="527" t="s">
        <v>2674</v>
      </c>
      <c r="C100" s="529"/>
      <c r="D100" s="529"/>
      <c r="E100" s="529"/>
      <c r="F100" s="529"/>
      <c r="G100" s="529"/>
      <c r="H100" s="529"/>
      <c r="I100" s="529"/>
      <c r="J100" s="529"/>
      <c r="K100" s="530"/>
      <c r="L100" s="531"/>
      <c r="M100" s="532"/>
      <c r="N100" s="1148"/>
      <c r="O100" s="1148"/>
      <c r="P100" s="262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2"/>
      <c r="Q101" s="503"/>
    </row>
    <row r="102" spans="1:17" ht="15.75" thickTop="1">
      <c r="A102" s="533"/>
      <c r="B102" s="537" t="s">
        <v>2606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2"/>
      <c r="Q102" s="503"/>
    </row>
    <row r="103" spans="1:17" s="470" customFormat="1">
      <c r="A103" s="592"/>
      <c r="B103" s="593"/>
      <c r="C103" s="594"/>
      <c r="D103" s="594"/>
      <c r="E103" s="594"/>
      <c r="F103" s="594"/>
      <c r="G103" s="594"/>
      <c r="H103" s="594"/>
      <c r="I103" s="594"/>
      <c r="J103" s="595"/>
      <c r="K103" s="595"/>
      <c r="L103" s="596"/>
      <c r="M103" s="597"/>
      <c r="N103" s="1150"/>
      <c r="O103" s="1150"/>
      <c r="P103" s="2623"/>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3"/>
      <c r="Q104" s="558"/>
    </row>
    <row r="105" spans="1:17" ht="15" thickTop="1">
      <c r="A105" s="598"/>
      <c r="B105" s="537" t="s">
        <v>2607</v>
      </c>
      <c r="C105" s="553"/>
      <c r="D105" s="553"/>
      <c r="E105" s="582"/>
      <c r="F105" s="582"/>
      <c r="G105" s="582"/>
      <c r="H105" s="582"/>
      <c r="I105" s="582"/>
      <c r="J105" s="582"/>
      <c r="K105" s="583"/>
      <c r="L105" s="584"/>
      <c r="M105" s="585"/>
      <c r="N105" s="1148"/>
      <c r="O105" s="1148"/>
      <c r="P105" s="262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2"/>
      <c r="Q106" s="503"/>
    </row>
    <row r="107" spans="1:17" ht="15" thickTop="1">
      <c r="A107" s="598"/>
      <c r="B107" s="537" t="s">
        <v>2609</v>
      </c>
      <c r="C107" s="553"/>
      <c r="D107" s="553"/>
      <c r="E107" s="553"/>
      <c r="F107" s="582"/>
      <c r="G107" s="582"/>
      <c r="H107" s="582"/>
      <c r="I107" s="582"/>
      <c r="J107" s="582"/>
      <c r="K107" s="583"/>
      <c r="L107" s="584"/>
      <c r="M107" s="585"/>
      <c r="N107" s="1148"/>
      <c r="O107" s="1148"/>
      <c r="P107" s="262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2"/>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2"/>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2"/>
      <c r="Q111" s="503"/>
    </row>
    <row r="112" spans="1:17" s="470" customFormat="1" ht="15" thickTop="1">
      <c r="A112" s="592"/>
      <c r="B112" s="537" t="s">
        <v>2611</v>
      </c>
      <c r="C112" s="553"/>
      <c r="D112" s="553"/>
      <c r="E112" s="553"/>
      <c r="F112" s="553"/>
      <c r="G112" s="553"/>
      <c r="H112" s="582"/>
      <c r="I112" s="582"/>
      <c r="J112" s="582"/>
      <c r="K112" s="583"/>
      <c r="L112" s="584"/>
      <c r="M112" s="585"/>
      <c r="N112" s="1150"/>
      <c r="O112" s="1150"/>
      <c r="P112" s="262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3"/>
      <c r="Q113" s="558"/>
    </row>
    <row r="114" spans="1:17" ht="15" thickTop="1">
      <c r="A114" s="598"/>
      <c r="B114" s="537" t="s">
        <v>2675</v>
      </c>
      <c r="C114" s="553"/>
      <c r="D114" s="553"/>
      <c r="E114" s="582"/>
      <c r="F114" s="582"/>
      <c r="G114" s="582"/>
      <c r="H114" s="582"/>
      <c r="I114" s="582"/>
      <c r="J114" s="582"/>
      <c r="K114" s="583"/>
      <c r="L114" s="584"/>
      <c r="M114" s="585"/>
      <c r="N114" s="1148"/>
      <c r="O114" s="1148"/>
      <c r="P114" s="262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2"/>
      <c r="Q115" s="503"/>
    </row>
    <row r="116" spans="1:17" ht="15" thickTop="1">
      <c r="A116" s="598"/>
      <c r="B116" s="537" t="s">
        <v>2676</v>
      </c>
      <c r="C116" s="553"/>
      <c r="D116" s="553"/>
      <c r="E116" s="553"/>
      <c r="F116" s="553"/>
      <c r="G116" s="553"/>
      <c r="H116" s="582"/>
      <c r="I116" s="582"/>
      <c r="J116" s="582"/>
      <c r="K116" s="583"/>
      <c r="L116" s="584"/>
      <c r="M116" s="585"/>
      <c r="N116" s="1148"/>
      <c r="O116" s="1148"/>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2"/>
      <c r="Q117" s="503"/>
    </row>
    <row r="118" spans="1:17" ht="15" thickTop="1">
      <c r="A118" s="598"/>
      <c r="B118" s="537" t="s">
        <v>2677</v>
      </c>
      <c r="C118" s="626"/>
      <c r="D118" s="626"/>
      <c r="E118" s="626"/>
      <c r="F118" s="626"/>
      <c r="G118" s="626"/>
      <c r="H118" s="554"/>
      <c r="I118" s="554"/>
      <c r="J118" s="554"/>
      <c r="K118" s="554"/>
      <c r="L118" s="555"/>
      <c r="M118" s="556"/>
      <c r="N118" s="1148"/>
      <c r="O118" s="1148"/>
      <c r="P118" s="2622"/>
      <c r="Q118" s="503"/>
    </row>
    <row r="119" spans="1:17" ht="15.75" thickBot="1">
      <c r="A119" s="533"/>
      <c r="B119" s="542"/>
      <c r="C119" s="559"/>
      <c r="D119" s="535"/>
      <c r="E119" s="535"/>
      <c r="F119" s="535"/>
      <c r="G119" s="535"/>
      <c r="H119" s="535"/>
      <c r="I119" s="535"/>
      <c r="J119" s="535"/>
      <c r="K119" s="535"/>
      <c r="L119" s="535"/>
      <c r="M119" s="536"/>
      <c r="N119" s="1149"/>
      <c r="O119" s="1149"/>
      <c r="P119" s="2622"/>
      <c r="Q119" s="503"/>
    </row>
    <row r="120" spans="1:17" s="470" customFormat="1" ht="15" thickTop="1">
      <c r="A120" s="592"/>
      <c r="B120" s="537" t="s">
        <v>2678</v>
      </c>
      <c r="C120" s="582"/>
      <c r="D120" s="582"/>
      <c r="E120" s="582"/>
      <c r="F120" s="582"/>
      <c r="G120" s="554"/>
      <c r="H120" s="554"/>
      <c r="I120" s="554"/>
      <c r="J120" s="554"/>
      <c r="K120" s="554"/>
      <c r="L120" s="555"/>
      <c r="M120" s="556"/>
      <c r="N120" s="1150"/>
      <c r="O120" s="1150"/>
      <c r="P120" s="262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3"/>
      <c r="Q121" s="558"/>
    </row>
    <row r="122" spans="1:17" ht="15" thickTop="1">
      <c r="A122" s="598"/>
      <c r="B122" s="537" t="s">
        <v>2613</v>
      </c>
      <c r="C122" s="553"/>
      <c r="D122" s="553"/>
      <c r="E122" s="553"/>
      <c r="F122" s="582"/>
      <c r="G122" s="582"/>
      <c r="H122" s="582"/>
      <c r="I122" s="582"/>
      <c r="J122" s="582"/>
      <c r="K122" s="583"/>
      <c r="L122" s="584"/>
      <c r="M122" s="585"/>
      <c r="N122" s="1148"/>
      <c r="O122" s="1148"/>
      <c r="P122" s="262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2"/>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48"/>
      <c r="O124" s="1148"/>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2"/>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3"/>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3"/>
      <c r="Q127" s="558"/>
    </row>
    <row r="128" spans="1:17" ht="15" thickTop="1">
      <c r="A128" s="598"/>
      <c r="B128" s="537">
        <f>B45</f>
        <v>111</v>
      </c>
      <c r="C128" s="553"/>
      <c r="D128" s="553"/>
      <c r="E128" s="553"/>
      <c r="F128" s="553"/>
      <c r="G128" s="582"/>
      <c r="H128" s="582"/>
      <c r="I128" s="582"/>
      <c r="J128" s="582"/>
      <c r="K128" s="583"/>
      <c r="L128" s="584"/>
      <c r="M128" s="585"/>
      <c r="N128" s="1148"/>
      <c r="O128" s="1148"/>
      <c r="P128" s="2622"/>
      <c r="Q128" s="503"/>
    </row>
    <row r="129" spans="1:17" ht="15.75" thickBot="1">
      <c r="A129" s="533"/>
      <c r="B129" s="542"/>
      <c r="C129" s="559"/>
      <c r="D129" s="535"/>
      <c r="E129" s="535"/>
      <c r="F129" s="535"/>
      <c r="G129" s="535"/>
      <c r="H129" s="535"/>
      <c r="I129" s="535"/>
      <c r="J129" s="535"/>
      <c r="K129" s="535"/>
      <c r="L129" s="535"/>
      <c r="M129" s="536"/>
      <c r="N129" s="1149"/>
      <c r="O129" s="1149"/>
      <c r="P129" s="2622"/>
      <c r="Q129" s="503"/>
    </row>
    <row r="130" spans="1:17" ht="15" thickTop="1">
      <c r="A130" s="598"/>
      <c r="B130" s="545">
        <f>B46</f>
        <v>111</v>
      </c>
      <c r="C130" s="553"/>
      <c r="D130" s="553"/>
      <c r="E130" s="553"/>
      <c r="F130" s="553"/>
      <c r="G130" s="586"/>
      <c r="H130" s="586"/>
      <c r="I130" s="586"/>
      <c r="J130" s="586"/>
      <c r="K130" s="522"/>
      <c r="L130" s="523"/>
      <c r="M130" s="589"/>
      <c r="N130" s="1148"/>
      <c r="O130" s="1148"/>
      <c r="P130" s="2622"/>
      <c r="Q130" s="503"/>
    </row>
    <row r="131" spans="1:17" ht="15.75" thickBot="1">
      <c r="A131" s="2628"/>
      <c r="B131" s="568"/>
      <c r="C131" s="569"/>
      <c r="D131" s="569"/>
      <c r="E131" s="569"/>
      <c r="F131" s="569"/>
      <c r="G131" s="590"/>
      <c r="H131" s="590"/>
      <c r="I131" s="590"/>
      <c r="J131" s="590"/>
      <c r="K131" s="590"/>
      <c r="L131" s="590"/>
      <c r="M131" s="591"/>
      <c r="N131" s="1149"/>
      <c r="O131" s="1149"/>
      <c r="P131" s="262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2521</v>
      </c>
      <c r="B1" s="2661" t="s">
        <v>2695</v>
      </c>
      <c r="C1" s="1616" t="s">
        <v>2523</v>
      </c>
      <c r="D1" s="1617"/>
      <c r="E1" s="1626"/>
      <c r="F1" s="2576"/>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IF(C2="——",ROUND(C43*D3/10000,0),ROUND(C43*D3/10000,0)-D2)</f>
        <v>#DIV/0!</v>
      </c>
      <c r="C2" s="2578"/>
      <c r="D2" s="1120" t="e">
        <f ca="1">SUMIF(INDIRECT("'"&amp;F2&amp;"'"&amp;"!A:A"),"承租人权益价值",INDIRECT("'"&amp;F2&amp;"'"&amp;"!c:c"))</f>
        <v>#REF!</v>
      </c>
      <c r="E2" s="2579" t="s">
        <v>2321</v>
      </c>
      <c r="F2" s="2580"/>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7" customFormat="1" ht="28.5" customHeight="1" thickBot="1">
      <c r="A3" s="246" t="s">
        <v>2322</v>
      </c>
      <c r="B3" s="608" t="e">
        <f ca="1">IF(C2="——",C43,ROUND(B2*10000/D3,0))</f>
        <v>#DIV/0!</v>
      </c>
      <c r="C3" s="399" t="s">
        <v>2637</v>
      </c>
      <c r="D3" s="398">
        <f>IF(D1="",'数据-汇总表'!E3,SUMIF('数据-汇总表'!$C19:$C33,D1,'数据-汇总表'!$E19:$E33))</f>
        <v>52177.779999999992</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0" t="s">
        <v>2638</v>
      </c>
      <c r="B4" s="401"/>
      <c r="C4" s="3265" t="s">
        <v>2639</v>
      </c>
      <c r="D4" s="3266"/>
      <c r="E4" s="3267" t="s">
        <v>2640</v>
      </c>
      <c r="F4" s="3268"/>
      <c r="G4" s="3265" t="s">
        <v>2641</v>
      </c>
      <c r="H4" s="3266"/>
      <c r="I4" s="3265" t="s">
        <v>2642</v>
      </c>
      <c r="J4" s="3266"/>
      <c r="K4" s="609" t="s">
        <v>2643</v>
      </c>
      <c r="L4" s="1126"/>
      <c r="M4" s="1127"/>
      <c r="N4" s="1127"/>
      <c r="O4" s="1127"/>
      <c r="P4" s="3337" t="s">
        <v>2644</v>
      </c>
      <c r="Q4" s="3338"/>
      <c r="R4" s="3327" t="s">
        <v>2640</v>
      </c>
      <c r="S4" s="3328"/>
      <c r="T4" s="3327" t="s">
        <v>2641</v>
      </c>
      <c r="U4" s="3328"/>
      <c r="V4" s="3278" t="s">
        <v>2642</v>
      </c>
      <c r="W4" s="3278"/>
      <c r="X4" s="1809"/>
      <c r="Y4" s="3327" t="s">
        <v>2644</v>
      </c>
      <c r="Z4" s="3328"/>
      <c r="AA4" s="3326" t="s">
        <v>2640</v>
      </c>
      <c r="AB4" s="3245" t="s">
        <v>2641</v>
      </c>
      <c r="AC4" s="3326" t="s">
        <v>2642</v>
      </c>
    </row>
    <row r="5" spans="1:29" ht="15">
      <c r="A5" s="403"/>
      <c r="B5" s="404"/>
      <c r="C5" s="3331" t="s">
        <v>2535</v>
      </c>
      <c r="D5" s="3332"/>
      <c r="E5" s="3329" t="s">
        <v>2536</v>
      </c>
      <c r="F5" s="3330"/>
      <c r="G5" s="3331" t="s">
        <v>2537</v>
      </c>
      <c r="H5" s="3332"/>
      <c r="I5" s="3331" t="s">
        <v>2538</v>
      </c>
      <c r="J5" s="3332"/>
      <c r="K5" s="609"/>
      <c r="L5" s="1126"/>
      <c r="M5" s="1127"/>
      <c r="N5" s="1127"/>
      <c r="O5" s="1127"/>
      <c r="P5" s="3339"/>
      <c r="Q5" s="3272"/>
      <c r="R5" s="3251"/>
      <c r="S5" s="3252"/>
      <c r="T5" s="3251"/>
      <c r="U5" s="3252"/>
      <c r="V5" s="3278"/>
      <c r="W5" s="3278"/>
      <c r="X5" s="1809"/>
      <c r="Y5" s="3251"/>
      <c r="Z5" s="3252"/>
      <c r="AA5" s="3245"/>
      <c r="AB5" s="3245"/>
      <c r="AC5" s="3245"/>
    </row>
    <row r="6" spans="1:29" ht="15.75" thickBot="1">
      <c r="A6" s="405"/>
      <c r="B6" s="406"/>
      <c r="C6" s="3333" t="s">
        <v>2539</v>
      </c>
      <c r="D6" s="3334"/>
      <c r="E6" s="3335" t="s">
        <v>2539</v>
      </c>
      <c r="F6" s="3336"/>
      <c r="G6" s="3333" t="s">
        <v>2539</v>
      </c>
      <c r="H6" s="3334"/>
      <c r="I6" s="3333" t="s">
        <v>2539</v>
      </c>
      <c r="J6" s="3334"/>
      <c r="K6" s="609" t="s">
        <v>2540</v>
      </c>
      <c r="L6" s="1126"/>
      <c r="M6" s="1127"/>
      <c r="N6" s="1127"/>
      <c r="O6" s="1127"/>
      <c r="P6" s="3340"/>
      <c r="Q6" s="3274"/>
      <c r="R6" s="3251"/>
      <c r="S6" s="3252"/>
      <c r="T6" s="3275"/>
      <c r="U6" s="3276"/>
      <c r="V6" s="3278"/>
      <c r="W6" s="3278"/>
      <c r="X6" s="1809"/>
      <c r="Y6" s="3275"/>
      <c r="Z6" s="3276"/>
      <c r="AA6" s="3246"/>
      <c r="AB6" s="3246"/>
      <c r="AC6" s="3246"/>
    </row>
    <row r="7" spans="1:29" s="116" customFormat="1" ht="15.75" thickBot="1">
      <c r="A7" s="407" t="s">
        <v>2541</v>
      </c>
      <c r="B7" s="408"/>
      <c r="C7" s="409">
        <f>'数据-取费表'!B2</f>
        <v>43165</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47" t="s">
        <v>2542</v>
      </c>
      <c r="Q7" s="3280"/>
      <c r="R7" s="768" t="s">
        <v>17</v>
      </c>
      <c r="S7" s="769">
        <f t="shared" ref="S7:S15" si="0">F7</f>
        <v>0</v>
      </c>
      <c r="T7" s="768" t="s">
        <v>17</v>
      </c>
      <c r="U7" s="769">
        <f t="shared" ref="U7:U15" si="1">H7</f>
        <v>0</v>
      </c>
      <c r="V7" s="768" t="s">
        <v>17</v>
      </c>
      <c r="W7" s="769">
        <f t="shared" ref="W7:W15" si="2">J7</f>
        <v>0</v>
      </c>
      <c r="X7" s="770"/>
      <c r="Y7" s="3247" t="s">
        <v>2542</v>
      </c>
      <c r="Z7" s="3248"/>
      <c r="AA7" s="771" t="e">
        <f>D7/F7</f>
        <v>#DIV/0!</v>
      </c>
      <c r="AB7" s="771" t="e">
        <f>D7/H7</f>
        <v>#DIV/0!</v>
      </c>
      <c r="AC7" s="771" t="e">
        <f>D7/J7</f>
        <v>#DIV/0!</v>
      </c>
    </row>
    <row r="8" spans="1:29" s="116" customFormat="1" ht="15.75" thickBot="1">
      <c r="A8" s="407" t="s">
        <v>2543</v>
      </c>
      <c r="B8" s="408"/>
      <c r="C8" s="413" t="s">
        <v>2544</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47" t="s">
        <v>2545</v>
      </c>
      <c r="Q8" s="3248"/>
      <c r="R8" s="768" t="s">
        <v>17</v>
      </c>
      <c r="S8" s="769">
        <f t="shared" si="0"/>
        <v>0</v>
      </c>
      <c r="T8" s="768" t="s">
        <v>17</v>
      </c>
      <c r="U8" s="769">
        <f t="shared" si="1"/>
        <v>0</v>
      </c>
      <c r="V8" s="768" t="s">
        <v>17</v>
      </c>
      <c r="W8" s="769">
        <f t="shared" si="2"/>
        <v>0</v>
      </c>
      <c r="X8" s="770"/>
      <c r="Y8" s="3247" t="s">
        <v>2545</v>
      </c>
      <c r="Z8" s="3248"/>
      <c r="AA8" s="771" t="e">
        <f t="shared" ref="AA8:AA40" si="3">D8/F8</f>
        <v>#DIV/0!</v>
      </c>
      <c r="AB8" s="771" t="e">
        <f t="shared" ref="AB8:AB40" si="4">D8/H8</f>
        <v>#DIV/0!</v>
      </c>
      <c r="AC8" s="771" t="e">
        <f t="shared" ref="AC8:AC40" si="5">D8/J8</f>
        <v>#DIV/0!</v>
      </c>
    </row>
    <row r="9" spans="1:29" s="116" customFormat="1">
      <c r="A9" s="414" t="s">
        <v>2546</v>
      </c>
      <c r="B9" s="70" t="s">
        <v>2547</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90" t="s">
        <v>2548</v>
      </c>
      <c r="Q9" s="1791" t="str">
        <f t="shared" ref="Q9:Q15" si="6">B9</f>
        <v>用途</v>
      </c>
      <c r="R9" s="768" t="s">
        <v>17</v>
      </c>
      <c r="S9" s="769">
        <f t="shared" si="0"/>
        <v>100</v>
      </c>
      <c r="T9" s="768" t="s">
        <v>17</v>
      </c>
      <c r="U9" s="769">
        <f t="shared" si="1"/>
        <v>100</v>
      </c>
      <c r="V9" s="768" t="s">
        <v>17</v>
      </c>
      <c r="W9" s="769">
        <f t="shared" si="2"/>
        <v>100</v>
      </c>
      <c r="X9" s="770"/>
      <c r="Y9" s="3101" t="s">
        <v>2549</v>
      </c>
      <c r="Z9" s="55" t="str">
        <f t="shared" ref="Z9:Z15" si="7">Q9</f>
        <v>用途</v>
      </c>
      <c r="AA9" s="771">
        <f t="shared" si="3"/>
        <v>1</v>
      </c>
      <c r="AB9" s="771">
        <f t="shared" si="4"/>
        <v>1</v>
      </c>
      <c r="AC9" s="771">
        <f t="shared" si="5"/>
        <v>1</v>
      </c>
    </row>
    <row r="10" spans="1:29" s="426" customFormat="1" ht="27">
      <c r="A10" s="420"/>
      <c r="B10" s="421" t="s">
        <v>2550</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90"/>
      <c r="Q10" s="1791"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427"/>
      <c r="B11" s="421" t="s">
        <v>2551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90"/>
      <c r="Q11" s="1791" t="str">
        <f t="shared" si="6"/>
        <v>容积率</v>
      </c>
      <c r="R11" s="768" t="s">
        <v>17</v>
      </c>
      <c r="S11" s="769" t="e">
        <f t="shared" si="0"/>
        <v>#N/A</v>
      </c>
      <c r="T11" s="768" t="s">
        <v>17</v>
      </c>
      <c r="U11" s="769" t="e">
        <f t="shared" si="1"/>
        <v>#N/A</v>
      </c>
      <c r="V11" s="768" t="s">
        <v>17</v>
      </c>
      <c r="W11" s="769" t="e">
        <f t="shared" si="2"/>
        <v>#N/A</v>
      </c>
      <c r="X11" s="770"/>
      <c r="Y11" s="3101"/>
      <c r="Z11" s="55" t="str">
        <f t="shared" si="7"/>
        <v>容积率</v>
      </c>
      <c r="AA11" s="771" t="e">
        <f t="shared" si="3"/>
        <v>#N/A</v>
      </c>
      <c r="AB11" s="771" t="e">
        <f t="shared" si="4"/>
        <v>#N/A</v>
      </c>
      <c r="AC11" s="771" t="e">
        <f t="shared" si="5"/>
        <v>#N/A</v>
      </c>
    </row>
    <row r="12" spans="1:29" s="116" customFormat="1" ht="15">
      <c r="A12" s="430"/>
      <c r="B12" s="2592">
        <v>111</v>
      </c>
      <c r="C12" s="431"/>
      <c r="D12" s="432">
        <v>100</v>
      </c>
      <c r="E12" s="433"/>
      <c r="F12" s="135">
        <f>SUMIF(64:64,E12,65:65)-SUMIF(64:64,C12,65:65)+100</f>
        <v>100</v>
      </c>
      <c r="G12" s="2681"/>
      <c r="H12" s="135">
        <f>SUMIF(64:64,G12,65:65)-SUMIF(64:64,C12,65:65)+100</f>
        <v>100</v>
      </c>
      <c r="I12" s="468"/>
      <c r="J12" s="135">
        <f>SUMIF(64:64,I12,65:65)-SUMIF(64:64,C12,65:65)+100</f>
        <v>100</v>
      </c>
      <c r="K12" s="612"/>
      <c r="L12" s="1128"/>
      <c r="M12" s="1129"/>
      <c r="N12" s="1129"/>
      <c r="O12" s="1130"/>
      <c r="P12" s="3290"/>
      <c r="Q12" s="1791">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
      <c r="A13" s="427"/>
      <c r="B13" s="2592">
        <v>111</v>
      </c>
      <c r="C13" s="433"/>
      <c r="D13" s="434">
        <v>100</v>
      </c>
      <c r="E13" s="433"/>
      <c r="F13" s="135">
        <f>SUMIF(66:66,E13,67:67)-SUMIF(66:66,C13,67:67)+100</f>
        <v>100</v>
      </c>
      <c r="G13" s="2681"/>
      <c r="H13" s="434">
        <f>SUMIF(66:66,G13,67:67)-SUMIF(66:66,C13,67:67)+100</f>
        <v>100</v>
      </c>
      <c r="I13" s="468"/>
      <c r="J13" s="434">
        <f>SUMIF(66:66,I13,67:67)-SUMIF(66:66,C13,67:67)+100</f>
        <v>100</v>
      </c>
      <c r="K13" s="612"/>
      <c r="L13" s="1136"/>
      <c r="M13" s="1127"/>
      <c r="N13" s="1127"/>
      <c r="O13" s="1135"/>
      <c r="P13" s="3290"/>
      <c r="Q13" s="1791">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15.75" thickBot="1">
      <c r="A14" s="435"/>
      <c r="B14" s="2594">
        <v>111</v>
      </c>
      <c r="C14" s="436"/>
      <c r="D14" s="437">
        <v>100</v>
      </c>
      <c r="E14" s="436"/>
      <c r="F14" s="437">
        <f>SUMIF(68:68,E14,69:69)-SUMIF(68:68,C14,69:69)+100</f>
        <v>100</v>
      </c>
      <c r="G14" s="2681"/>
      <c r="H14" s="437">
        <f>SUMIF(68:68,G14,69:69)-SUMIF(68:68,C14,69:69)+100</f>
        <v>100</v>
      </c>
      <c r="I14" s="468"/>
      <c r="J14" s="437">
        <f>SUMIF(68:68,I14,69:69)-SUMIF(68:68,C14,69:69)+100</f>
        <v>100</v>
      </c>
      <c r="K14" s="612"/>
      <c r="L14" s="1136"/>
      <c r="M14" s="1127"/>
      <c r="N14" s="1127"/>
      <c r="O14" s="1135"/>
      <c r="P14" s="3290"/>
      <c r="Q14" s="1791">
        <f t="shared" si="6"/>
        <v>111</v>
      </c>
      <c r="R14" s="768" t="s">
        <v>17</v>
      </c>
      <c r="S14" s="769">
        <f t="shared" si="0"/>
        <v>100</v>
      </c>
      <c r="T14" s="768" t="s">
        <v>17</v>
      </c>
      <c r="U14" s="769">
        <f t="shared" si="1"/>
        <v>100</v>
      </c>
      <c r="V14" s="768" t="s">
        <v>17</v>
      </c>
      <c r="W14" s="769">
        <f t="shared" si="2"/>
        <v>100</v>
      </c>
      <c r="X14" s="770"/>
      <c r="Y14" s="3101"/>
      <c r="Z14" s="55">
        <f t="shared" si="7"/>
        <v>111</v>
      </c>
      <c r="AA14" s="771">
        <f t="shared" si="3"/>
        <v>1</v>
      </c>
      <c r="AB14" s="771">
        <f t="shared" si="4"/>
        <v>1</v>
      </c>
      <c r="AC14" s="771">
        <f t="shared" si="5"/>
        <v>1</v>
      </c>
    </row>
    <row r="15" spans="1:29" ht="15">
      <c r="A15" s="439" t="s">
        <v>2552</v>
      </c>
      <c r="B15" s="68" t="s">
        <v>2696</v>
      </c>
      <c r="C15" s="2682">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83" t="s">
        <v>2553</v>
      </c>
      <c r="Q15" s="1806" t="str">
        <f t="shared" si="6"/>
        <v>产业集聚程度</v>
      </c>
      <c r="R15" s="772" t="s">
        <v>17</v>
      </c>
      <c r="S15" s="773">
        <f t="shared" si="0"/>
        <v>100</v>
      </c>
      <c r="T15" s="772" t="s">
        <v>17</v>
      </c>
      <c r="U15" s="773">
        <f t="shared" si="1"/>
        <v>100</v>
      </c>
      <c r="V15" s="772" t="s">
        <v>17</v>
      </c>
      <c r="W15" s="773">
        <f t="shared" si="2"/>
        <v>100</v>
      </c>
      <c r="X15" s="1809"/>
      <c r="Y15" s="3283" t="s">
        <v>2553</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84"/>
      <c r="Q16" s="1806"/>
      <c r="R16" s="772"/>
      <c r="S16" s="773"/>
      <c r="T16" s="772"/>
      <c r="U16" s="773"/>
      <c r="V16" s="772"/>
      <c r="W16" s="773"/>
      <c r="X16" s="1809"/>
      <c r="Y16" s="3284"/>
      <c r="Z16" s="1810"/>
      <c r="AA16" s="1807">
        <v>1</v>
      </c>
      <c r="AB16" s="1807">
        <v>1</v>
      </c>
      <c r="AC16" s="1807">
        <v>1</v>
      </c>
    </row>
    <row r="17" spans="1:29" ht="15">
      <c r="A17" s="427"/>
      <c r="B17" s="450" t="s">
        <v>2091</v>
      </c>
      <c r="C17" s="2599">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84"/>
      <c r="Q17" s="1806" t="str">
        <f>B17</f>
        <v>交通便捷度</v>
      </c>
      <c r="R17" s="772" t="s">
        <v>17</v>
      </c>
      <c r="S17" s="773">
        <f>F17</f>
        <v>100</v>
      </c>
      <c r="T17" s="772" t="s">
        <v>17</v>
      </c>
      <c r="U17" s="773">
        <f>H17</f>
        <v>100</v>
      </c>
      <c r="V17" s="772" t="s">
        <v>17</v>
      </c>
      <c r="W17" s="773">
        <f>J17</f>
        <v>100</v>
      </c>
      <c r="X17" s="1809"/>
      <c r="Y17" s="3284"/>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6"/>
      <c r="M18" s="1127"/>
      <c r="N18" s="1127"/>
      <c r="O18" s="1135"/>
      <c r="P18" s="3284"/>
      <c r="Q18" s="1806"/>
      <c r="R18" s="772"/>
      <c r="S18" s="773"/>
      <c r="T18" s="772"/>
      <c r="U18" s="773"/>
      <c r="V18" s="772"/>
      <c r="W18" s="773"/>
      <c r="X18" s="1809"/>
      <c r="Y18" s="3284"/>
      <c r="Z18" s="1810"/>
      <c r="AA18" s="1807">
        <v>1</v>
      </c>
      <c r="AB18" s="1807">
        <v>1</v>
      </c>
      <c r="AC18" s="1807">
        <v>1</v>
      </c>
    </row>
    <row r="19" spans="1:29" ht="15">
      <c r="A19" s="427"/>
      <c r="B19" s="450" t="s">
        <v>2681</v>
      </c>
      <c r="C19" s="2599">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84"/>
      <c r="Q19" s="1806" t="str">
        <f>B19</f>
        <v>公共配套设施</v>
      </c>
      <c r="R19" s="772" t="s">
        <v>17</v>
      </c>
      <c r="S19" s="773">
        <f>F19</f>
        <v>100</v>
      </c>
      <c r="T19" s="772" t="s">
        <v>17</v>
      </c>
      <c r="U19" s="773">
        <f>H19</f>
        <v>100</v>
      </c>
      <c r="V19" s="772" t="s">
        <v>17</v>
      </c>
      <c r="W19" s="773">
        <f>J19</f>
        <v>100</v>
      </c>
      <c r="X19" s="1809"/>
      <c r="Y19" s="3284"/>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6"/>
      <c r="M20" s="1127"/>
      <c r="N20" s="1127"/>
      <c r="O20" s="1135"/>
      <c r="P20" s="3284"/>
      <c r="Q20" s="1806"/>
      <c r="R20" s="772"/>
      <c r="S20" s="773"/>
      <c r="T20" s="772"/>
      <c r="U20" s="773"/>
      <c r="V20" s="772"/>
      <c r="W20" s="773"/>
      <c r="X20" s="1809"/>
      <c r="Y20" s="3284"/>
      <c r="Z20" s="1810"/>
      <c r="AA20" s="1807">
        <v>1</v>
      </c>
      <c r="AB20" s="1807">
        <v>1</v>
      </c>
      <c r="AC20" s="1807">
        <v>1</v>
      </c>
    </row>
    <row r="21" spans="1:29" ht="15">
      <c r="A21" s="427"/>
      <c r="B21" s="1380" t="s">
        <v>2682</v>
      </c>
      <c r="C21" s="2599">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84"/>
      <c r="Q21" s="1806" t="str">
        <f>B21</f>
        <v>基础设施水平</v>
      </c>
      <c r="R21" s="772" t="s">
        <v>17</v>
      </c>
      <c r="S21" s="773">
        <f>F21</f>
        <v>100</v>
      </c>
      <c r="T21" s="772" t="s">
        <v>17</v>
      </c>
      <c r="U21" s="773">
        <f>H21</f>
        <v>100</v>
      </c>
      <c r="V21" s="772" t="s">
        <v>17</v>
      </c>
      <c r="W21" s="773">
        <f>J21</f>
        <v>100</v>
      </c>
      <c r="X21" s="1809"/>
      <c r="Y21" s="3284"/>
      <c r="Z21" s="1810" t="str">
        <f>Q21</f>
        <v>基础设施水平</v>
      </c>
      <c r="AA21" s="1807">
        <f t="shared" ref="AA21" si="8">D21/F21</f>
        <v>1</v>
      </c>
      <c r="AB21" s="1807">
        <f t="shared" ref="AB21" si="9">D21/H21</f>
        <v>1</v>
      </c>
      <c r="AC21" s="1807">
        <f t="shared" ref="AC21" si="10">D21/J21</f>
        <v>1</v>
      </c>
    </row>
    <row r="22" spans="1:29" ht="15">
      <c r="A22" s="427"/>
      <c r="B22" s="1380"/>
      <c r="C22" s="2600"/>
      <c r="D22" s="447"/>
      <c r="E22" s="446"/>
      <c r="F22" s="448"/>
      <c r="G22" s="446"/>
      <c r="H22" s="447"/>
      <c r="I22" s="446"/>
      <c r="J22" s="447"/>
      <c r="K22" s="1379"/>
      <c r="L22" s="1136"/>
      <c r="M22" s="1127"/>
      <c r="N22" s="1127"/>
      <c r="O22" s="1135"/>
      <c r="P22" s="3284"/>
      <c r="Q22" s="1806"/>
      <c r="R22" s="772"/>
      <c r="S22" s="773"/>
      <c r="T22" s="772"/>
      <c r="U22" s="773"/>
      <c r="V22" s="772"/>
      <c r="W22" s="773"/>
      <c r="X22" s="1809"/>
      <c r="Y22" s="3284"/>
      <c r="Z22" s="1810"/>
      <c r="AA22" s="1807">
        <v>1</v>
      </c>
      <c r="AB22" s="1807">
        <v>1</v>
      </c>
      <c r="AC22" s="1807">
        <v>1</v>
      </c>
    </row>
    <row r="23" spans="1:29" ht="15">
      <c r="A23" s="427"/>
      <c r="B23" s="450" t="s">
        <v>2683</v>
      </c>
      <c r="C23" s="2599">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84"/>
      <c r="Q23" s="1806" t="str">
        <f>B23</f>
        <v>环境质量</v>
      </c>
      <c r="R23" s="772" t="s">
        <v>17</v>
      </c>
      <c r="S23" s="773">
        <f>F23</f>
        <v>100</v>
      </c>
      <c r="T23" s="772" t="s">
        <v>17</v>
      </c>
      <c r="U23" s="773">
        <f>H23</f>
        <v>100</v>
      </c>
      <c r="V23" s="772" t="s">
        <v>17</v>
      </c>
      <c r="W23" s="773">
        <f>J23</f>
        <v>100</v>
      </c>
      <c r="X23" s="1809"/>
      <c r="Y23" s="3284"/>
      <c r="Z23" s="1810" t="str">
        <f>Q23</f>
        <v>环境质量</v>
      </c>
      <c r="AA23" s="1807">
        <f t="shared" si="3"/>
        <v>1</v>
      </c>
      <c r="AB23" s="1807">
        <f t="shared" si="4"/>
        <v>1</v>
      </c>
      <c r="AC23" s="1807">
        <f t="shared" si="5"/>
        <v>1</v>
      </c>
    </row>
    <row r="24" spans="1:29" ht="15">
      <c r="A24" s="427"/>
      <c r="B24" s="1380"/>
      <c r="C24" s="446"/>
      <c r="D24" s="447"/>
      <c r="E24" s="2597"/>
      <c r="F24" s="448"/>
      <c r="G24" s="2596"/>
      <c r="H24" s="447"/>
      <c r="I24" s="2597"/>
      <c r="J24" s="447"/>
      <c r="K24" s="614"/>
      <c r="L24" s="1136"/>
      <c r="M24" s="1127"/>
      <c r="N24" s="1127"/>
      <c r="O24" s="1135"/>
      <c r="P24" s="3284"/>
      <c r="Q24" s="1806"/>
      <c r="R24" s="772"/>
      <c r="S24" s="773"/>
      <c r="T24" s="772"/>
      <c r="U24" s="773"/>
      <c r="V24" s="772"/>
      <c r="W24" s="773"/>
      <c r="X24" s="1809"/>
      <c r="Y24" s="3284"/>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84"/>
      <c r="Q25" s="1806">
        <f>B25</f>
        <v>111</v>
      </c>
      <c r="R25" s="772" t="s">
        <v>17</v>
      </c>
      <c r="S25" s="773">
        <f>F25</f>
        <v>100</v>
      </c>
      <c r="T25" s="772" t="s">
        <v>17</v>
      </c>
      <c r="U25" s="773">
        <f>H25</f>
        <v>100</v>
      </c>
      <c r="V25" s="772" t="s">
        <v>17</v>
      </c>
      <c r="W25" s="773">
        <f>J25</f>
        <v>100</v>
      </c>
      <c r="X25" s="1809"/>
      <c r="Y25" s="3284"/>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84"/>
      <c r="Q26" s="1806">
        <f t="shared" ref="Q26:Q40" si="11">B26</f>
        <v>111</v>
      </c>
      <c r="R26" s="772" t="s">
        <v>17</v>
      </c>
      <c r="S26" s="773">
        <f>F26</f>
        <v>100</v>
      </c>
      <c r="T26" s="772" t="s">
        <v>17</v>
      </c>
      <c r="U26" s="773">
        <f>H26</f>
        <v>100</v>
      </c>
      <c r="V26" s="772" t="s">
        <v>17</v>
      </c>
      <c r="W26" s="773">
        <f>J26</f>
        <v>100</v>
      </c>
      <c r="X26" s="1809"/>
      <c r="Y26" s="3284"/>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84"/>
      <c r="Q27" s="1791">
        <f t="shared" si="11"/>
        <v>111</v>
      </c>
      <c r="R27" s="768" t="s">
        <v>17</v>
      </c>
      <c r="S27" s="769">
        <f>F27</f>
        <v>100</v>
      </c>
      <c r="T27" s="768" t="s">
        <v>17</v>
      </c>
      <c r="U27" s="769">
        <f>H27</f>
        <v>100</v>
      </c>
      <c r="V27" s="768" t="s">
        <v>17</v>
      </c>
      <c r="W27" s="769">
        <f>J27</f>
        <v>100</v>
      </c>
      <c r="X27" s="770"/>
      <c r="Y27" s="3284"/>
      <c r="Z27" s="55">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84"/>
      <c r="Q28" s="1806">
        <f t="shared" si="11"/>
        <v>111</v>
      </c>
      <c r="R28" s="772" t="s">
        <v>17</v>
      </c>
      <c r="S28" s="773">
        <f t="shared" ref="S28:S40" si="12">F28</f>
        <v>100</v>
      </c>
      <c r="T28" s="772" t="s">
        <v>17</v>
      </c>
      <c r="U28" s="773">
        <f t="shared" ref="U28:U40" si="13">H28</f>
        <v>100</v>
      </c>
      <c r="V28" s="772" t="s">
        <v>17</v>
      </c>
      <c r="W28" s="773">
        <f t="shared" ref="W28:W40" si="14">J28</f>
        <v>100</v>
      </c>
      <c r="X28" s="1809"/>
      <c r="Y28" s="3284"/>
      <c r="Z28" s="1810">
        <f t="shared" ref="Z28:Z40" si="15">Q28</f>
        <v>111</v>
      </c>
      <c r="AA28" s="1807">
        <f t="shared" si="3"/>
        <v>1</v>
      </c>
      <c r="AB28" s="1807">
        <f t="shared" si="4"/>
        <v>1</v>
      </c>
      <c r="AC28" s="1807">
        <f t="shared" si="5"/>
        <v>1</v>
      </c>
    </row>
    <row r="29" spans="1:29" ht="15">
      <c r="A29" s="465" t="s">
        <v>2556</v>
      </c>
      <c r="B29" s="70" t="s">
        <v>2686</v>
      </c>
      <c r="C29" s="2668"/>
      <c r="D29" s="466">
        <v>100</v>
      </c>
      <c r="E29" s="2668"/>
      <c r="F29" s="460">
        <f>SUMIF(88:88,E29,89:89)-SUMIF(88:88,C29,89:89)+100</f>
        <v>100</v>
      </c>
      <c r="G29" s="2668"/>
      <c r="H29" s="434">
        <f>SUMIF(88:88,G29,89:89)-SUMIF(88:88,C29,89:89)+100</f>
        <v>100</v>
      </c>
      <c r="I29" s="2668"/>
      <c r="J29" s="466">
        <f>SUMIF(88:88,I29,89:89)-SUMIF(88:88,C29,89:89)+100</f>
        <v>100</v>
      </c>
      <c r="K29" s="611"/>
      <c r="L29" s="1136"/>
      <c r="M29" s="1127"/>
      <c r="N29" s="1127"/>
      <c r="O29" s="1135"/>
      <c r="P29" s="3344" t="s">
        <v>2558</v>
      </c>
      <c r="Q29" s="1806" t="str">
        <f t="shared" si="11"/>
        <v>建筑类型</v>
      </c>
      <c r="R29" s="772" t="s">
        <v>17</v>
      </c>
      <c r="S29" s="773">
        <f t="shared" si="12"/>
        <v>100</v>
      </c>
      <c r="T29" s="772" t="s">
        <v>17</v>
      </c>
      <c r="U29" s="773">
        <f t="shared" si="13"/>
        <v>100</v>
      </c>
      <c r="V29" s="772" t="s">
        <v>17</v>
      </c>
      <c r="W29" s="773">
        <f t="shared" si="14"/>
        <v>100</v>
      </c>
      <c r="X29" s="1809"/>
      <c r="Y29" s="3288" t="s">
        <v>2558</v>
      </c>
      <c r="Z29" s="1810" t="str">
        <f t="shared" si="15"/>
        <v>建筑类型</v>
      </c>
      <c r="AA29" s="1807">
        <f t="shared" si="3"/>
        <v>1</v>
      </c>
      <c r="AB29" s="1807">
        <f t="shared" si="4"/>
        <v>1</v>
      </c>
      <c r="AC29" s="1807">
        <f t="shared" si="5"/>
        <v>1</v>
      </c>
    </row>
    <row r="30" spans="1:29" s="470" customFormat="1" ht="15">
      <c r="A30" s="467"/>
      <c r="B30" s="421" t="s">
        <v>2559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88"/>
      <c r="Q30" s="774" t="str">
        <f t="shared" si="11"/>
        <v>项目建筑规模</v>
      </c>
      <c r="R30" s="775" t="s">
        <v>17</v>
      </c>
      <c r="S30" s="776" t="e">
        <f t="shared" si="12"/>
        <v>#N/A</v>
      </c>
      <c r="T30" s="775" t="s">
        <v>17</v>
      </c>
      <c r="U30" s="776" t="e">
        <f t="shared" si="13"/>
        <v>#N/A</v>
      </c>
      <c r="V30" s="775" t="s">
        <v>17</v>
      </c>
      <c r="W30" s="776" t="e">
        <f t="shared" si="14"/>
        <v>#N/A</v>
      </c>
      <c r="X30" s="777"/>
      <c r="Y30" s="3288"/>
      <c r="Z30" s="778" t="str">
        <f t="shared" si="15"/>
        <v>项目建筑规模</v>
      </c>
      <c r="AA30" s="1807" t="e">
        <f t="shared" si="3"/>
        <v>#N/A</v>
      </c>
      <c r="AB30" s="1807" t="e">
        <f t="shared" si="4"/>
        <v>#N/A</v>
      </c>
      <c r="AC30" s="1807"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88"/>
      <c r="Q31" s="1806" t="str">
        <f t="shared" si="11"/>
        <v>建筑结构</v>
      </c>
      <c r="R31" s="772" t="s">
        <v>17</v>
      </c>
      <c r="S31" s="773">
        <f t="shared" si="12"/>
        <v>100</v>
      </c>
      <c r="T31" s="772" t="s">
        <v>17</v>
      </c>
      <c r="U31" s="773">
        <f t="shared" si="13"/>
        <v>100</v>
      </c>
      <c r="V31" s="772" t="s">
        <v>17</v>
      </c>
      <c r="W31" s="773">
        <f t="shared" si="14"/>
        <v>100</v>
      </c>
      <c r="X31" s="1809"/>
      <c r="Y31" s="3288"/>
      <c r="Z31" s="1810" t="str">
        <f t="shared" si="15"/>
        <v>建筑结构</v>
      </c>
      <c r="AA31" s="1807">
        <f t="shared" si="3"/>
        <v>1</v>
      </c>
      <c r="AB31" s="1807">
        <f t="shared" si="4"/>
        <v>1</v>
      </c>
      <c r="AC31" s="1807">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88"/>
      <c r="Q32" s="1806" t="str">
        <f t="shared" si="11"/>
        <v>公共部分装修</v>
      </c>
      <c r="R32" s="772" t="s">
        <v>17</v>
      </c>
      <c r="S32" s="773">
        <f t="shared" si="12"/>
        <v>100</v>
      </c>
      <c r="T32" s="772" t="s">
        <v>17</v>
      </c>
      <c r="U32" s="773">
        <f t="shared" si="13"/>
        <v>100</v>
      </c>
      <c r="V32" s="772" t="s">
        <v>17</v>
      </c>
      <c r="W32" s="773">
        <f t="shared" si="14"/>
        <v>100</v>
      </c>
      <c r="X32" s="1809"/>
      <c r="Y32" s="3288"/>
      <c r="Z32" s="1810" t="str">
        <f t="shared" si="15"/>
        <v>公共部分装修</v>
      </c>
      <c r="AA32" s="1807">
        <f t="shared" si="3"/>
        <v>1</v>
      </c>
      <c r="AB32" s="1807">
        <f t="shared" si="4"/>
        <v>1</v>
      </c>
      <c r="AC32" s="1807">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88"/>
      <c r="Q33" s="1806" t="str">
        <f t="shared" si="11"/>
        <v>成新度</v>
      </c>
      <c r="R33" s="772" t="s">
        <v>17</v>
      </c>
      <c r="S33" s="773" t="e">
        <f t="shared" si="12"/>
        <v>#N/A</v>
      </c>
      <c r="T33" s="772" t="s">
        <v>17</v>
      </c>
      <c r="U33" s="773" t="e">
        <f t="shared" si="13"/>
        <v>#N/A</v>
      </c>
      <c r="V33" s="772" t="s">
        <v>17</v>
      </c>
      <c r="W33" s="773" t="e">
        <f t="shared" si="14"/>
        <v>#N/A</v>
      </c>
      <c r="X33" s="1809"/>
      <c r="Y33" s="3288"/>
      <c r="Z33" s="1810" t="str">
        <f t="shared" si="15"/>
        <v>成新度</v>
      </c>
      <c r="AA33" s="1807" t="e">
        <f t="shared" si="3"/>
        <v>#N/A</v>
      </c>
      <c r="AB33" s="1807" t="e">
        <f t="shared" si="4"/>
        <v>#N/A</v>
      </c>
      <c r="AC33" s="1807" t="e">
        <f t="shared" si="5"/>
        <v>#N/A</v>
      </c>
    </row>
    <row r="34" spans="1:29" s="116" customFormat="1" ht="15">
      <c r="A34" s="472"/>
      <c r="B34" s="421" t="s">
        <v>2688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88"/>
      <c r="Q34" s="1791" t="str">
        <f t="shared" si="11"/>
        <v>物业管理</v>
      </c>
      <c r="R34" s="768" t="s">
        <v>17</v>
      </c>
      <c r="S34" s="769">
        <f t="shared" si="12"/>
        <v>100</v>
      </c>
      <c r="T34" s="768" t="s">
        <v>17</v>
      </c>
      <c r="U34" s="769">
        <f t="shared" si="13"/>
        <v>100</v>
      </c>
      <c r="V34" s="768" t="s">
        <v>17</v>
      </c>
      <c r="W34" s="769">
        <f t="shared" si="14"/>
        <v>100</v>
      </c>
      <c r="X34" s="770"/>
      <c r="Y34" s="3288"/>
      <c r="Z34" s="55" t="str">
        <f t="shared" si="15"/>
        <v>物业管理</v>
      </c>
      <c r="AA34" s="771">
        <f t="shared" si="3"/>
        <v>1</v>
      </c>
      <c r="AB34" s="771">
        <f t="shared" si="4"/>
        <v>1</v>
      </c>
      <c r="AC34" s="771">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88" t="s">
        <v>2558</v>
      </c>
      <c r="Q35" s="1806" t="str">
        <f t="shared" si="11"/>
        <v>市政基础设施</v>
      </c>
      <c r="R35" s="772" t="s">
        <v>17</v>
      </c>
      <c r="S35" s="773">
        <f t="shared" si="12"/>
        <v>100</v>
      </c>
      <c r="T35" s="772" t="s">
        <v>17</v>
      </c>
      <c r="U35" s="773">
        <f t="shared" si="13"/>
        <v>100</v>
      </c>
      <c r="V35" s="772" t="s">
        <v>17</v>
      </c>
      <c r="W35" s="773">
        <f t="shared" si="14"/>
        <v>100</v>
      </c>
      <c r="X35" s="1809"/>
      <c r="Y35" s="3288" t="s">
        <v>2558</v>
      </c>
      <c r="Z35" s="1810" t="str">
        <f t="shared" si="15"/>
        <v>市政基础设施</v>
      </c>
      <c r="AA35" s="1807">
        <f t="shared" si="3"/>
        <v>1</v>
      </c>
      <c r="AB35" s="1807">
        <f t="shared" si="4"/>
        <v>1</v>
      </c>
      <c r="AC35" s="1807">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88"/>
      <c r="Q36" s="1806" t="str">
        <f t="shared" si="11"/>
        <v>内部装修</v>
      </c>
      <c r="R36" s="772" t="s">
        <v>17</v>
      </c>
      <c r="S36" s="773">
        <f t="shared" si="12"/>
        <v>100</v>
      </c>
      <c r="T36" s="772" t="s">
        <v>17</v>
      </c>
      <c r="U36" s="773">
        <f t="shared" si="13"/>
        <v>100</v>
      </c>
      <c r="V36" s="772" t="s">
        <v>17</v>
      </c>
      <c r="W36" s="773">
        <f t="shared" si="14"/>
        <v>100</v>
      </c>
      <c r="X36" s="1809"/>
      <c r="Y36" s="3288"/>
      <c r="Z36" s="1810" t="str">
        <f t="shared" si="15"/>
        <v>内部装修</v>
      </c>
      <c r="AA36" s="1807">
        <f t="shared" si="3"/>
        <v>1</v>
      </c>
      <c r="AB36" s="1807">
        <f t="shared" si="4"/>
        <v>1</v>
      </c>
      <c r="AC36" s="1807">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88"/>
      <c r="Q37" s="1806" t="str">
        <f t="shared" si="11"/>
        <v>内部装修状况</v>
      </c>
      <c r="R37" s="772" t="s">
        <v>17</v>
      </c>
      <c r="S37" s="773">
        <f t="shared" si="12"/>
        <v>100</v>
      </c>
      <c r="T37" s="772" t="s">
        <v>17</v>
      </c>
      <c r="U37" s="773">
        <f t="shared" si="13"/>
        <v>100</v>
      </c>
      <c r="V37" s="772" t="s">
        <v>17</v>
      </c>
      <c r="W37" s="773">
        <f t="shared" si="14"/>
        <v>100</v>
      </c>
      <c r="X37" s="1809"/>
      <c r="Y37" s="3288"/>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88"/>
      <c r="Q38" s="774">
        <f t="shared" si="11"/>
        <v>111</v>
      </c>
      <c r="R38" s="775" t="s">
        <v>17</v>
      </c>
      <c r="S38" s="776">
        <f t="shared" si="12"/>
        <v>100</v>
      </c>
      <c r="T38" s="775" t="s">
        <v>17</v>
      </c>
      <c r="U38" s="776">
        <f t="shared" si="13"/>
        <v>100</v>
      </c>
      <c r="V38" s="775" t="s">
        <v>17</v>
      </c>
      <c r="W38" s="776">
        <f t="shared" si="14"/>
        <v>100</v>
      </c>
      <c r="X38" s="777"/>
      <c r="Y38" s="3288"/>
      <c r="Z38" s="778">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88"/>
      <c r="Q39" s="1806">
        <f t="shared" si="11"/>
        <v>111</v>
      </c>
      <c r="R39" s="772" t="s">
        <v>17</v>
      </c>
      <c r="S39" s="773">
        <f t="shared" si="12"/>
        <v>100</v>
      </c>
      <c r="T39" s="772" t="s">
        <v>17</v>
      </c>
      <c r="U39" s="773">
        <f t="shared" si="13"/>
        <v>100</v>
      </c>
      <c r="V39" s="772" t="s">
        <v>17</v>
      </c>
      <c r="W39" s="773">
        <f t="shared" si="14"/>
        <v>100</v>
      </c>
      <c r="X39" s="1809"/>
      <c r="Y39" s="3288"/>
      <c r="Z39" s="1810">
        <f t="shared" si="15"/>
        <v>111</v>
      </c>
      <c r="AA39" s="1807">
        <f t="shared" si="3"/>
        <v>1</v>
      </c>
      <c r="AB39" s="1807">
        <f t="shared" si="4"/>
        <v>1</v>
      </c>
      <c r="AC39" s="1807">
        <f t="shared" si="5"/>
        <v>1</v>
      </c>
    </row>
    <row r="40" spans="1:29" ht="15.75"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89"/>
      <c r="Q40" s="1806">
        <f t="shared" si="11"/>
        <v>111</v>
      </c>
      <c r="R40" s="772" t="s">
        <v>17</v>
      </c>
      <c r="S40" s="773">
        <f t="shared" si="12"/>
        <v>100</v>
      </c>
      <c r="T40" s="772" t="s">
        <v>17</v>
      </c>
      <c r="U40" s="773">
        <f t="shared" si="13"/>
        <v>100</v>
      </c>
      <c r="V40" s="772" t="s">
        <v>17</v>
      </c>
      <c r="W40" s="773">
        <f t="shared" si="14"/>
        <v>100</v>
      </c>
      <c r="X40" s="1809"/>
      <c r="Y40" s="3289"/>
      <c r="Z40" s="1810">
        <f t="shared" si="15"/>
        <v>111</v>
      </c>
      <c r="AA40" s="1807">
        <f t="shared" si="3"/>
        <v>1</v>
      </c>
      <c r="AB40" s="1807">
        <f t="shared" si="4"/>
        <v>1</v>
      </c>
      <c r="AC40" s="1807">
        <f t="shared" si="5"/>
        <v>1</v>
      </c>
    </row>
    <row r="41" spans="1:29" ht="15">
      <c r="A41" s="478" t="s">
        <v>2570</v>
      </c>
      <c r="B41" s="479"/>
      <c r="C41" s="1403" t="s">
        <v>1</v>
      </c>
      <c r="D41" s="1404"/>
      <c r="E41" s="1405"/>
      <c r="F41" s="1406"/>
      <c r="G41" s="1407"/>
      <c r="H41" s="1408"/>
      <c r="I41" s="1405"/>
      <c r="J41" s="1408"/>
      <c r="K41" s="781"/>
      <c r="L41" s="1139"/>
      <c r="M41" s="1140"/>
      <c r="N41" s="1127"/>
      <c r="O41" s="1140"/>
      <c r="P41" s="3290" t="str">
        <f>A41</f>
        <v>成交单价（元/平方米）</v>
      </c>
      <c r="Q41" s="3290"/>
      <c r="R41" s="3291">
        <f>E41</f>
        <v>0</v>
      </c>
      <c r="S41" s="3291"/>
      <c r="T41" s="3291">
        <f>G41</f>
        <v>0</v>
      </c>
      <c r="U41" s="3291"/>
      <c r="V41" s="3291">
        <f>I41</f>
        <v>0</v>
      </c>
      <c r="W41" s="3291"/>
      <c r="X41" s="757"/>
      <c r="Y41" s="779"/>
      <c r="Z41" s="757"/>
      <c r="AA41" s="757"/>
      <c r="AB41" s="757"/>
      <c r="AC41" s="757"/>
    </row>
    <row r="42" spans="1:29" ht="15.75" thickBot="1">
      <c r="A42" s="485" t="s">
        <v>2662</v>
      </c>
      <c r="B42" s="486"/>
      <c r="C42" s="1409" t="e">
        <f>R43</f>
        <v>#DIV/0!</v>
      </c>
      <c r="D42" s="1410"/>
      <c r="E42" s="1411" t="e">
        <f>R42</f>
        <v>#DIV/0!</v>
      </c>
      <c r="F42" s="1411"/>
      <c r="G42" s="1409" t="e">
        <f>T42</f>
        <v>#DIV/0!</v>
      </c>
      <c r="H42" s="1410"/>
      <c r="I42" s="1411" t="e">
        <f>V42</f>
        <v>#DIV/0!</v>
      </c>
      <c r="J42" s="1410"/>
      <c r="K42" s="782"/>
      <c r="L42" s="1139"/>
      <c r="M42" s="1140"/>
      <c r="N42" s="1127"/>
      <c r="O42" s="1140"/>
      <c r="P42" s="3290" t="str">
        <f>A42</f>
        <v>比较价值（元/平方米）</v>
      </c>
      <c r="Q42" s="3290"/>
      <c r="R42" s="3291" t="e">
        <f>IF(F1="售价",ROUND(PRODUCT(R41,AA7:AA40),0),ROUND(PRODUCT(R41,AA7:AA40),1))</f>
        <v>#DIV/0!</v>
      </c>
      <c r="S42" s="3291"/>
      <c r="T42" s="3291" t="e">
        <f>IF(F1="售价",ROUND(PRODUCT(T41,AB7:AB40),0),ROUND(PRODUCT(T41,AB7:AB40),1))</f>
        <v>#DIV/0!</v>
      </c>
      <c r="U42" s="3291"/>
      <c r="V42" s="3291" t="e">
        <f>IF(F1="售价",ROUND(PRODUCT(V41,AC7:AC40),0),ROUND(PRODUCT(V41,AC7:AC40),1))</f>
        <v>#DIV/0!</v>
      </c>
      <c r="W42" s="3291"/>
      <c r="X42" s="757"/>
      <c r="Y42" s="757"/>
      <c r="Z42" s="757"/>
      <c r="AA42" s="757"/>
      <c r="AB42" s="757"/>
      <c r="AC42" s="757"/>
    </row>
    <row r="43" spans="1:29" ht="15.75" thickBot="1">
      <c r="A43" s="491" t="s">
        <v>2663</v>
      </c>
      <c r="B43" s="492"/>
      <c r="C43" s="1413" t="e">
        <f>R43</f>
        <v>#DIV/0!</v>
      </c>
      <c r="D43" s="1413"/>
      <c r="E43" s="1413"/>
      <c r="F43" s="1413"/>
      <c r="G43" s="1413"/>
      <c r="H43" s="1413"/>
      <c r="I43" s="1413"/>
      <c r="J43" s="1413"/>
      <c r="K43" s="783"/>
      <c r="L43" s="1139"/>
      <c r="M43" s="1140"/>
      <c r="N43" s="1140"/>
      <c r="O43" s="1140"/>
      <c r="P43" s="3341" t="str">
        <f>A43</f>
        <v>估价对象XX用房的比较价值（楼面单价，元/平方米）</v>
      </c>
      <c r="Q43" s="3342"/>
      <c r="R43" s="3343" t="e">
        <f>IF(F1="售价",ROUND(AVERAGE(R42:V42),0),ROUND(AVERAGE(R42:V42),1))</f>
        <v>#DIV/0!</v>
      </c>
      <c r="S43" s="3343"/>
      <c r="T43" s="3343"/>
      <c r="U43" s="3343"/>
      <c r="V43" s="3343"/>
      <c r="W43" s="3343"/>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2667</v>
      </c>
      <c r="B51" s="757"/>
      <c r="C51" s="762"/>
      <c r="D51" s="762"/>
      <c r="E51" s="762"/>
      <c r="F51" s="763"/>
      <c r="G51" s="763"/>
      <c r="H51" s="762"/>
      <c r="I51" s="762"/>
      <c r="J51" s="762"/>
      <c r="K51" s="1156"/>
      <c r="L51" s="1157"/>
      <c r="M51" s="1155"/>
      <c r="N51" s="1155"/>
      <c r="O51" s="1155"/>
      <c r="P51" s="502"/>
      <c r="Q51" s="503"/>
    </row>
    <row r="52" spans="1:17" s="507" customFormat="1" ht="15">
      <c r="A52" s="504" t="s">
        <v>2541</v>
      </c>
      <c r="B52" s="505"/>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2578</v>
      </c>
      <c r="B54" s="515"/>
      <c r="C54" s="516"/>
      <c r="D54" s="517"/>
      <c r="E54" s="517"/>
      <c r="F54" s="517"/>
      <c r="G54" s="517"/>
      <c r="H54" s="517"/>
      <c r="I54" s="517"/>
      <c r="J54" s="517"/>
      <c r="K54" s="517"/>
      <c r="L54" s="517"/>
      <c r="M54" s="518"/>
      <c r="N54" s="517"/>
      <c r="O54" s="519"/>
      <c r="P54" s="503"/>
      <c r="Q54" s="503"/>
    </row>
    <row r="55" spans="1:17" s="116" customFormat="1" ht="15">
      <c r="A55" s="520" t="s">
        <v>2543</v>
      </c>
      <c r="B55" s="509"/>
      <c r="C55" s="521" t="s">
        <v>2645</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2581</v>
      </c>
      <c r="B57" s="527" t="s">
        <v>2547</v>
      </c>
      <c r="C57" s="528">
        <f>C9</f>
        <v>0</v>
      </c>
      <c r="D57" s="529"/>
      <c r="E57" s="529"/>
      <c r="F57" s="529"/>
      <c r="G57" s="529"/>
      <c r="H57" s="529"/>
      <c r="I57" s="529"/>
      <c r="J57" s="529"/>
      <c r="K57" s="530"/>
      <c r="L57" s="531"/>
      <c r="M57" s="532"/>
      <c r="N57" s="1148"/>
      <c r="O57" s="1148"/>
      <c r="P57" s="45"/>
      <c r="Q57" s="503"/>
    </row>
    <row r="58" spans="1:17" ht="15.75" thickBot="1">
      <c r="A58" s="533"/>
      <c r="B58" s="534"/>
      <c r="C58" s="535">
        <v>100</v>
      </c>
      <c r="D58" s="535"/>
      <c r="E58" s="535"/>
      <c r="F58" s="535"/>
      <c r="G58" s="535"/>
      <c r="H58" s="535"/>
      <c r="I58" s="535"/>
      <c r="J58" s="535"/>
      <c r="K58" s="535"/>
      <c r="L58" s="535"/>
      <c r="M58" s="536"/>
      <c r="N58" s="1149"/>
      <c r="O58" s="1149"/>
      <c r="P58" s="45"/>
      <c r="Q58" s="503"/>
    </row>
    <row r="59" spans="1:17" ht="27.75" thickTop="1">
      <c r="A59" s="533"/>
      <c r="B59" s="537" t="s">
        <v>2550</v>
      </c>
      <c r="C59" s="538" t="s">
        <v>2582</v>
      </c>
      <c r="D59" s="538" t="s">
        <v>2583</v>
      </c>
      <c r="E59" s="538" t="s">
        <v>2584</v>
      </c>
      <c r="F59" s="538" t="s">
        <v>2585</v>
      </c>
      <c r="G59" s="538" t="s">
        <v>2586</v>
      </c>
      <c r="H59" s="538" t="s">
        <v>2587</v>
      </c>
      <c r="I59" s="538" t="s">
        <v>2588</v>
      </c>
      <c r="J59" s="538"/>
      <c r="K59" s="539"/>
      <c r="L59" s="540"/>
      <c r="M59" s="541"/>
      <c r="N59" s="1148"/>
      <c r="O59" s="1148"/>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7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ht="15">
      <c r="A62" s="533"/>
      <c r="B62" s="547"/>
      <c r="C62" s="548"/>
      <c r="D62" s="548"/>
      <c r="E62" s="548"/>
      <c r="F62" s="548"/>
      <c r="G62" s="548"/>
      <c r="H62" s="548"/>
      <c r="I62" s="548"/>
      <c r="J62" s="548"/>
      <c r="K62" s="549"/>
      <c r="L62" s="550"/>
      <c r="M62" s="551"/>
      <c r="N62" s="1148"/>
      <c r="O62" s="1148"/>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2552</v>
      </c>
      <c r="B70" s="527" t="s">
        <v>2698</v>
      </c>
      <c r="C70" s="572" t="s">
        <v>2590</v>
      </c>
      <c r="D70" s="572" t="s">
        <v>2591</v>
      </c>
      <c r="E70" s="572" t="s">
        <v>2592</v>
      </c>
      <c r="F70" s="572" t="s">
        <v>2593</v>
      </c>
      <c r="G70" s="572" t="s">
        <v>2594</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75" thickTop="1">
      <c r="A72" s="533"/>
      <c r="B72" s="537" t="s">
        <v>2595</v>
      </c>
      <c r="C72" s="577" t="s">
        <v>2590</v>
      </c>
      <c r="D72" s="577" t="s">
        <v>2591</v>
      </c>
      <c r="E72" s="577" t="s">
        <v>2592</v>
      </c>
      <c r="F72" s="577" t="s">
        <v>2593</v>
      </c>
      <c r="G72" s="577" t="s">
        <v>2594</v>
      </c>
      <c r="H72" s="538"/>
      <c r="I72" s="538"/>
      <c r="J72" s="538"/>
      <c r="K72" s="539"/>
      <c r="L72" s="540"/>
      <c r="M72" s="541"/>
      <c r="N72" s="1148"/>
      <c r="O72" s="1148"/>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75" thickTop="1">
      <c r="A74" s="533"/>
      <c r="B74" s="537" t="s">
        <v>2596</v>
      </c>
      <c r="C74" s="577" t="s">
        <v>2590</v>
      </c>
      <c r="D74" s="577" t="s">
        <v>2591</v>
      </c>
      <c r="E74" s="577" t="s">
        <v>2592</v>
      </c>
      <c r="F74" s="577" t="s">
        <v>2593</v>
      </c>
      <c r="G74" s="577" t="s">
        <v>2594</v>
      </c>
      <c r="H74" s="538"/>
      <c r="I74" s="538"/>
      <c r="J74" s="538"/>
      <c r="K74" s="539"/>
      <c r="L74" s="540"/>
      <c r="M74" s="541"/>
      <c r="N74" s="1148"/>
      <c r="O74" s="1148"/>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75" thickTop="1">
      <c r="A76" s="533"/>
      <c r="B76" s="545" t="s">
        <v>2682</v>
      </c>
      <c r="C76" s="659" t="s">
        <v>2668</v>
      </c>
      <c r="D76" s="659" t="s">
        <v>2669</v>
      </c>
      <c r="E76" s="659" t="s">
        <v>2670</v>
      </c>
      <c r="F76" s="659" t="s">
        <v>2671</v>
      </c>
      <c r="G76" s="659" t="s">
        <v>2672</v>
      </c>
      <c r="H76" s="538"/>
      <c r="I76" s="538"/>
      <c r="J76" s="538"/>
      <c r="K76" s="538"/>
      <c r="L76" s="538"/>
      <c r="M76" s="1378"/>
      <c r="N76" s="1149"/>
      <c r="O76" s="1149"/>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75" thickTop="1">
      <c r="A78" s="533"/>
      <c r="B78" s="537" t="s">
        <v>2691</v>
      </c>
      <c r="C78" s="577" t="s">
        <v>2590</v>
      </c>
      <c r="D78" s="577" t="s">
        <v>2591</v>
      </c>
      <c r="E78" s="577" t="s">
        <v>2592</v>
      </c>
      <c r="F78" s="577" t="s">
        <v>2593</v>
      </c>
      <c r="G78" s="577" t="s">
        <v>2594</v>
      </c>
      <c r="H78" s="538"/>
      <c r="I78" s="538"/>
      <c r="J78" s="538"/>
      <c r="K78" s="539"/>
      <c r="L78" s="540"/>
      <c r="M78" s="541"/>
      <c r="N78" s="1148"/>
      <c r="O78" s="1148"/>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6" customFormat="1" ht="15.75" thickTop="1">
      <c r="A80" s="578"/>
      <c r="B80" s="537">
        <f>B25</f>
        <v>111</v>
      </c>
      <c r="C80" s="553"/>
      <c r="D80" s="553"/>
      <c r="E80" s="553"/>
      <c r="F80" s="553"/>
      <c r="G80" s="553"/>
      <c r="H80" s="553"/>
      <c r="I80" s="553"/>
      <c r="J80" s="553"/>
      <c r="K80" s="553"/>
      <c r="L80" s="579"/>
      <c r="M80" s="580"/>
      <c r="N80" s="1147"/>
      <c r="O80" s="1147"/>
      <c r="P80" s="45"/>
      <c r="Q80" s="503"/>
    </row>
    <row r="81" spans="1:17" s="116" customFormat="1" ht="15.75" thickBot="1">
      <c r="A81" s="578"/>
      <c r="B81" s="542"/>
      <c r="C81" s="559"/>
      <c r="D81" s="535"/>
      <c r="E81" s="535"/>
      <c r="F81" s="535"/>
      <c r="G81" s="535"/>
      <c r="H81" s="535"/>
      <c r="I81" s="535"/>
      <c r="J81" s="535"/>
      <c r="K81" s="535"/>
      <c r="L81" s="535"/>
      <c r="M81" s="536"/>
      <c r="N81" s="1149"/>
      <c r="O81" s="1149"/>
      <c r="P81" s="45"/>
      <c r="Q81" s="503"/>
    </row>
    <row r="82" spans="1:17" s="116" customFormat="1" ht="15.75" thickTop="1">
      <c r="A82" s="578"/>
      <c r="B82" s="537">
        <f>B26</f>
        <v>111</v>
      </c>
      <c r="C82" s="553"/>
      <c r="D82" s="553"/>
      <c r="E82" s="553"/>
      <c r="F82" s="553"/>
      <c r="G82" s="553"/>
      <c r="H82" s="553"/>
      <c r="I82" s="553"/>
      <c r="J82" s="553"/>
      <c r="K82" s="553"/>
      <c r="L82" s="579"/>
      <c r="M82" s="580"/>
      <c r="N82" s="1147"/>
      <c r="O82" s="1147"/>
      <c r="P82" s="45"/>
      <c r="Q82" s="503"/>
    </row>
    <row r="83" spans="1:17" s="116" customFormat="1" ht="15.75" thickBot="1">
      <c r="A83" s="578"/>
      <c r="B83" s="542"/>
      <c r="C83" s="559"/>
      <c r="D83" s="535"/>
      <c r="E83" s="535"/>
      <c r="F83" s="535"/>
      <c r="G83" s="535"/>
      <c r="H83" s="535"/>
      <c r="I83" s="535"/>
      <c r="J83" s="535"/>
      <c r="K83" s="535"/>
      <c r="L83" s="535"/>
      <c r="M83" s="536"/>
      <c r="N83" s="1149"/>
      <c r="O83" s="1149"/>
      <c r="P83" s="45"/>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5"/>
      <c r="Q86" s="503"/>
    </row>
    <row r="87" spans="1:17" ht="15.75" thickBot="1">
      <c r="A87" s="2628"/>
      <c r="B87" s="568"/>
      <c r="C87" s="569"/>
      <c r="D87" s="569"/>
      <c r="E87" s="569"/>
      <c r="F87" s="569"/>
      <c r="G87" s="590"/>
      <c r="H87" s="590"/>
      <c r="I87" s="590"/>
      <c r="J87" s="590"/>
      <c r="K87" s="590"/>
      <c r="L87" s="590"/>
      <c r="M87" s="591"/>
      <c r="N87" s="1149"/>
      <c r="O87" s="1149"/>
      <c r="P87" s="45"/>
      <c r="Q87" s="503"/>
    </row>
    <row r="88" spans="1:17">
      <c r="A88" s="526" t="s">
        <v>2556</v>
      </c>
      <c r="B88" s="527" t="s">
        <v>2605</v>
      </c>
      <c r="C88" s="529"/>
      <c r="D88" s="529"/>
      <c r="E88" s="529"/>
      <c r="F88" s="529"/>
      <c r="G88" s="529"/>
      <c r="H88" s="529"/>
      <c r="I88" s="529"/>
      <c r="J88" s="529"/>
      <c r="K88" s="530"/>
      <c r="L88" s="531"/>
      <c r="M88" s="532"/>
      <c r="N88" s="1148"/>
      <c r="O88" s="1148"/>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7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2607</v>
      </c>
      <c r="C93" s="553"/>
      <c r="D93" s="553"/>
      <c r="E93" s="582"/>
      <c r="F93" s="582"/>
      <c r="G93" s="582"/>
      <c r="H93" s="582"/>
      <c r="I93" s="582"/>
      <c r="J93" s="582"/>
      <c r="K93" s="583"/>
      <c r="L93" s="584"/>
      <c r="M93" s="585"/>
      <c r="N93" s="1148"/>
      <c r="O93" s="1148"/>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2609</v>
      </c>
      <c r="C95" s="553"/>
      <c r="D95" s="553"/>
      <c r="E95" s="553"/>
      <c r="F95" s="582"/>
      <c r="G95" s="582"/>
      <c r="H95" s="582"/>
      <c r="I95" s="582"/>
      <c r="J95" s="582"/>
      <c r="K95" s="583"/>
      <c r="L95" s="584"/>
      <c r="M95" s="585"/>
      <c r="N95" s="1148"/>
      <c r="O95" s="1148"/>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2610</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2611</v>
      </c>
      <c r="C102" s="553"/>
      <c r="D102" s="553"/>
      <c r="E102" s="553"/>
      <c r="F102" s="553"/>
      <c r="G102" s="553"/>
      <c r="H102" s="582"/>
      <c r="I102" s="582"/>
      <c r="J102" s="582"/>
      <c r="K102" s="583"/>
      <c r="L102" s="584"/>
      <c r="M102" s="585"/>
      <c r="N102" s="1148"/>
      <c r="O102" s="1148"/>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2613</v>
      </c>
      <c r="C104" s="553"/>
      <c r="D104" s="553"/>
      <c r="E104" s="553"/>
      <c r="F104" s="553"/>
      <c r="G104" s="553"/>
      <c r="H104" s="582"/>
      <c r="I104" s="582"/>
      <c r="J104" s="582"/>
      <c r="K104" s="583"/>
      <c r="L104" s="584"/>
      <c r="M104" s="585"/>
      <c r="N104" s="1148"/>
      <c r="O104" s="1148"/>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15" thickTop="1">
      <c r="A106" s="598"/>
      <c r="B106" s="635" t="s">
        <v>2699</v>
      </c>
      <c r="C106" s="577" t="s">
        <v>2590</v>
      </c>
      <c r="D106" s="577" t="s">
        <v>2591</v>
      </c>
      <c r="E106" s="577" t="s">
        <v>2592</v>
      </c>
      <c r="F106" s="577" t="s">
        <v>2593</v>
      </c>
      <c r="G106" s="577" t="s">
        <v>2594</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5"/>
      <c r="Q110" s="503"/>
    </row>
    <row r="111" spans="1:17" ht="15.75" thickBot="1">
      <c r="A111" s="533"/>
      <c r="B111" s="542"/>
      <c r="C111" s="559"/>
      <c r="D111" s="535"/>
      <c r="E111" s="535"/>
      <c r="F111" s="535"/>
      <c r="G111" s="559"/>
      <c r="H111" s="561"/>
      <c r="I111" s="561"/>
      <c r="J111" s="561"/>
      <c r="K111" s="561"/>
      <c r="L111" s="561"/>
      <c r="M111" s="562"/>
      <c r="N111" s="1149"/>
      <c r="O111" s="1149"/>
      <c r="P111" s="45"/>
      <c r="Q111" s="503"/>
    </row>
    <row r="112" spans="1:17" ht="15" thickTop="1">
      <c r="A112" s="598"/>
      <c r="B112" s="545">
        <f>B40</f>
        <v>111</v>
      </c>
      <c r="C112" s="522"/>
      <c r="D112" s="522"/>
      <c r="E112" s="522"/>
      <c r="F112" s="522"/>
      <c r="G112" s="586"/>
      <c r="H112" s="586"/>
      <c r="I112" s="586"/>
      <c r="J112" s="586"/>
      <c r="K112" s="522"/>
      <c r="L112" s="523"/>
      <c r="M112" s="589"/>
      <c r="N112" s="1148"/>
      <c r="O112" s="1148"/>
      <c r="P112" s="45"/>
      <c r="Q112" s="503"/>
    </row>
    <row r="113" spans="1:17" ht="15.75" thickBot="1">
      <c r="A113" s="2628"/>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14"/>
    <col min="3" max="4" width="12.625" style="2414" customWidth="1"/>
    <col min="5" max="9" width="12.625" style="2414"/>
    <col min="10" max="11" width="12.625" style="793" customWidth="1"/>
    <col min="12" max="12" width="12.625" style="793"/>
    <col min="13" max="13" width="14.125" style="793" bestFit="1" customWidth="1"/>
    <col min="14" max="26" width="12.625" style="793"/>
    <col min="27" max="35" width="12.625" style="2413"/>
    <col min="36" max="16384" width="12.625" style="2414"/>
  </cols>
  <sheetData>
    <row r="1" spans="1:12" ht="21.75" customHeight="1" thickBot="1">
      <c r="A1" s="2219" t="s">
        <v>2109</v>
      </c>
      <c r="B1" s="2408"/>
      <c r="C1" s="2409" t="s">
        <v>48</v>
      </c>
      <c r="D1" s="2408"/>
      <c r="E1" s="2408"/>
      <c r="F1" s="2410" t="s">
        <v>2110</v>
      </c>
      <c r="G1" s="2065" t="s">
        <v>2111</v>
      </c>
      <c r="H1" s="2411" t="str">
        <f>IF(G1="现房","——","估价对象范围")</f>
        <v>估价对象范围</v>
      </c>
      <c r="I1" s="2412"/>
    </row>
    <row r="2" spans="1:12" ht="21.75" customHeight="1" thickBot="1">
      <c r="A2" s="3220" t="str">
        <f>项目基本情况!S2</f>
        <v>北京市东城区东直门南大街甲3号办公楼、车库用房房地产出让国有建设用地使用权及在建建筑物房地产</v>
      </c>
      <c r="B2" s="3221"/>
      <c r="C2" s="3221"/>
      <c r="D2" s="3221"/>
      <c r="E2" s="3221"/>
      <c r="F2" s="3221"/>
      <c r="G2" s="3221"/>
      <c r="H2" s="3221"/>
      <c r="I2" s="3222"/>
    </row>
    <row r="3" spans="1:12" ht="12.75">
      <c r="A3" s="3223" t="s">
        <v>2112</v>
      </c>
      <c r="B3" s="3224"/>
      <c r="C3" s="3224"/>
      <c r="D3" s="3224"/>
      <c r="E3" s="3224"/>
      <c r="F3" s="3224"/>
      <c r="G3" s="3224"/>
      <c r="H3" s="3224"/>
      <c r="I3" s="3224"/>
    </row>
    <row r="4" spans="1:12" ht="14.25">
      <c r="A4" s="2415" t="s">
        <v>2113</v>
      </c>
      <c r="B4" s="2416" t="s">
        <v>2114</v>
      </c>
      <c r="C4" s="2417" t="s">
        <v>3198</v>
      </c>
      <c r="D4" s="2417" t="s">
        <v>3079</v>
      </c>
      <c r="E4" s="3204" t="s">
        <v>2115</v>
      </c>
      <c r="F4" s="3217"/>
      <c r="G4" s="3217"/>
      <c r="H4" s="3217"/>
      <c r="I4" s="3205"/>
      <c r="K4" s="2418" t="str">
        <f>IF(ISNUMBER(FIND("比较法",结果表车!C4)),"比较法",IF(ISNUMBER(FIND("成本法",结果表车!C4)),"成本法",IF(ISNUMBER(FIND("假设开发法",结果表车!C4)),"假设开发法",IF(ISNUMBER(FIND("收益法",结果表车!C4)),"收益法","基准地价系数修正法"))))</f>
        <v>比较法</v>
      </c>
      <c r="L4" s="2418"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195" t="s">
        <v>2116</v>
      </c>
      <c r="B5" s="3101">
        <v>25</v>
      </c>
      <c r="C5" s="3225"/>
      <c r="D5" s="3213"/>
      <c r="E5" s="139" t="s">
        <v>2117</v>
      </c>
      <c r="F5" s="2419"/>
      <c r="G5" s="2419"/>
      <c r="H5" s="2419"/>
      <c r="I5" s="1827"/>
    </row>
    <row r="6" spans="1:12" ht="12.75">
      <c r="A6" s="3195"/>
      <c r="B6" s="3101"/>
      <c r="C6" s="3227"/>
      <c r="D6" s="3213"/>
      <c r="E6" s="139" t="s">
        <v>2118</v>
      </c>
      <c r="F6" s="2419"/>
      <c r="G6" s="2419"/>
      <c r="H6" s="2419"/>
      <c r="I6" s="1827"/>
    </row>
    <row r="7" spans="1:12" ht="12.75">
      <c r="A7" s="3195"/>
      <c r="B7" s="3101"/>
      <c r="C7" s="3226"/>
      <c r="D7" s="3213"/>
      <c r="E7" s="139" t="s">
        <v>2119</v>
      </c>
      <c r="F7" s="2419"/>
      <c r="G7" s="2419"/>
      <c r="H7" s="2419"/>
      <c r="I7" s="1827"/>
    </row>
    <row r="8" spans="1:12" ht="12.75">
      <c r="A8" s="3195" t="s">
        <v>2120</v>
      </c>
      <c r="B8" s="3101">
        <v>15</v>
      </c>
      <c r="C8" s="3225"/>
      <c r="D8" s="3213"/>
      <c r="E8" s="139" t="s">
        <v>2121</v>
      </c>
      <c r="F8" s="2419"/>
      <c r="G8" s="2419"/>
      <c r="H8" s="2419"/>
      <c r="I8" s="1827"/>
    </row>
    <row r="9" spans="1:12" ht="12.75">
      <c r="A9" s="3195"/>
      <c r="B9" s="3101"/>
      <c r="C9" s="3226"/>
      <c r="D9" s="3213"/>
      <c r="E9" s="139" t="s">
        <v>2122</v>
      </c>
      <c r="F9" s="2419"/>
      <c r="G9" s="2419"/>
      <c r="H9" s="2419"/>
      <c r="I9" s="1827"/>
    </row>
    <row r="10" spans="1:12" ht="12.75">
      <c r="A10" s="3195" t="s">
        <v>2123</v>
      </c>
      <c r="B10" s="3101">
        <v>15</v>
      </c>
      <c r="C10" s="3225"/>
      <c r="D10" s="3213"/>
      <c r="E10" s="139" t="s">
        <v>2124</v>
      </c>
      <c r="F10" s="2419"/>
      <c r="G10" s="2419"/>
      <c r="H10" s="2419"/>
      <c r="I10" s="1827"/>
    </row>
    <row r="11" spans="1:12" ht="12.75">
      <c r="A11" s="3195"/>
      <c r="B11" s="3101"/>
      <c r="C11" s="3226"/>
      <c r="D11" s="3213"/>
      <c r="E11" s="139" t="s">
        <v>2125</v>
      </c>
      <c r="F11" s="2419"/>
      <c r="G11" s="2419"/>
      <c r="H11" s="2419"/>
      <c r="I11" s="1827"/>
    </row>
    <row r="12" spans="1:12" ht="12.75">
      <c r="A12" s="3195" t="s">
        <v>2126</v>
      </c>
      <c r="B12" s="3101">
        <v>15</v>
      </c>
      <c r="C12" s="3225"/>
      <c r="D12" s="3213"/>
      <c r="E12" s="139" t="s">
        <v>2127</v>
      </c>
      <c r="F12" s="2419"/>
      <c r="G12" s="2419"/>
      <c r="H12" s="2419"/>
      <c r="I12" s="1827"/>
    </row>
    <row r="13" spans="1:12" ht="12.75">
      <c r="A13" s="3195"/>
      <c r="B13" s="3101"/>
      <c r="C13" s="3226"/>
      <c r="D13" s="3213"/>
      <c r="E13" s="139" t="s">
        <v>2128</v>
      </c>
      <c r="F13" s="2419"/>
      <c r="G13" s="2419"/>
      <c r="H13" s="2419"/>
      <c r="I13" s="1827"/>
    </row>
    <row r="14" spans="1:12" ht="12.75">
      <c r="A14" s="3195" t="s">
        <v>2129</v>
      </c>
      <c r="B14" s="3101">
        <v>30</v>
      </c>
      <c r="C14" s="3225">
        <v>5</v>
      </c>
      <c r="D14" s="3213">
        <v>5</v>
      </c>
      <c r="E14" s="139" t="s">
        <v>2130</v>
      </c>
      <c r="F14" s="2419"/>
      <c r="G14" s="2419"/>
      <c r="H14" s="2419"/>
      <c r="I14" s="1827"/>
    </row>
    <row r="15" spans="1:12" ht="12.75">
      <c r="A15" s="3195"/>
      <c r="B15" s="3101"/>
      <c r="C15" s="3227"/>
      <c r="D15" s="3213"/>
      <c r="E15" s="139" t="s">
        <v>2131</v>
      </c>
      <c r="F15" s="2419"/>
      <c r="G15" s="2419"/>
      <c r="H15" s="2419"/>
      <c r="I15" s="1827"/>
    </row>
    <row r="16" spans="1:12" ht="12.75">
      <c r="A16" s="3195"/>
      <c r="B16" s="3101"/>
      <c r="C16" s="3226"/>
      <c r="D16" s="3213"/>
      <c r="E16" s="139" t="s">
        <v>2132</v>
      </c>
      <c r="F16" s="2419"/>
      <c r="G16" s="2419"/>
      <c r="H16" s="2419"/>
      <c r="I16" s="1827"/>
    </row>
    <row r="17" spans="1:35" ht="15">
      <c r="A17" s="2420" t="s">
        <v>2133</v>
      </c>
      <c r="B17" s="63"/>
      <c r="C17" s="140">
        <f>SUM(C5:C16)</f>
        <v>5</v>
      </c>
      <c r="D17" s="140">
        <f>SUM(D5:D16)</f>
        <v>5</v>
      </c>
      <c r="E17" s="137"/>
      <c r="F17" s="137"/>
      <c r="G17" s="137"/>
      <c r="H17" s="137"/>
      <c r="I17" s="137"/>
      <c r="K17" s="2418"/>
      <c r="L17" s="2421" t="s">
        <v>2134</v>
      </c>
      <c r="M17" s="2421" t="s">
        <v>2135</v>
      </c>
    </row>
    <row r="18" spans="1:35" ht="15.75" thickBot="1">
      <c r="A18" s="2422" t="s">
        <v>2136</v>
      </c>
      <c r="B18" s="2423"/>
      <c r="C18" s="141">
        <f>ROUND(C17/SUM(C17:D17),2)</f>
        <v>0.5</v>
      </c>
      <c r="D18" s="141">
        <f>1-C18</f>
        <v>0.5</v>
      </c>
      <c r="E18" s="137"/>
      <c r="F18" s="137"/>
      <c r="G18" s="137"/>
      <c r="H18" s="137"/>
      <c r="I18" s="137"/>
      <c r="K18" s="2418" t="s">
        <v>2137</v>
      </c>
      <c r="L18" s="2418">
        <f>IF(C1="",'数据-汇总表'!E3,SUMIF(项目类型,C1,'数据-汇总表'!E17:E26)+SUMIF(项目类型,C1,'数据-汇总表'!I17:I26))</f>
        <v>8292.43</v>
      </c>
      <c r="M18" s="2418">
        <f>IF(C1="",'数据-汇总表'!E3,SUMIF(项目类型,C1,'数据-汇总表'!E17:E26))</f>
        <v>7705.92</v>
      </c>
    </row>
    <row r="19" spans="1:35" ht="15">
      <c r="A19" s="2424" t="s">
        <v>2138</v>
      </c>
      <c r="B19" s="2425" t="s">
        <v>2139</v>
      </c>
      <c r="C19" s="142">
        <f ca="1">SUMIF(INDIRECT("'"&amp;C4&amp;"'"&amp;"!A:A"),结果表车!B19,INDIRECT("'"&amp;C4&amp;"'"&amp;"!B:B"))</f>
        <v>13055</v>
      </c>
      <c r="D19" s="143">
        <f ca="1">SUMIF(INDIRECT("'"&amp;D4&amp;"'"&amp;"!A:A"),结果表车!B19,INDIRECT("'"&amp;D4&amp;"'"&amp;"!B:B"))</f>
        <v>12229</v>
      </c>
      <c r="E19" s="2424" t="s">
        <v>2140</v>
      </c>
      <c r="F19" s="2425" t="s">
        <v>2139</v>
      </c>
      <c r="G19" s="144">
        <f ca="1">ROUND(C19*$C$18+D19*$D$18,0)</f>
        <v>12642</v>
      </c>
      <c r="H19" s="2426" t="s">
        <v>2141</v>
      </c>
      <c r="I19" s="137"/>
      <c r="K19" s="2418" t="s">
        <v>2142</v>
      </c>
      <c r="L19" s="2418">
        <f>IF(C1="",'数据-汇总表'!D3,SUMIF(项目类型,C1,'数据-汇总表'!D17:D26)+SUMIF(项目类型,C1,'数据-汇总表'!H17:H27))</f>
        <v>1335.98</v>
      </c>
      <c r="M19" s="2418">
        <f>IF(C1="",'数据-汇总表'!D3,SUMIF(项目类型,C1,'数据-汇总表'!D17:D26))</f>
        <v>1241.49</v>
      </c>
    </row>
    <row r="20" spans="1:35" ht="15">
      <c r="A20" s="2427"/>
      <c r="B20" s="1243" t="s">
        <v>2143</v>
      </c>
      <c r="C20" s="145">
        <f ca="1">SUMIF(INDIRECT("'"&amp;C4&amp;"'"&amp;"!A:A"),结果表车!B20,INDIRECT("'"&amp;C4&amp;"'"&amp;"!B:B"))</f>
        <v>16942</v>
      </c>
      <c r="D20" s="146">
        <f ca="1">SUMIF(INDIRECT("'"&amp;D4&amp;"'"&amp;"!A:A"),结果表车!B20,INDIRECT("'"&amp;D4&amp;"'"&amp;"!B:B"))</f>
        <v>15870</v>
      </c>
      <c r="E20" s="2427"/>
      <c r="F20" s="1243" t="s">
        <v>2143</v>
      </c>
      <c r="G20" s="147">
        <f ca="1">ROUND(C20*$C$18+D20*$D$18,0)</f>
        <v>16406</v>
      </c>
      <c r="H20" s="976" t="s">
        <v>2144</v>
      </c>
      <c r="I20" s="137"/>
    </row>
    <row r="21" spans="1:35" ht="15" customHeight="1" thickBot="1">
      <c r="A21" s="996"/>
      <c r="B21" s="2428" t="s">
        <v>2145</v>
      </c>
      <c r="C21" s="787">
        <f ca="1">ROUND(C19*10000/L19,0)</f>
        <v>97719</v>
      </c>
      <c r="D21" s="788">
        <f ca="1">ROUND(D19*10000/L19,0)</f>
        <v>91536</v>
      </c>
      <c r="E21" s="996"/>
      <c r="F21" s="2428" t="s">
        <v>2145</v>
      </c>
      <c r="G21" s="148">
        <f ca="1">ROUND(G19*10000/L19,0)</f>
        <v>94627</v>
      </c>
      <c r="H21" s="2429" t="s">
        <v>2144</v>
      </c>
      <c r="I21" s="137"/>
    </row>
    <row r="22" spans="1:35" ht="15" thickBot="1">
      <c r="A22" s="2274" t="s">
        <v>2146</v>
      </c>
      <c r="B22" s="2430"/>
      <c r="C22" s="2431"/>
      <c r="D22" s="789">
        <f ca="1">IF(C19&lt;D19,D19/C19-1,C19/D19-1)</f>
        <v>6.7544361763022254E-2</v>
      </c>
      <c r="E22" s="137"/>
      <c r="F22" s="137"/>
      <c r="G22" s="137"/>
      <c r="H22" s="137"/>
      <c r="I22" s="137"/>
    </row>
    <row r="23" spans="1:35" ht="13.5" thickBot="1">
      <c r="A23" s="2408"/>
      <c r="B23" s="2408"/>
      <c r="C23" s="2408"/>
      <c r="D23" s="2408"/>
      <c r="E23" s="137"/>
      <c r="F23" s="137"/>
      <c r="G23" s="137"/>
      <c r="H23" s="137"/>
      <c r="I23" s="137"/>
    </row>
    <row r="24" spans="1:35" ht="14.25">
      <c r="A24" s="3234" t="s">
        <v>2147</v>
      </c>
      <c r="B24" s="2425" t="s">
        <v>2139</v>
      </c>
      <c r="C24" s="144">
        <f>IF(B30=0,0,D30)</f>
        <v>0</v>
      </c>
      <c r="D24" s="2432"/>
      <c r="E24" s="137"/>
      <c r="F24" s="137"/>
      <c r="G24" s="137"/>
      <c r="H24" s="137"/>
      <c r="I24" s="137"/>
    </row>
    <row r="25" spans="1:35" ht="14.25">
      <c r="A25" s="3235"/>
      <c r="B25" s="1243" t="s">
        <v>2143</v>
      </c>
      <c r="C25" s="149">
        <f>IF(B30=0,0,C30)</f>
        <v>0</v>
      </c>
      <c r="D25" s="2433"/>
      <c r="E25" s="137"/>
      <c r="F25" s="137"/>
      <c r="G25" s="137"/>
      <c r="H25" s="137"/>
      <c r="I25" s="137"/>
    </row>
    <row r="26" spans="1:35" ht="13.5" customHeight="1">
      <c r="A26" s="2434" t="s">
        <v>2148</v>
      </c>
      <c r="B26" s="150" t="s">
        <v>2149</v>
      </c>
      <c r="C26" s="150" t="s">
        <v>2150</v>
      </c>
      <c r="D26" s="151" t="s">
        <v>2151</v>
      </c>
      <c r="E26" s="137"/>
      <c r="F26" s="137"/>
      <c r="G26" s="137"/>
      <c r="H26" s="137"/>
      <c r="I26" s="137"/>
    </row>
    <row r="27" spans="1:35" ht="14.25">
      <c r="A27" s="2434"/>
      <c r="B27" s="150">
        <v>0</v>
      </c>
      <c r="C27" s="150">
        <v>0</v>
      </c>
      <c r="D27" s="151"/>
      <c r="E27" s="137"/>
      <c r="F27" s="137"/>
      <c r="G27" s="137"/>
      <c r="H27" s="137"/>
      <c r="I27" s="137"/>
    </row>
    <row r="28" spans="1:35" ht="14.25">
      <c r="A28" s="2434"/>
      <c r="B28" s="150"/>
      <c r="C28" s="150"/>
      <c r="D28" s="151"/>
      <c r="E28" s="137"/>
      <c r="F28" s="137"/>
      <c r="G28" s="137"/>
      <c r="H28" s="137"/>
      <c r="I28" s="137"/>
    </row>
    <row r="29" spans="1:35" ht="14.25">
      <c r="A29" s="2434"/>
      <c r="B29" s="150"/>
      <c r="C29" s="150"/>
      <c r="D29" s="151"/>
      <c r="E29" s="137"/>
      <c r="F29" s="137"/>
      <c r="G29" s="137"/>
      <c r="H29" s="137"/>
      <c r="I29" s="137"/>
    </row>
    <row r="30" spans="1:35" ht="14.25">
      <c r="A30" s="150" t="s">
        <v>2152</v>
      </c>
      <c r="B30" s="150"/>
      <c r="C30" s="150"/>
      <c r="D30" s="150"/>
      <c r="E30" s="2913" t="s">
        <v>3033</v>
      </c>
      <c r="F30" s="137"/>
      <c r="G30" s="137"/>
      <c r="H30" s="137"/>
      <c r="I30" s="137"/>
    </row>
    <row r="31" spans="1:35" s="2436" customFormat="1" ht="15" thickBot="1">
      <c r="A31" s="2435"/>
      <c r="B31" s="2435"/>
      <c r="C31" s="2435"/>
      <c r="D31" s="2435"/>
      <c r="E31" s="137"/>
      <c r="F31" s="137"/>
      <c r="G31" s="137"/>
      <c r="H31" s="137"/>
      <c r="I31" s="137"/>
      <c r="J31" s="793"/>
      <c r="K31" s="793"/>
      <c r="L31" s="793"/>
      <c r="M31" s="793"/>
      <c r="N31" s="793"/>
      <c r="O31" s="793"/>
      <c r="P31" s="793"/>
      <c r="Q31" s="793"/>
      <c r="R31" s="793"/>
      <c r="S31" s="793"/>
      <c r="T31" s="793"/>
      <c r="U31" s="793"/>
      <c r="V31" s="793"/>
      <c r="W31" s="793"/>
      <c r="X31" s="793"/>
      <c r="Y31" s="793"/>
      <c r="Z31" s="793"/>
      <c r="AA31" s="2413"/>
      <c r="AB31" s="2413"/>
      <c r="AC31" s="2413"/>
      <c r="AD31" s="2413"/>
      <c r="AE31" s="2413"/>
      <c r="AF31" s="2413"/>
      <c r="AG31" s="2413"/>
      <c r="AH31" s="2413"/>
      <c r="AI31" s="2413"/>
    </row>
    <row r="32" spans="1:35" ht="15.75" thickBot="1">
      <c r="A32" s="2437" t="s">
        <v>2153</v>
      </c>
      <c r="B32" s="2438"/>
      <c r="C32" s="152">
        <f ca="1">IF(D32="总价",G19-C24,G20-C25)</f>
        <v>12642</v>
      </c>
      <c r="D32" s="2439" t="s">
        <v>2154</v>
      </c>
      <c r="E32" s="137"/>
      <c r="F32" s="137"/>
      <c r="G32" s="137"/>
      <c r="H32" s="137"/>
      <c r="I32" s="137"/>
    </row>
    <row r="33" spans="1:15" ht="15">
      <c r="A33" s="953" t="s">
        <v>2155</v>
      </c>
      <c r="B33" s="2440"/>
      <c r="C33" s="2441" t="s">
        <v>3197</v>
      </c>
      <c r="D33" s="2442" t="s">
        <v>3079</v>
      </c>
      <c r="E33" s="2443" t="s">
        <v>2156</v>
      </c>
      <c r="F33" s="2940" t="str">
        <f>IF(D32="楼面单价","取值（单价）","取值（总价）")</f>
        <v>取值（总价）</v>
      </c>
      <c r="G33" s="137"/>
      <c r="H33" s="137"/>
      <c r="I33" s="137"/>
    </row>
    <row r="34" spans="1:15" ht="15">
      <c r="A34" s="2445"/>
      <c r="B34" s="2446" t="s">
        <v>2157</v>
      </c>
      <c r="C34" s="156">
        <f ca="1">IF(C33="自定义",F34,C32-C35)</f>
        <v>5373</v>
      </c>
      <c r="D34" s="1051">
        <f ca="1">IF(C33="自定义",ROUND(C34/C32,3),IF(C33="收益比率",SUMIF(INDIRECT("'"&amp;D33&amp;"'"&amp;"!b:b"),"土地收益比率",INDIRECT("'"&amp;D33&amp;"'"&amp;"!c:c")),SUMIF(INDIRECT("'"&amp;D33&amp;"'"&amp;"!b:b"),"土地成本比率",INDIRECT("'"&amp;D33&amp;"'"&amp;"!c:c"))))</f>
        <v>0.42500000000000004</v>
      </c>
      <c r="E34" s="2447" t="s">
        <v>2158</v>
      </c>
      <c r="F34" s="1732"/>
      <c r="G34" s="137"/>
      <c r="H34" s="137"/>
      <c r="I34" s="137"/>
    </row>
    <row r="35" spans="1:15" ht="15.75" thickBot="1">
      <c r="A35" s="2448"/>
      <c r="B35" s="2449" t="s">
        <v>2159</v>
      </c>
      <c r="C35" s="1437">
        <f ca="1">IF(C33="自定义",F35,ROUND(C32*D35,0))</f>
        <v>7269</v>
      </c>
      <c r="D35" s="1438">
        <f ca="1">IF(C33="自定义",ROUND(C35/C32,3),IF(C33="收益比率",SUMIF(INDIRECT("'"&amp;D33&amp;"'"&amp;"!b:b"),"建筑物收益比率",INDIRECT("'"&amp;D33&amp;"'"&amp;"!c:c")),SUMIF(INDIRECT("'"&amp;D33&amp;"'"&amp;"!b:b"),"建筑物成本比率",INDIRECT("'"&amp;D33&amp;"'"&amp;"!c:c"))))</f>
        <v>0.57499999999999996</v>
      </c>
      <c r="E35" s="2450" t="s">
        <v>2160</v>
      </c>
      <c r="F35" s="162"/>
      <c r="G35" s="137"/>
      <c r="H35" s="137"/>
      <c r="I35" s="137"/>
    </row>
    <row r="36" spans="1:15" ht="15.75" thickBot="1">
      <c r="A36" s="3214" t="s">
        <v>2161</v>
      </c>
      <c r="B36" s="2451" t="s">
        <v>2162</v>
      </c>
      <c r="C36" s="153"/>
      <c r="D36" s="2452"/>
      <c r="E36" s="2453"/>
      <c r="F36" s="2454"/>
      <c r="G36" s="137"/>
      <c r="H36" s="137"/>
      <c r="I36" s="137"/>
    </row>
    <row r="37" spans="1:15" ht="15.75" thickBot="1">
      <c r="A37" s="3215"/>
      <c r="B37" s="2260" t="s">
        <v>2163</v>
      </c>
      <c r="C37" s="155"/>
      <c r="D37" s="1388"/>
      <c r="E37" s="1388"/>
      <c r="F37" s="2454"/>
      <c r="G37" s="137"/>
      <c r="H37" s="137"/>
      <c r="I37" s="137"/>
    </row>
    <row r="38" spans="1:15" ht="15.75" thickBot="1">
      <c r="A38" s="3216"/>
      <c r="B38" s="2455" t="s">
        <v>2164</v>
      </c>
      <c r="C38" s="725"/>
      <c r="D38" s="2456" t="s">
        <v>2165</v>
      </c>
      <c r="E38" s="1388"/>
      <c r="F38" s="2454"/>
      <c r="G38" s="137"/>
      <c r="H38" s="137"/>
      <c r="I38" s="137"/>
    </row>
    <row r="39" spans="1:15" ht="15">
      <c r="A39" s="2427" t="s">
        <v>2166</v>
      </c>
      <c r="B39" s="2457" t="s">
        <v>2149</v>
      </c>
      <c r="C39" s="2458" t="s">
        <v>2150</v>
      </c>
      <c r="D39" s="2458" t="s">
        <v>2169</v>
      </c>
      <c r="E39" s="2459" t="s">
        <v>2151</v>
      </c>
      <c r="F39" s="2454"/>
      <c r="G39" s="137"/>
      <c r="H39" s="137"/>
      <c r="I39" s="137"/>
    </row>
    <row r="40" spans="1:15" ht="14.25">
      <c r="A40" s="2460" t="s">
        <v>2171</v>
      </c>
      <c r="B40" s="157"/>
      <c r="C40" s="158"/>
      <c r="D40" s="158"/>
      <c r="E40" s="159"/>
      <c r="F40" s="2454"/>
      <c r="G40" s="137"/>
      <c r="H40" s="137"/>
      <c r="I40" s="137"/>
    </row>
    <row r="41" spans="1:15" ht="14.25">
      <c r="A41" s="2460" t="s">
        <v>2172</v>
      </c>
      <c r="B41" s="157"/>
      <c r="C41" s="158"/>
      <c r="D41" s="158"/>
      <c r="E41" s="159"/>
      <c r="F41" s="2454"/>
      <c r="G41" s="137"/>
      <c r="H41" s="137"/>
      <c r="I41" s="137"/>
    </row>
    <row r="42" spans="1:15" ht="15" thickBot="1">
      <c r="A42" s="2461"/>
      <c r="B42" s="160"/>
      <c r="C42" s="161"/>
      <c r="D42" s="161"/>
      <c r="E42" s="162"/>
      <c r="F42" s="2454"/>
      <c r="G42" s="137"/>
      <c r="H42" s="137"/>
      <c r="I42" s="137"/>
    </row>
    <row r="43" spans="1:15" ht="12.75">
      <c r="A43" s="2160"/>
      <c r="B43" s="2160"/>
      <c r="C43" s="2160"/>
      <c r="D43" s="2160"/>
      <c r="E43" s="2160"/>
      <c r="F43" s="2462"/>
      <c r="G43" s="2462"/>
      <c r="H43" s="2462"/>
      <c r="I43" s="2463"/>
    </row>
    <row r="44" spans="1:15" ht="18.75" hidden="1">
      <c r="A44" s="2464" t="s">
        <v>2173</v>
      </c>
      <c r="B44" s="2465"/>
      <c r="C44" s="2465"/>
      <c r="D44" s="2466"/>
      <c r="E44" s="2466"/>
      <c r="F44" s="2467"/>
      <c r="G44" s="2467"/>
      <c r="H44" s="2467"/>
      <c r="I44" s="2467"/>
      <c r="J44" s="2468" t="s">
        <v>2174</v>
      </c>
      <c r="K44" s="2469"/>
      <c r="L44" s="2469"/>
      <c r="M44" s="2469"/>
      <c r="N44" s="2469"/>
      <c r="O44" s="2469"/>
    </row>
    <row r="45" spans="1:15" ht="14.25" hidden="1" customHeight="1" thickBot="1">
      <c r="A45" s="3231" t="s">
        <v>2175</v>
      </c>
      <c r="B45" s="3232"/>
      <c r="C45" s="3233"/>
      <c r="D45" s="163">
        <f ca="1">ROUND(H101*F45,0)</f>
        <v>12642</v>
      </c>
      <c r="E45" s="164" t="s">
        <v>2176</v>
      </c>
      <c r="F45" s="165">
        <v>1</v>
      </c>
      <c r="G45" s="166" t="s">
        <v>2177</v>
      </c>
      <c r="H45" s="137"/>
      <c r="I45" s="137"/>
      <c r="J45" s="3150" t="s">
        <v>2178</v>
      </c>
      <c r="K45" s="3150"/>
      <c r="L45" s="3150"/>
      <c r="M45" s="3150"/>
      <c r="N45" s="3150"/>
      <c r="O45" s="3150"/>
    </row>
    <row r="46" spans="1:15" ht="14.25" hidden="1" customHeight="1">
      <c r="A46" s="3228" t="s">
        <v>2179</v>
      </c>
      <c r="B46" s="3229"/>
      <c r="C46" s="3229"/>
      <c r="D46" s="3229"/>
      <c r="E46" s="3229"/>
      <c r="F46" s="3229"/>
      <c r="G46" s="3230"/>
      <c r="H46" s="2470"/>
      <c r="I46" s="167"/>
      <c r="J46" s="2949">
        <v>1</v>
      </c>
      <c r="K46" s="3150" t="s">
        <v>2180</v>
      </c>
      <c r="L46" s="3150"/>
      <c r="M46" s="3151"/>
      <c r="N46" s="3151"/>
      <c r="O46" s="3151"/>
    </row>
    <row r="47" spans="1:15" ht="12" hidden="1" customHeight="1">
      <c r="A47" s="168" t="s">
        <v>2181</v>
      </c>
      <c r="B47" s="169"/>
      <c r="C47" s="170"/>
      <c r="D47" s="171" t="s">
        <v>2182</v>
      </c>
      <c r="E47" s="24" t="s">
        <v>2183</v>
      </c>
      <c r="F47" s="172" t="s">
        <v>2184</v>
      </c>
      <c r="G47" s="173" t="s">
        <v>2185</v>
      </c>
      <c r="H47" s="2470"/>
      <c r="I47" s="167"/>
      <c r="J47" s="2949">
        <v>2</v>
      </c>
      <c r="K47" s="3150" t="s">
        <v>2186</v>
      </c>
      <c r="L47" s="3150"/>
      <c r="M47" s="3152">
        <f>'数据-取费表'!B2</f>
        <v>43165</v>
      </c>
      <c r="N47" s="3152"/>
      <c r="O47" s="3152"/>
    </row>
    <row r="48" spans="1:15" ht="25.5" hidden="1">
      <c r="A48" s="3218" t="s">
        <v>2187</v>
      </c>
      <c r="B48" s="3219"/>
      <c r="C48" s="3219"/>
      <c r="D48" s="139">
        <f>IF(H48="情况1",0,IF(H48="情况2",D52,IF(H48="情况3",D53,IF(H48="情况4",D54))))</f>
        <v>0</v>
      </c>
      <c r="E48" s="2958" t="str">
        <f>IF(H48="情况4","(销售额-原购置价)×税（费）率","销售额×税（费）率")</f>
        <v>销售额×税（费）率</v>
      </c>
      <c r="F48" s="174" t="str">
        <f>IF(H48="情况1","免征",'数据-取费表'!B41)</f>
        <v>免征</v>
      </c>
      <c r="G48" s="2471" t="s">
        <v>2188</v>
      </c>
      <c r="H48" s="2472" t="s">
        <v>2189</v>
      </c>
      <c r="I48" s="2470"/>
      <c r="J48" s="2949">
        <v>3</v>
      </c>
      <c r="K48" s="3150" t="s">
        <v>2190</v>
      </c>
      <c r="L48" s="3150"/>
      <c r="M48" s="3153">
        <f ca="1">H101</f>
        <v>12642</v>
      </c>
      <c r="N48" s="3153"/>
      <c r="O48" s="3153"/>
    </row>
    <row r="49" spans="1:35" ht="25.5" hidden="1" customHeight="1">
      <c r="A49" s="175" t="s">
        <v>2191</v>
      </c>
      <c r="B49" s="3198" t="s">
        <v>2192</v>
      </c>
      <c r="C49" s="3198"/>
      <c r="D49" s="176">
        <v>0</v>
      </c>
      <c r="E49" s="23" t="s">
        <v>2193</v>
      </c>
      <c r="F49" s="28" t="s">
        <v>34</v>
      </c>
      <c r="G49" s="3179"/>
      <c r="H49" s="137"/>
      <c r="I49" s="2473"/>
      <c r="J49" s="2949">
        <v>4</v>
      </c>
      <c r="K49" s="3150" t="str">
        <f>IF(项目基本情况!E8="房地产抵押价值","房地产抵押价值","抵押担保权已注销时的房地产抵押价值")</f>
        <v>房地产抵押价值</v>
      </c>
      <c r="L49" s="3150"/>
      <c r="M49" s="3153">
        <f ca="1">IF(项目基本情况!E8="房地产抵押价值",H107,H109)</f>
        <v>12642</v>
      </c>
      <c r="N49" s="3153"/>
      <c r="O49" s="3153"/>
    </row>
    <row r="50" spans="1:35" ht="25.5" hidden="1" customHeight="1">
      <c r="A50" s="177"/>
      <c r="B50" s="3198" t="s">
        <v>2194</v>
      </c>
      <c r="C50" s="3198"/>
      <c r="D50" s="178"/>
      <c r="E50" s="31"/>
      <c r="F50" s="179"/>
      <c r="G50" s="3180"/>
      <c r="H50" s="137"/>
      <c r="I50" s="2473"/>
      <c r="J50" s="3150" t="s">
        <v>2195</v>
      </c>
      <c r="K50" s="3150"/>
      <c r="L50" s="3150"/>
      <c r="M50" s="3150"/>
      <c r="N50" s="3150"/>
      <c r="O50" s="3150"/>
    </row>
    <row r="51" spans="1:35" ht="12" hidden="1" customHeight="1">
      <c r="A51" s="180"/>
      <c r="B51" s="3198" t="s">
        <v>2196</v>
      </c>
      <c r="C51" s="3198"/>
      <c r="D51" s="181"/>
      <c r="E51" s="30"/>
      <c r="F51" s="179"/>
      <c r="G51" s="3181"/>
      <c r="H51" s="137"/>
      <c r="I51" s="2473"/>
      <c r="J51" s="2942" t="s">
        <v>2197</v>
      </c>
      <c r="K51" s="3150" t="s">
        <v>2198</v>
      </c>
      <c r="L51" s="3150"/>
      <c r="M51" s="2942" t="s">
        <v>2199</v>
      </c>
      <c r="N51" s="2942" t="s">
        <v>2200</v>
      </c>
      <c r="O51" s="2942" t="s">
        <v>2201</v>
      </c>
    </row>
    <row r="52" spans="1:35" ht="24" hidden="1" customHeight="1">
      <c r="A52" s="182" t="s">
        <v>2202</v>
      </c>
      <c r="B52" s="3198" t="s">
        <v>2203</v>
      </c>
      <c r="C52" s="3198"/>
      <c r="D52" s="181">
        <f ca="1">ROUND(D45*'数据-取费表'!B41/(1+'数据-取费表'!C42),0)</f>
        <v>674</v>
      </c>
      <c r="E52" s="11" t="s">
        <v>2204</v>
      </c>
      <c r="F52" s="183">
        <f>'数据-取费表'!B41</f>
        <v>5.6000000000000001E-2</v>
      </c>
      <c r="G52" s="2475"/>
      <c r="H52" s="137"/>
      <c r="I52" s="2473"/>
      <c r="J52" s="2949">
        <v>1</v>
      </c>
      <c r="K52" s="3173" t="s">
        <v>2205</v>
      </c>
      <c r="L52" s="3173"/>
      <c r="M52" s="1747">
        <f>D48</f>
        <v>0</v>
      </c>
      <c r="N52" s="2949" t="str">
        <f>E48</f>
        <v>销售额×税（费）率</v>
      </c>
      <c r="O52" s="1748" t="str">
        <f>F48</f>
        <v>免征</v>
      </c>
    </row>
    <row r="53" spans="1:35" ht="12" hidden="1" customHeight="1">
      <c r="A53" s="182" t="s">
        <v>2206</v>
      </c>
      <c r="B53" s="3199" t="s">
        <v>2207</v>
      </c>
      <c r="C53" s="3200"/>
      <c r="D53" s="181">
        <f ca="1">ROUND(D45*'数据-取费表'!B41/(1+'数据-取费表'!C42),0)</f>
        <v>674</v>
      </c>
      <c r="E53" s="11" t="s">
        <v>2204</v>
      </c>
      <c r="F53" s="183">
        <f>'数据-取费表'!B41</f>
        <v>5.6000000000000001E-2</v>
      </c>
      <c r="G53" s="2475"/>
      <c r="H53" s="137"/>
      <c r="I53" s="2473"/>
      <c r="J53" s="2949">
        <v>2</v>
      </c>
      <c r="K53" s="3173" t="s">
        <v>2208</v>
      </c>
      <c r="L53" s="3173"/>
      <c r="M53" s="1747">
        <f t="shared" ref="M53:O54" ca="1" si="0">D55</f>
        <v>6</v>
      </c>
      <c r="N53" s="2949" t="str">
        <f t="shared" si="0"/>
        <v>销售额×税（费）率</v>
      </c>
      <c r="O53" s="1748">
        <f t="shared" si="0"/>
        <v>5.0000000000000001E-4</v>
      </c>
    </row>
    <row r="54" spans="1:35" ht="12" hidden="1" customHeight="1">
      <c r="A54" s="182" t="s">
        <v>2209</v>
      </c>
      <c r="B54" s="3199" t="s">
        <v>2210</v>
      </c>
      <c r="C54" s="3200"/>
      <c r="D54" s="181">
        <f ca="1">C68</f>
        <v>674</v>
      </c>
      <c r="E54" s="30" t="s">
        <v>2211</v>
      </c>
      <c r="F54" s="183">
        <f>'数据-取费表'!B41</f>
        <v>5.6000000000000001E-2</v>
      </c>
      <c r="G54" s="2475"/>
      <c r="H54" s="2476"/>
      <c r="I54" s="2473"/>
      <c r="J54" s="2949">
        <v>3</v>
      </c>
      <c r="K54" s="3173" t="s">
        <v>2212</v>
      </c>
      <c r="L54" s="3173"/>
      <c r="M54" s="1747">
        <f t="shared" ca="1" si="0"/>
        <v>7156</v>
      </c>
      <c r="N54" s="2949" t="str">
        <f t="shared" si="0"/>
        <v>增值额×税（费）率</v>
      </c>
      <c r="O54" s="1749" t="str">
        <f t="shared" si="0"/>
        <v>——</v>
      </c>
    </row>
    <row r="55" spans="1:35" ht="24" hidden="1" customHeight="1">
      <c r="A55" s="3237" t="s">
        <v>2213</v>
      </c>
      <c r="B55" s="3219"/>
      <c r="C55" s="3219"/>
      <c r="D55" s="184">
        <f ca="1">IF(H55="个人住宅",0,ROUND(D45*I55,0))</f>
        <v>6</v>
      </c>
      <c r="E55" s="11" t="s">
        <v>2214</v>
      </c>
      <c r="F55" s="183">
        <f>IF(H55="正常",I55,"免征")</f>
        <v>5.0000000000000001E-4</v>
      </c>
      <c r="G55" s="2475"/>
      <c r="H55" s="2472" t="s">
        <v>2215</v>
      </c>
      <c r="I55" s="185">
        <f>'数据-取费表'!B49</f>
        <v>5.0000000000000001E-4</v>
      </c>
      <c r="J55" s="2949" t="str">
        <f>IF(H59="非个人房产","",4)</f>
        <v/>
      </c>
      <c r="K55" s="3173" t="str">
        <f>IF(H59="非个人房产","——","个人所得税")</f>
        <v>——</v>
      </c>
      <c r="L55" s="3173"/>
      <c r="M55" s="1750" t="str">
        <f>D59</f>
        <v>——</v>
      </c>
      <c r="N55" s="2950" t="str">
        <f>E59</f>
        <v>——</v>
      </c>
      <c r="O55" s="1751" t="str">
        <f>F59</f>
        <v>——</v>
      </c>
    </row>
    <row r="56" spans="1:35" ht="24.75" hidden="1">
      <c r="A56" s="3237" t="s">
        <v>2216</v>
      </c>
      <c r="B56" s="3219"/>
      <c r="C56" s="3219"/>
      <c r="D56" s="184">
        <f ca="1">IF(H56="个人住宅",D57,D58)</f>
        <v>7156</v>
      </c>
      <c r="E56" s="11" t="s">
        <v>2217</v>
      </c>
      <c r="F56" s="183" t="str">
        <f>IF(H56="正常",F58,"免征")</f>
        <v>——</v>
      </c>
      <c r="G56" s="2477" t="s">
        <v>2218</v>
      </c>
      <c r="H56" s="2478" t="s">
        <v>2215</v>
      </c>
      <c r="I56" s="2479"/>
      <c r="J56" s="2949" t="str">
        <f>IF(项目基本情况!K6="上海银行",IF(J55="",4,J55+1),"")</f>
        <v/>
      </c>
      <c r="K56" s="3156" t="str">
        <f>IF(项目基本情况!K6="上海银行","其他处置费用","")</f>
        <v/>
      </c>
      <c r="L56" s="3157"/>
      <c r="M56" s="1747" t="str">
        <f>IF(项目基本情况!K6="上海银行",M69,"")</f>
        <v/>
      </c>
      <c r="N56" s="3159" t="str">
        <f>IF(项目基本情况!K6="上海银行","包含处置中涉及的律师、诉讼、拍卖、评估等费用","")</f>
        <v/>
      </c>
      <c r="O56" s="3160"/>
    </row>
    <row r="57" spans="1:35" ht="12.75" hidden="1">
      <c r="A57" s="182" t="s">
        <v>2191</v>
      </c>
      <c r="B57" s="3204" t="s">
        <v>2219</v>
      </c>
      <c r="C57" s="3205"/>
      <c r="D57" s="186">
        <v>0</v>
      </c>
      <c r="E57" s="23" t="s">
        <v>2193</v>
      </c>
      <c r="F57" s="154"/>
      <c r="G57" s="2475"/>
      <c r="H57" s="2479"/>
      <c r="I57" s="2479"/>
      <c r="J57" s="3173">
        <f>IF(AND(J55="",J56=""),4,IF(项目基本情况!K6="上海银行",结果表车!J56+1,结果表车!J55+1))</f>
        <v>4</v>
      </c>
      <c r="K57" s="3173" t="s">
        <v>2220</v>
      </c>
      <c r="L57" s="2480" t="s">
        <v>2221</v>
      </c>
      <c r="M57" s="1752"/>
      <c r="N57" s="1753">
        <f ca="1">SUMIF(M52:M56,"&lt;9e307")</f>
        <v>7162</v>
      </c>
      <c r="O57" s="2481"/>
      <c r="P57" s="1746">
        <f ca="1">N57/M49</f>
        <v>0.56652428413225753</v>
      </c>
    </row>
    <row r="58" spans="1:35" ht="24.75" hidden="1">
      <c r="A58" s="182" t="s">
        <v>2202</v>
      </c>
      <c r="B58" s="3204" t="s">
        <v>2222</v>
      </c>
      <c r="C58" s="3217"/>
      <c r="D58" s="184">
        <f ca="1">IF(H58="转让取得",C81,C97)</f>
        <v>7156</v>
      </c>
      <c r="E58" s="11" t="s">
        <v>2217</v>
      </c>
      <c r="F58" s="24" t="s">
        <v>34</v>
      </c>
      <c r="G58" s="2475"/>
      <c r="H58" s="2478" t="s">
        <v>2223</v>
      </c>
      <c r="I58" s="2479"/>
      <c r="J58" s="3173"/>
      <c r="K58" s="3173"/>
      <c r="L58" s="2480" t="s">
        <v>2224</v>
      </c>
      <c r="M58" s="1754"/>
      <c r="N58" s="2482" t="str">
        <f ca="1">NUMBERSTRING(INT(N57*10000),2)&amp;"元整"</f>
        <v>柒仟壹佰陆拾贰万元整</v>
      </c>
      <c r="O58" s="2483"/>
    </row>
    <row r="59" spans="1:35" ht="24.75" hidden="1" thickBot="1">
      <c r="A59" s="3177" t="s">
        <v>2225</v>
      </c>
      <c r="B59" s="3178"/>
      <c r="C59" s="3178"/>
      <c r="D59" s="187" t="str">
        <f>IF(H59="非个人房产","——",IF(H59="个人住宅",0,ROUND(D45*I59,0)))</f>
        <v>——</v>
      </c>
      <c r="E59" s="188" t="str">
        <f>IF(H59="非个人房产","——","销售额×税（费）率")</f>
        <v>——</v>
      </c>
      <c r="F59" s="189" t="str">
        <f>IF(H59="非个人房产","——",IF(H59="个人住宅","免征",I59))</f>
        <v>——</v>
      </c>
      <c r="G59" s="2484" t="s">
        <v>2218</v>
      </c>
      <c r="H59" s="2478" t="s">
        <v>2226</v>
      </c>
      <c r="I59" s="190">
        <v>0.01</v>
      </c>
      <c r="J59" s="3175">
        <f>J57+1</f>
        <v>5</v>
      </c>
      <c r="K59" s="3173" t="s">
        <v>2227</v>
      </c>
      <c r="L59" s="2949" t="s">
        <v>2221</v>
      </c>
      <c r="M59" s="1755"/>
      <c r="N59" s="1756">
        <f ca="1">M49-N57</f>
        <v>5480</v>
      </c>
      <c r="O59" s="2485"/>
    </row>
    <row r="60" spans="1:35" ht="12" hidden="1" customHeight="1">
      <c r="A60" s="2486"/>
      <c r="B60" s="2408"/>
      <c r="C60" s="2408"/>
      <c r="D60" s="2408"/>
      <c r="E60" s="2161"/>
      <c r="F60" s="2479"/>
      <c r="G60" s="2479"/>
      <c r="H60" s="2487"/>
      <c r="I60" s="137"/>
      <c r="J60" s="3176"/>
      <c r="K60" s="3173"/>
      <c r="L60" s="2480" t="s">
        <v>2224</v>
      </c>
      <c r="M60" s="1754"/>
      <c r="N60" s="2482" t="str">
        <f ca="1">NUMBERSTRING(INT(N59*10000),2)&amp;"元整"</f>
        <v>伍仟肆佰捌拾万元整</v>
      </c>
      <c r="O60" s="2483"/>
    </row>
    <row r="61" spans="1:35" ht="13.5" hidden="1" thickBot="1">
      <c r="A61" s="3236" t="s">
        <v>2228</v>
      </c>
      <c r="B61" s="3236"/>
      <c r="C61" s="3236"/>
      <c r="D61" s="3236"/>
      <c r="E61" s="3236"/>
      <c r="F61" s="2479"/>
      <c r="G61" s="2479"/>
      <c r="H61" s="2487"/>
      <c r="I61" s="137"/>
      <c r="J61" s="2949">
        <f>J59+1</f>
        <v>6</v>
      </c>
      <c r="K61" s="3173" t="s">
        <v>2229</v>
      </c>
      <c r="L61" s="3173"/>
      <c r="M61" s="1757"/>
      <c r="N61" s="1758">
        <f ca="1">ROUND(N59*10000/'数据-汇总表'!E3,0)</f>
        <v>1050</v>
      </c>
      <c r="O61" s="2488"/>
    </row>
    <row r="62" spans="1:35" ht="12.75" hidden="1">
      <c r="A62" s="3193" t="s">
        <v>2230</v>
      </c>
      <c r="B62" s="3194"/>
      <c r="C62" s="2954"/>
      <c r="D62" s="2954" t="s">
        <v>2231</v>
      </c>
      <c r="E62" s="191" t="s">
        <v>2232</v>
      </c>
      <c r="F62" s="2479"/>
      <c r="G62" s="2479"/>
      <c r="H62" s="2487"/>
      <c r="I62" s="137"/>
    </row>
    <row r="63" spans="1:35" ht="12.75" hidden="1">
      <c r="A63" s="202" t="s">
        <v>775</v>
      </c>
      <c r="B63" s="192" t="s">
        <v>2233</v>
      </c>
      <c r="C63" s="193">
        <f ca="1">ROUND((C64+C65)/(1+'数据-取费表'!C42),0)</f>
        <v>12040</v>
      </c>
      <c r="D63" s="194"/>
      <c r="E63" s="195"/>
      <c r="F63" s="2479"/>
      <c r="G63" s="2479"/>
      <c r="H63" s="2487"/>
      <c r="I63" s="137"/>
      <c r="J63" s="3158" t="s">
        <v>2234</v>
      </c>
      <c r="K63" s="2945" t="s">
        <v>2235</v>
      </c>
      <c r="L63" s="1745">
        <f ca="1">IF(M49&gt;10000,M49*0.5%,IF(AND(M49&gt;1000,M49&lt;=10000),M49*1%,IF(AND(M49&gt;100,M49&lt;=1000),M49*3%,IF(AND(M49&gt;10,M49&lt;=100),M49*5%,M49*8%))))</f>
        <v>63.21</v>
      </c>
      <c r="M63" s="24">
        <f ca="1">ROUND(L63,1)</f>
        <v>63.2</v>
      </c>
      <c r="Z63" s="2413"/>
      <c r="AI63" s="2414"/>
    </row>
    <row r="64" spans="1:35" ht="14.25" hidden="1" customHeight="1">
      <c r="A64" s="196" t="s">
        <v>770</v>
      </c>
      <c r="B64" s="197" t="s">
        <v>2236</v>
      </c>
      <c r="C64" s="198">
        <f ca="1">D45</f>
        <v>12642</v>
      </c>
      <c r="D64" s="199" t="s">
        <v>32</v>
      </c>
      <c r="E64" s="200"/>
      <c r="F64" s="2479"/>
      <c r="G64" s="2479"/>
      <c r="H64" s="2487"/>
      <c r="I64" s="137"/>
      <c r="J64" s="3158"/>
      <c r="K64" s="2945" t="s">
        <v>2237</v>
      </c>
      <c r="L64" s="1745">
        <f ca="1">IF(M49&gt;2000,M49*0.5%,IF(AND(M49&gt;1000,M49&lt;=2000),M49*0.6%,IF(AND(M49&gt;500,M49&lt;=1000),M49*0.7%,IF(AND(M49&gt;200,M49&lt;=500),M49*0.8%,IF(AND(M49&gt;100,M49&lt;=200),M49*0.9%,IF(AND(M49&gt;50,M49&lt;=100),M49*1%,IF(AND(M49&gt;20,M49&lt;=50),M49*1.5%,IF(AND(M49&gt;10,M49&lt;=20),M49*2%,IF(AND(M49&gt;1,M49&lt;=10),M49*2.5%)))))))))</f>
        <v>63.21</v>
      </c>
      <c r="M64" s="24">
        <f t="shared" ref="M64:M65" ca="1" si="1">ROUND(L64,1)</f>
        <v>63.2</v>
      </c>
      <c r="N64" s="137" t="s">
        <v>2238</v>
      </c>
      <c r="Z64" s="2413"/>
      <c r="AI64" s="2414"/>
    </row>
    <row r="65" spans="1:35" ht="14.25" hidden="1" customHeight="1">
      <c r="A65" s="196" t="s">
        <v>771</v>
      </c>
      <c r="B65" s="197" t="s">
        <v>2239</v>
      </c>
      <c r="C65" s="201"/>
      <c r="D65" s="199"/>
      <c r="E65" s="200"/>
      <c r="F65" s="2479"/>
      <c r="G65" s="2479"/>
      <c r="H65" s="2487"/>
      <c r="I65" s="137"/>
      <c r="J65" s="3158"/>
      <c r="K65" s="2945" t="s">
        <v>2240</v>
      </c>
      <c r="L65" s="1745">
        <f ca="1">IF(M49&gt;1000,M49*0.1%,IF(AND(M49&gt;500,M49&lt;=1000),M49*0.5%,IF(AND(M49&gt;50,M49&lt;=500),M49*1%,IF(AND(M49&gt;1,M49&lt;=50),M49*1.5%))))</f>
        <v>12.641999999999999</v>
      </c>
      <c r="M65" s="24">
        <f t="shared" ca="1" si="1"/>
        <v>12.6</v>
      </c>
      <c r="N65" s="137" t="s">
        <v>2238</v>
      </c>
      <c r="Z65" s="2413"/>
      <c r="AI65" s="2414"/>
    </row>
    <row r="66" spans="1:35" ht="14.25" hidden="1" customHeight="1">
      <c r="A66" s="202" t="s">
        <v>772</v>
      </c>
      <c r="B66" s="203" t="s">
        <v>2241</v>
      </c>
      <c r="C66" s="204"/>
      <c r="D66" s="205" t="s">
        <v>32</v>
      </c>
      <c r="E66" s="1769" t="s">
        <v>1369</v>
      </c>
      <c r="F66" s="2479"/>
      <c r="G66" s="2479"/>
      <c r="H66" s="2487"/>
      <c r="I66" s="137"/>
      <c r="J66" s="3158"/>
      <c r="K66" s="2945" t="s">
        <v>2242</v>
      </c>
      <c r="L66" s="1745">
        <f ca="1">M49*0.5%</f>
        <v>63.21</v>
      </c>
      <c r="M66" s="24">
        <f ca="1">IF(L66&gt;0.5,0.5,ROUND(L66,0))</f>
        <v>0.5</v>
      </c>
      <c r="N66" s="137" t="s">
        <v>2243</v>
      </c>
      <c r="Z66" s="2413"/>
      <c r="AI66" s="2414"/>
    </row>
    <row r="67" spans="1:35" ht="14.25" hidden="1" customHeight="1">
      <c r="A67" s="202" t="s">
        <v>773</v>
      </c>
      <c r="B67" s="203" t="s">
        <v>2244</v>
      </c>
      <c r="C67" s="206">
        <f ca="1">C63-C66</f>
        <v>12040</v>
      </c>
      <c r="D67" s="199" t="s">
        <v>32</v>
      </c>
      <c r="E67" s="200"/>
      <c r="F67" s="2479"/>
      <c r="G67" s="2479"/>
      <c r="H67" s="2487"/>
      <c r="I67" s="137"/>
      <c r="J67" s="3158"/>
      <c r="K67" s="2945" t="s">
        <v>2245</v>
      </c>
      <c r="L67" s="1745">
        <f ca="1">IF(M49&gt;=10000,(8.25+(M49-10000)*0.01%),IF(AND(M49&gt;=8000,M49&lt;10000),(7.85+(M49-8000)*0.02%),IF(AND(M49&gt;=5000,M49&lt;8000),(6.65+(M49-5000)*0.04%),IF(AND(M49&gt;=2000,M49&lt;5000),(4.25+(PM49-2000)*0.08%),IF(AND(M49&gt;=1000,M49&lt;2000),(2.75+(M49-1000)*0.15%),IF(AND(M49&gt;=100,M49&lt;1000),(0.5+(M49-100)*0.25%),IF(AND(M49&gt;0,M49&lt;100),M49*0.5%)))))))</f>
        <v>8.5142000000000007</v>
      </c>
      <c r="M67" s="24">
        <f ca="1">ROUND(L67*0.9,1)</f>
        <v>7.7</v>
      </c>
      <c r="Z67" s="2413"/>
      <c r="AI67" s="2414"/>
    </row>
    <row r="68" spans="1:35" ht="14.25" hidden="1" customHeight="1" thickBot="1">
      <c r="A68" s="207" t="s">
        <v>774</v>
      </c>
      <c r="B68" s="208" t="s">
        <v>2246</v>
      </c>
      <c r="C68" s="209">
        <f ca="1">IF(C67&lt;=0,0,ROUND(C67*D68,0))</f>
        <v>674</v>
      </c>
      <c r="D68" s="210">
        <f>'数据-取费表'!B41</f>
        <v>5.6000000000000001E-2</v>
      </c>
      <c r="E68" s="211"/>
      <c r="F68" s="2479"/>
      <c r="G68" s="2479"/>
      <c r="H68" s="2487"/>
      <c r="I68" s="137"/>
      <c r="J68" s="3158"/>
      <c r="K68" s="2945" t="s">
        <v>2247</v>
      </c>
      <c r="L68" s="1745">
        <f ca="1">IF(M49&gt;10000,M49*0.5%,IF(AND(M49&gt;5000,M49&lt;=10000),M49*1%,IF(AND(M49&gt;1000,M49&lt;=5000),M49*2%,IF(AND(M49&gt;200,M49&lt;=1000),M49*3%,M49*5%))))</f>
        <v>63.21</v>
      </c>
      <c r="M68" s="24">
        <f ca="1">ROUND(L68,1)</f>
        <v>63.2</v>
      </c>
      <c r="Z68" s="2413"/>
      <c r="AI68" s="2414"/>
    </row>
    <row r="69" spans="1:35" s="2436" customFormat="1" ht="16.5" hidden="1" customHeight="1">
      <c r="A69" s="2490"/>
      <c r="B69" s="2491"/>
      <c r="C69" s="2492"/>
      <c r="D69" s="2493"/>
      <c r="E69" s="2494"/>
      <c r="F69" s="2161"/>
      <c r="G69" s="2161"/>
      <c r="H69" s="2160"/>
      <c r="I69" s="2408"/>
      <c r="J69" s="3158"/>
      <c r="K69" s="2945" t="s">
        <v>2248</v>
      </c>
      <c r="L69" s="2495"/>
      <c r="M69" s="24">
        <f ca="1">ROUND(SUM(M63:M68),0)</f>
        <v>210</v>
      </c>
      <c r="N69" s="1746">
        <f ca="1">M69/M49</f>
        <v>1.6611295681063124E-2</v>
      </c>
      <c r="O69" s="793"/>
      <c r="P69" s="793"/>
      <c r="Q69" s="793"/>
      <c r="R69" s="793"/>
      <c r="S69" s="793"/>
      <c r="T69" s="793"/>
      <c r="U69" s="793"/>
      <c r="V69" s="793"/>
      <c r="W69" s="793"/>
      <c r="X69" s="793"/>
      <c r="Y69" s="793"/>
      <c r="Z69" s="2413"/>
      <c r="AA69" s="2413"/>
      <c r="AB69" s="2413"/>
      <c r="AC69" s="2413"/>
      <c r="AD69" s="2413"/>
      <c r="AE69" s="2413"/>
      <c r="AF69" s="2413"/>
      <c r="AG69" s="2413"/>
      <c r="AH69" s="2413"/>
    </row>
    <row r="70" spans="1:35" s="2497" customFormat="1" ht="15" hidden="1" thickBot="1">
      <c r="A70" s="3202" t="s">
        <v>2249</v>
      </c>
      <c r="B70" s="3203"/>
      <c r="C70" s="3203"/>
      <c r="D70" s="3203"/>
      <c r="E70" s="3203"/>
      <c r="F70" s="3203"/>
      <c r="G70" s="3203"/>
      <c r="H70" s="3203"/>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hidden="1">
      <c r="A71" s="3193" t="s">
        <v>2230</v>
      </c>
      <c r="B71" s="3194"/>
      <c r="C71" s="2954"/>
      <c r="D71" s="2954" t="s">
        <v>2231</v>
      </c>
      <c r="E71" s="212" t="s">
        <v>2232</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hidden="1">
      <c r="A72" s="202" t="s">
        <v>775</v>
      </c>
      <c r="B72" s="203" t="s">
        <v>2250</v>
      </c>
      <c r="C72" s="206">
        <f ca="1">ROUND(D45/(1+'数据-取费表'!C42),0)</f>
        <v>12040</v>
      </c>
      <c r="D72" s="199" t="s">
        <v>32</v>
      </c>
      <c r="E72" s="2956"/>
      <c r="F72" s="2955"/>
      <c r="G72" s="2955"/>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hidden="1">
      <c r="A73" s="202" t="s">
        <v>772</v>
      </c>
      <c r="B73" s="172" t="s">
        <v>2251</v>
      </c>
      <c r="C73" s="206">
        <f ca="1">C74+C78</f>
        <v>72</v>
      </c>
      <c r="D73" s="199" t="s">
        <v>32</v>
      </c>
      <c r="E73" s="2956"/>
      <c r="F73" s="2955"/>
      <c r="G73" s="2955"/>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hidden="1">
      <c r="A74" s="216" t="s">
        <v>770</v>
      </c>
      <c r="B74" s="197" t="s">
        <v>2252</v>
      </c>
      <c r="C74" s="199">
        <f>ROUND(IF(G77="2016年5月1日后购买",C75/(1+'数据-取费表'!C42)+C76+C77,C75+C76+C77),0)</f>
        <v>0</v>
      </c>
      <c r="D74" s="199" t="s">
        <v>32</v>
      </c>
      <c r="E74" s="2956"/>
      <c r="F74" s="2955"/>
      <c r="G74" s="2955"/>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hidden="1">
      <c r="A75" s="216" t="s">
        <v>776</v>
      </c>
      <c r="B75" s="197" t="s">
        <v>2253</v>
      </c>
      <c r="C75" s="217"/>
      <c r="D75" s="199" t="s">
        <v>32</v>
      </c>
      <c r="E75" s="218" t="s">
        <v>2254</v>
      </c>
      <c r="F75" s="2501" t="s">
        <v>2255</v>
      </c>
      <c r="G75" s="218" t="s">
        <v>2256</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hidden="1" customHeight="1">
      <c r="A76" s="216" t="s">
        <v>777</v>
      </c>
      <c r="B76" s="220" t="s">
        <v>2257</v>
      </c>
      <c r="C76" s="199">
        <f>IF(F75="购房发票",ROUND(C75*H75*D76,0),0)</f>
        <v>0</v>
      </c>
      <c r="D76" s="221">
        <v>0.05</v>
      </c>
      <c r="E76" s="3199" t="s">
        <v>2258</v>
      </c>
      <c r="F76" s="3198"/>
      <c r="G76" s="3198"/>
      <c r="H76" s="3201"/>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hidden="1" customHeight="1">
      <c r="A77" s="216" t="s">
        <v>778</v>
      </c>
      <c r="B77" s="197" t="s">
        <v>2259</v>
      </c>
      <c r="C77" s="199">
        <f>ROUND(IF(G77="个人住宅",0,IF(G77="2016年5月1日前购买",C75*D77,C75*D77/(1+'数据-取费表'!C42))),0)</f>
        <v>0</v>
      </c>
      <c r="D77" s="222">
        <f>'数据-取费表'!B48+'数据-取费表'!B49</f>
        <v>3.0499999999999999E-2</v>
      </c>
      <c r="E77" s="2946" t="s">
        <v>2260</v>
      </c>
      <c r="F77" s="223"/>
      <c r="G77" s="2503" t="s">
        <v>2261</v>
      </c>
      <c r="H77" s="2957"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hidden="1" customHeight="1">
      <c r="A78" s="216" t="s">
        <v>771</v>
      </c>
      <c r="B78" s="197" t="s">
        <v>2262</v>
      </c>
      <c r="C78" s="224">
        <f ca="1">ROUND(D45*D78/(1+'数据-取费表'!C42),0)</f>
        <v>72</v>
      </c>
      <c r="D78" s="225">
        <f>'数据-取费表'!B43</f>
        <v>6.000000000000001E-3</v>
      </c>
      <c r="E78" s="3190" t="s">
        <v>2263</v>
      </c>
      <c r="F78" s="3191"/>
      <c r="G78" s="3191"/>
      <c r="H78" s="3192"/>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hidden="1">
      <c r="A79" s="2505" t="s">
        <v>773</v>
      </c>
      <c r="B79" s="203" t="s">
        <v>2264</v>
      </c>
      <c r="C79" s="206">
        <f ca="1">C72-C73</f>
        <v>11968</v>
      </c>
      <c r="D79" s="199" t="s">
        <v>32</v>
      </c>
      <c r="E79" s="2956"/>
      <c r="F79" s="2955"/>
      <c r="G79" s="2955"/>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hidden="1">
      <c r="A80" s="2505" t="s">
        <v>780</v>
      </c>
      <c r="B80" s="203" t="s">
        <v>2265</v>
      </c>
      <c r="C80" s="226">
        <f ca="1">IF(C79&lt;=0,0,C79/C73)</f>
        <v>166.22222222222223</v>
      </c>
      <c r="D80" s="199" t="s">
        <v>32</v>
      </c>
      <c r="E80" s="2946" t="str">
        <f ca="1">IF(C80&gt;=200%,"增值额超过扣除项目金额200%",IF(C80&gt;=100%,"增值额超过扣除项目金额100%，未超过200%",IF(C80&gt;=50%,"增值额超过扣除项目金额50%，未超过100%",IF(C80&lt;50%,"增值额未超过扣除项目金额50%"))))</f>
        <v>增值额超过扣除项目金额200%</v>
      </c>
      <c r="F80" s="2955"/>
      <c r="G80" s="2955"/>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hidden="1" thickBot="1">
      <c r="A81" s="2506" t="s">
        <v>781</v>
      </c>
      <c r="B81" s="208" t="s">
        <v>2266</v>
      </c>
      <c r="C81" s="227">
        <f ca="1">ROUND(IF(C79&lt;=0,0,IF(C80&gt;=200%,C79*60%-C73*35%,IF(C80&gt;=100%,C79*50%-C73*15%,IF(C80&gt;=50%,C79*40%-C73*5%,IF(C80&lt;50%,C79*30%,0))))),0)</f>
        <v>7156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hidden="1" customHeight="1">
      <c r="A82" s="731"/>
      <c r="B82" s="732"/>
      <c r="C82" s="7"/>
      <c r="D82" s="7"/>
      <c r="E82" s="732"/>
      <c r="F82" s="732"/>
      <c r="G82" s="732"/>
      <c r="H82" s="733"/>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hidden="1" thickBot="1">
      <c r="A83" s="3202" t="s">
        <v>2267</v>
      </c>
      <c r="B83" s="3203"/>
      <c r="C83" s="3203"/>
      <c r="D83" s="3203"/>
      <c r="E83" s="3203"/>
      <c r="F83" s="3203"/>
      <c r="G83" s="3203"/>
      <c r="H83" s="3203"/>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hidden="1">
      <c r="A84" s="3193" t="s">
        <v>2230</v>
      </c>
      <c r="B84" s="3194"/>
      <c r="C84" s="2954"/>
      <c r="D84" s="2954" t="s">
        <v>2231</v>
      </c>
      <c r="E84" s="212" t="s">
        <v>2232</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hidden="1">
      <c r="A85" s="202" t="s">
        <v>775</v>
      </c>
      <c r="B85" s="203" t="s">
        <v>2250</v>
      </c>
      <c r="C85" s="206">
        <f ca="1">ROUND(D45/(1+'数据-取费表'!C42),0)</f>
        <v>12040</v>
      </c>
      <c r="D85" s="199" t="s">
        <v>32</v>
      </c>
      <c r="E85" s="2956"/>
      <c r="F85" s="2955"/>
      <c r="G85" s="2955"/>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hidden="1">
      <c r="A86" s="202" t="s">
        <v>772</v>
      </c>
      <c r="B86" s="172" t="s">
        <v>2251</v>
      </c>
      <c r="C86" s="206">
        <f ca="1">IF(H88="仅含出让金",C87+C90+C91+C92+C93+C94,C87+C91+C92+C93+C94)</f>
        <v>72</v>
      </c>
      <c r="D86" s="234"/>
      <c r="E86" s="2956"/>
      <c r="F86" s="2955"/>
      <c r="G86" s="2955"/>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hidden="1">
      <c r="A87" s="216" t="s">
        <v>770</v>
      </c>
      <c r="B87" s="197" t="s">
        <v>2268</v>
      </c>
      <c r="C87" s="224">
        <f>C88+C89</f>
        <v>0</v>
      </c>
      <c r="D87" s="225"/>
      <c r="E87" s="2951"/>
      <c r="F87" s="2952"/>
      <c r="G87" s="2952"/>
      <c r="H87" s="2953"/>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hidden="1">
      <c r="A88" s="216" t="s">
        <v>776</v>
      </c>
      <c r="B88" s="197" t="s">
        <v>2269</v>
      </c>
      <c r="C88" s="235"/>
      <c r="D88" s="225"/>
      <c r="E88" s="236" t="s">
        <v>2270</v>
      </c>
      <c r="F88" s="2952"/>
      <c r="G88" s="237" t="s">
        <v>2271</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hidden="1">
      <c r="A89" s="216" t="s">
        <v>777</v>
      </c>
      <c r="B89" s="197" t="s">
        <v>2259</v>
      </c>
      <c r="C89" s="224">
        <f>ROUND(C88*D89,0)</f>
        <v>0</v>
      </c>
      <c r="D89" s="225">
        <f>'数据-取费表'!B48+'数据-取费表'!B49</f>
        <v>3.0499999999999999E-2</v>
      </c>
      <c r="E89" s="236" t="s">
        <v>2272</v>
      </c>
      <c r="F89" s="2952"/>
      <c r="G89" s="2952"/>
      <c r="H89" s="2953"/>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hidden="1">
      <c r="A90" s="216" t="s">
        <v>771</v>
      </c>
      <c r="B90" s="197" t="s">
        <v>2273</v>
      </c>
      <c r="C90" s="235"/>
      <c r="D90" s="225"/>
      <c r="E90" s="236" t="str">
        <f>IF(H88="-","土地取得成本中已包含该笔费用"," ")</f>
        <v xml:space="preserve"> </v>
      </c>
      <c r="F90" s="2952"/>
      <c r="G90" s="2952"/>
      <c r="H90" s="2953"/>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hidden="1" customHeight="1">
      <c r="A91" s="216" t="s">
        <v>2274</v>
      </c>
      <c r="B91" s="197" t="s">
        <v>2275</v>
      </c>
      <c r="C91" s="224">
        <f>IF(H91="——",成本法!C33,I91)</f>
        <v>0</v>
      </c>
      <c r="D91" s="225"/>
      <c r="E91" s="3190" t="s">
        <v>2276</v>
      </c>
      <c r="F91" s="3191"/>
      <c r="G91" s="3191"/>
      <c r="H91" s="2508" t="s">
        <v>2277</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hidden="1" customHeight="1">
      <c r="A92" s="216" t="s">
        <v>2278</v>
      </c>
      <c r="B92" s="197" t="s">
        <v>2279</v>
      </c>
      <c r="C92" s="224">
        <f>ROUND((C87+C90+C91)*D92,0)</f>
        <v>0</v>
      </c>
      <c r="D92" s="225">
        <v>0.1</v>
      </c>
      <c r="E92" s="3190" t="s">
        <v>2280</v>
      </c>
      <c r="F92" s="3191"/>
      <c r="G92" s="3191"/>
      <c r="H92" s="3192"/>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hidden="1" customHeight="1">
      <c r="A93" s="216" t="s">
        <v>2281</v>
      </c>
      <c r="B93" s="197" t="s">
        <v>2262</v>
      </c>
      <c r="C93" s="224">
        <f ca="1">ROUND(D45*D93/(1+'数据-取费表'!C42),0)</f>
        <v>72</v>
      </c>
      <c r="D93" s="225">
        <f>'数据-取费表'!B43</f>
        <v>6.000000000000001E-3</v>
      </c>
      <c r="E93" s="3190" t="s">
        <v>2263</v>
      </c>
      <c r="F93" s="3191"/>
      <c r="G93" s="3191"/>
      <c r="H93" s="3192"/>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hidden="1" customHeight="1">
      <c r="A94" s="216" t="s">
        <v>2282</v>
      </c>
      <c r="B94" s="197" t="s">
        <v>2283</v>
      </c>
      <c r="C94" s="235">
        <f>ROUND((C87+C90+C91)*D94,0)</f>
        <v>0</v>
      </c>
      <c r="D94" s="225">
        <v>0.2</v>
      </c>
      <c r="E94" s="3238" t="s">
        <v>2284</v>
      </c>
      <c r="F94" s="3239"/>
      <c r="G94" s="3239"/>
      <c r="H94" s="3240"/>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hidden="1">
      <c r="A95" s="2505" t="s">
        <v>773</v>
      </c>
      <c r="B95" s="203" t="s">
        <v>2264</v>
      </c>
      <c r="C95" s="206">
        <f ca="1">ROUND(C85-C86,0)</f>
        <v>11968</v>
      </c>
      <c r="D95" s="199" t="s">
        <v>32</v>
      </c>
      <c r="E95" s="2956"/>
      <c r="F95" s="2955"/>
      <c r="G95" s="2955"/>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hidden="1">
      <c r="A96" s="2505" t="s">
        <v>780</v>
      </c>
      <c r="B96" s="203" t="s">
        <v>2265</v>
      </c>
      <c r="C96" s="226">
        <f ca="1">IF(C95&lt;=0,0,C95/C86)</f>
        <v>166.22222222222223</v>
      </c>
      <c r="D96" s="199" t="s">
        <v>32</v>
      </c>
      <c r="E96" s="2946" t="str">
        <f ca="1">IF(C96&gt;=200%,"增值额超过扣除项目金额200%",IF(C96&gt;=100%,"增值额超过扣除项目金额100%，未超过200%",IF(C96&gt;=50%,"增值额超过扣除项目金额50%，未超过100%",IF(C96&lt;50%,"增值额未超过扣除项目金额50%"))))</f>
        <v>增值额超过扣除项目金额200%</v>
      </c>
      <c r="F96" s="2955"/>
      <c r="G96" s="2955"/>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hidden="1" thickBot="1">
      <c r="A97" s="2506" t="s">
        <v>781</v>
      </c>
      <c r="B97" s="208" t="s">
        <v>2266</v>
      </c>
      <c r="C97" s="227">
        <f ca="1">ROUND(IF(C95&lt;=0,0,IF(C96&gt;=200%,C95*60%-C86*35%,IF(C96&gt;=100%,C95*50%-C86*15%,IF(C96&gt;=50%,C95*40%-C86*5%,IF(C96&lt;50%,C95*30%,0))))),0)</f>
        <v>7156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61"/>
      <c r="F98" s="2161"/>
      <c r="G98" s="2161"/>
      <c r="H98" s="2160"/>
      <c r="I98" s="137"/>
    </row>
    <row r="99" spans="1:35" ht="21.75" customHeight="1" thickBot="1">
      <c r="A99" s="2464" t="s">
        <v>2285</v>
      </c>
      <c r="B99" s="2408"/>
      <c r="C99" s="2408"/>
      <c r="D99" s="2408"/>
      <c r="E99" s="2161"/>
      <c r="F99" s="2161"/>
      <c r="G99" s="2161"/>
      <c r="H99" s="2160"/>
      <c r="I99" s="137"/>
    </row>
    <row r="100" spans="1:35" ht="18.75" customHeight="1">
      <c r="A100" s="3122" t="s">
        <v>2286</v>
      </c>
      <c r="B100" s="3123"/>
      <c r="C100" s="3123"/>
      <c r="D100" s="3174"/>
      <c r="E100" s="3123" t="s">
        <v>2287</v>
      </c>
      <c r="F100" s="3123"/>
      <c r="G100" s="3123"/>
      <c r="H100" s="3174"/>
      <c r="I100" s="137"/>
    </row>
    <row r="101" spans="1:35" ht="18.75" customHeight="1">
      <c r="A101" s="3182" t="s">
        <v>2288</v>
      </c>
      <c r="B101" s="3183"/>
      <c r="C101" s="734" t="str">
        <f>C4</f>
        <v>比较法-车位</v>
      </c>
      <c r="D101" s="735" t="str">
        <f>D4</f>
        <v>收益法车</v>
      </c>
      <c r="E101" s="3154" t="s">
        <v>2289</v>
      </c>
      <c r="F101" s="3155"/>
      <c r="G101" s="2510" t="s">
        <v>2290</v>
      </c>
      <c r="H101" s="1041">
        <f ca="1">H118</f>
        <v>12642</v>
      </c>
      <c r="I101" s="137"/>
    </row>
    <row r="102" spans="1:35" ht="18.75" customHeight="1">
      <c r="A102" s="3184" t="s">
        <v>2291</v>
      </c>
      <c r="B102" s="2510" t="s">
        <v>2290</v>
      </c>
      <c r="C102" s="734">
        <f ca="1">C19</f>
        <v>13055</v>
      </c>
      <c r="D102" s="735">
        <f ca="1">D19</f>
        <v>12229</v>
      </c>
      <c r="E102" s="3154"/>
      <c r="F102" s="3155"/>
      <c r="G102" s="2510" t="s">
        <v>2292</v>
      </c>
      <c r="H102" s="370">
        <f ca="1">I118</f>
        <v>16406</v>
      </c>
      <c r="I102" s="137"/>
    </row>
    <row r="103" spans="1:35" ht="42.75" customHeight="1">
      <c r="A103" s="3184"/>
      <c r="B103" s="2510" t="s">
        <v>2292</v>
      </c>
      <c r="C103" s="736">
        <f ca="1">C20</f>
        <v>16942</v>
      </c>
      <c r="D103" s="737">
        <f ca="1">D20</f>
        <v>15870</v>
      </c>
      <c r="E103" s="3148" t="s">
        <v>2293</v>
      </c>
      <c r="F103" s="3149"/>
      <c r="G103" s="2511" t="s">
        <v>2294</v>
      </c>
      <c r="H103" s="1041">
        <f>IF(D36="正常操作",H104+H105+H106,H105+H106)</f>
        <v>0</v>
      </c>
      <c r="I103" s="137"/>
    </row>
    <row r="104" spans="1:35" ht="18.75" customHeight="1">
      <c r="A104" s="3184" t="s">
        <v>2295</v>
      </c>
      <c r="B104" s="2512" t="s">
        <v>2290</v>
      </c>
      <c r="C104" s="738">
        <f ca="1">H118</f>
        <v>12642</v>
      </c>
      <c r="D104" s="739"/>
      <c r="E104" s="2260" t="s">
        <v>2296</v>
      </c>
      <c r="F104" s="2252"/>
      <c r="G104" s="2511" t="s">
        <v>2294</v>
      </c>
      <c r="H104" s="1042">
        <f>IF(D36="同一抵押权人同一抵押物续贷",C36&amp;"（未扣减，详见特别提示）",C36)</f>
        <v>0</v>
      </c>
      <c r="I104" s="137"/>
    </row>
    <row r="105" spans="1:35" ht="18.75" customHeight="1" thickBot="1">
      <c r="A105" s="3196"/>
      <c r="B105" s="2513" t="s">
        <v>2292</v>
      </c>
      <c r="C105" s="740">
        <f ca="1">I118</f>
        <v>16406</v>
      </c>
      <c r="D105" s="741"/>
      <c r="E105" s="2260" t="s">
        <v>2297</v>
      </c>
      <c r="F105" s="2252"/>
      <c r="G105" s="2511" t="s">
        <v>2294</v>
      </c>
      <c r="H105" s="1042">
        <f>C37</f>
        <v>0</v>
      </c>
      <c r="I105" s="137"/>
    </row>
    <row r="106" spans="1:35" ht="18.75" customHeight="1">
      <c r="A106" s="2408" t="s">
        <v>2298</v>
      </c>
      <c r="B106" s="2408"/>
      <c r="C106" s="2408"/>
      <c r="D106" s="2408"/>
      <c r="E106" s="2514" t="s">
        <v>2299</v>
      </c>
      <c r="F106" s="2252"/>
      <c r="G106" s="2511" t="s">
        <v>2294</v>
      </c>
      <c r="H106" s="1042">
        <f>C38</f>
        <v>0</v>
      </c>
      <c r="I106" s="137"/>
    </row>
    <row r="107" spans="1:35" ht="18.75" customHeight="1">
      <c r="A107" s="137"/>
      <c r="B107" s="137"/>
      <c r="C107" s="137"/>
      <c r="D107" s="137"/>
      <c r="E107" s="3185" t="str">
        <f>IF(项目基本情况!E8="已注销","——","3.房地产抵押价值")</f>
        <v>3.房地产抵押价值</v>
      </c>
      <c r="F107" s="3155"/>
      <c r="G107" s="2510" t="s">
        <v>2290</v>
      </c>
      <c r="H107" s="1041">
        <f ca="1">IF(E107="——","——",H101-H103)</f>
        <v>12642</v>
      </c>
      <c r="I107" s="137"/>
    </row>
    <row r="108" spans="1:35" ht="18.75" customHeight="1">
      <c r="A108" s="137"/>
      <c r="B108" s="137"/>
      <c r="C108" s="137"/>
      <c r="D108" s="137"/>
      <c r="E108" s="3185"/>
      <c r="F108" s="3155"/>
      <c r="G108" s="2510" t="s">
        <v>2292</v>
      </c>
      <c r="H108" s="370">
        <f ca="1">ROUND(H107*10000/'数据-汇总表'!E3,0)</f>
        <v>2423</v>
      </c>
      <c r="I108" s="137"/>
    </row>
    <row r="109" spans="1:35" ht="18.75" customHeight="1">
      <c r="A109" s="137"/>
      <c r="B109" s="137"/>
      <c r="C109" s="137"/>
      <c r="D109" s="137"/>
      <c r="E109" s="3185" t="str">
        <f>IF(项目基本情况!E8="已注销及未注销","4.抵押担保权已注销时的房地产抵押价值",IF(项目基本情况!E8="已注销","3.抵押担保权已注销时的房地产抵押价值","——"))</f>
        <v>——</v>
      </c>
      <c r="F109" s="3155"/>
      <c r="G109" s="2510" t="s">
        <v>2290</v>
      </c>
      <c r="H109" s="347" t="str">
        <f>IF(E109="——","——",H101-H105-H106)</f>
        <v>——</v>
      </c>
      <c r="I109" s="137"/>
    </row>
    <row r="110" spans="1:35" ht="18.75" customHeight="1">
      <c r="A110" s="137"/>
      <c r="B110" s="137"/>
      <c r="C110" s="137"/>
      <c r="D110" s="137"/>
      <c r="E110" s="3185"/>
      <c r="F110" s="3155"/>
      <c r="G110" s="2510" t="s">
        <v>2292</v>
      </c>
      <c r="H110" s="370" t="str">
        <f>IF(H109="——","——",ROUND(H109*10000/'数据-汇总表'!E3,0))</f>
        <v>——</v>
      </c>
      <c r="I110" s="137"/>
    </row>
    <row r="111" spans="1:35" ht="18.75" customHeight="1">
      <c r="A111" s="137"/>
      <c r="B111" s="137"/>
      <c r="C111" s="137"/>
      <c r="D111" s="137"/>
      <c r="E111" s="3186" t="str">
        <f>IF(项目基本情况!E9="抵押净值",IF(OR(项目基本情况!E8="已注销",项目基本情况!E8="房地产抵押价值"),"4.抵押净值","5.抵押净值"),"——")</f>
        <v>——</v>
      </c>
      <c r="F111" s="3187"/>
      <c r="G111" s="2510" t="s">
        <v>2290</v>
      </c>
      <c r="H111" s="1041" t="str">
        <f>IF(E111="——","——",N59)</f>
        <v>——</v>
      </c>
      <c r="I111" s="137"/>
    </row>
    <row r="112" spans="1:35" ht="18.75" customHeight="1" thickBot="1">
      <c r="A112" s="137"/>
      <c r="B112" s="137"/>
      <c r="C112" s="137"/>
      <c r="D112" s="137"/>
      <c r="E112" s="3188"/>
      <c r="F112" s="3189"/>
      <c r="G112" s="2515" t="s">
        <v>2292</v>
      </c>
      <c r="H112" s="788" t="str">
        <f>IF(E111="——","——",N61)</f>
        <v>——</v>
      </c>
      <c r="I112" s="137"/>
    </row>
    <row r="113" spans="1:11" ht="18.75" customHeight="1">
      <c r="A113" s="137"/>
      <c r="B113" s="137"/>
      <c r="C113" s="137"/>
      <c r="D113" s="137"/>
      <c r="E113" s="3197" t="s">
        <v>2298</v>
      </c>
      <c r="F113" s="3197"/>
      <c r="G113" s="3197"/>
      <c r="H113" s="3197"/>
      <c r="I113" s="137"/>
    </row>
    <row r="114" spans="1:11" ht="3.75" customHeight="1">
      <c r="A114" s="2408"/>
      <c r="B114" s="2408"/>
      <c r="C114" s="2408"/>
      <c r="D114" s="2408"/>
      <c r="E114" s="2486"/>
      <c r="F114" s="2486"/>
      <c r="G114" s="2486"/>
      <c r="H114" s="2486"/>
      <c r="I114" s="2408"/>
    </row>
    <row r="115" spans="1:11" ht="18.75" customHeight="1">
      <c r="A115" s="3210" t="s">
        <v>2300</v>
      </c>
      <c r="B115" s="3211"/>
      <c r="C115" s="3211"/>
      <c r="D115" s="3211"/>
      <c r="E115" s="3211"/>
      <c r="F115" s="3211"/>
      <c r="G115" s="3211"/>
      <c r="H115" s="3211"/>
      <c r="I115" s="3212"/>
    </row>
    <row r="116" spans="1:11" ht="27" customHeight="1">
      <c r="A116" s="3101" t="s">
        <v>2301</v>
      </c>
      <c r="B116" s="3164" t="s">
        <v>2302</v>
      </c>
      <c r="C116" s="3164" t="s">
        <v>2303</v>
      </c>
      <c r="D116" s="3170" t="s">
        <v>2304</v>
      </c>
      <c r="E116" s="3171"/>
      <c r="F116" s="3206" t="s">
        <v>2305</v>
      </c>
      <c r="G116" s="3206"/>
      <c r="H116" s="3101" t="s">
        <v>2306</v>
      </c>
      <c r="I116" s="3101"/>
    </row>
    <row r="117" spans="1:11" ht="18.75" customHeight="1">
      <c r="A117" s="3101"/>
      <c r="B117" s="3165"/>
      <c r="C117" s="3165"/>
      <c r="D117" s="2941" t="s">
        <v>2307</v>
      </c>
      <c r="E117" s="2941" t="s">
        <v>2308</v>
      </c>
      <c r="F117" s="2941" t="s">
        <v>2307</v>
      </c>
      <c r="G117" s="2941" t="s">
        <v>2309</v>
      </c>
      <c r="H117" s="2941" t="s">
        <v>2307</v>
      </c>
      <c r="I117" s="2941" t="s">
        <v>2309</v>
      </c>
    </row>
    <row r="118" spans="1:11" ht="24.75" customHeight="1">
      <c r="A118" s="2516" t="str">
        <f>项目基本情况!S2</f>
        <v>北京市东城区东直门南大街甲3号办公楼、车库用房房地产出让国有建设用地使用权及在建建筑物房地产</v>
      </c>
      <c r="B118" s="2941">
        <f>M18</f>
        <v>7705.92</v>
      </c>
      <c r="C118" s="2941">
        <f>M19</f>
        <v>1241.49</v>
      </c>
      <c r="D118" s="2941">
        <f ca="1">ROUND(IF(D32="总价",C34,E118*B118/10000),0)</f>
        <v>5373</v>
      </c>
      <c r="E118" s="2941">
        <f ca="1">ROUND(IF(C33="自定义",IF(D32="楼面单价",C34,D118*10000/B118),I118-G118),0)</f>
        <v>6973</v>
      </c>
      <c r="F118" s="2941">
        <f ca="1">ROUND(IF(D32="总价",C35,G118*B118/10000),0)</f>
        <v>7269</v>
      </c>
      <c r="G118" s="2941">
        <f ca="1">ROUND(IF(D32="楼面单价",C35,F118*10000/B118),0)</f>
        <v>9433</v>
      </c>
      <c r="H118" s="2941">
        <f ca="1">ROUND(IF(D32="总价",C32,I118*B118/10000),0)</f>
        <v>12642</v>
      </c>
      <c r="I118" s="2941">
        <f ca="1">ROUND(IF(D32="楼面单价",C32,H118*10000/B118),0)</f>
        <v>16406</v>
      </c>
    </row>
    <row r="119" spans="1:11" ht="18.75" customHeight="1">
      <c r="A119" s="3101" t="s">
        <v>2310</v>
      </c>
      <c r="B119" s="3101"/>
      <c r="C119" s="3101"/>
      <c r="D119" s="3166" t="str">
        <f ca="1">NUMBERSTRING(INT(D118*10000),2)&amp;"元整"</f>
        <v>伍仟叁佰柒拾叁万元整</v>
      </c>
      <c r="E119" s="3167"/>
      <c r="F119" s="3166" t="str">
        <f ca="1">NUMBERSTRING(INT(F118*10000),2)&amp;"元整"</f>
        <v>柒仟贰佰陆拾玖万元整</v>
      </c>
      <c r="G119" s="3167"/>
      <c r="H119" s="3166" t="str">
        <f ca="1">NUMBERSTRING(INT(H118*10000),2)&amp;"元整"</f>
        <v>壹亿贰仟陆佰肆拾贰万元整</v>
      </c>
      <c r="I119" s="3167"/>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13" t="str">
        <f>IF(D120=0,"故，本次评估不存在"&amp;A120,"故，本次评估"&amp;A120&amp;"为人民币"&amp;D120&amp;"万元整。")</f>
        <v>故，本次评估不存在估价师知悉的法定优先受偿款</v>
      </c>
    </row>
    <row r="121" spans="1:11" ht="18.75" customHeight="1">
      <c r="A121" s="3207" t="s">
        <v>2310</v>
      </c>
      <c r="B121" s="3208"/>
      <c r="C121" s="3209"/>
      <c r="D121" s="3166" t="str">
        <f>IF(D120=0,"零元整",NUMBERSTRING(INT(D120*10000),2)&amp;"元整")</f>
        <v>零元整</v>
      </c>
      <c r="E121" s="3168"/>
      <c r="F121" s="3168"/>
      <c r="G121" s="3168"/>
      <c r="H121" s="3168"/>
      <c r="I121" s="3167"/>
    </row>
    <row r="122" spans="1:11" ht="18.75" customHeight="1">
      <c r="A122" s="3172" t="str">
        <f>IF(项目基本情况!B9="房地产市场价值","",MID(E107,3,LEN(E107)-2))</f>
        <v>房地产抵押价值</v>
      </c>
      <c r="B122" s="3172"/>
      <c r="C122" s="3172"/>
      <c r="D122" s="3161">
        <f ca="1">H107</f>
        <v>12642</v>
      </c>
      <c r="E122" s="3162"/>
      <c r="F122" s="3162"/>
      <c r="G122" s="3162"/>
      <c r="H122" s="3162"/>
      <c r="I122" s="3163"/>
    </row>
    <row r="123" spans="1:11" ht="18.75" customHeight="1">
      <c r="A123" s="3101" t="s">
        <v>2310</v>
      </c>
      <c r="B123" s="3101"/>
      <c r="C123" s="3101"/>
      <c r="D123" s="3166" t="str">
        <f ca="1">NUMBERSTRING(INT(D122*10000),2)&amp;"元整"</f>
        <v>壹亿贰仟陆佰肆拾贰万元整</v>
      </c>
      <c r="E123" s="3168"/>
      <c r="F123" s="3168"/>
      <c r="G123" s="3168"/>
      <c r="H123" s="3168"/>
      <c r="I123" s="3167"/>
    </row>
    <row r="124" spans="1:11" ht="18.75" customHeight="1">
      <c r="A124" s="3172" t="str">
        <f>IF(项目基本情况!B9="房地产市场价值","",MID(E109,3,LEN(E109)-2))</f>
        <v/>
      </c>
      <c r="B124" s="3172"/>
      <c r="C124" s="3172"/>
      <c r="D124" s="3161" t="str">
        <f>H109</f>
        <v>——</v>
      </c>
      <c r="E124" s="3162"/>
      <c r="F124" s="3162"/>
      <c r="G124" s="3162"/>
      <c r="H124" s="3162"/>
      <c r="I124" s="3163"/>
    </row>
    <row r="125" spans="1:11" ht="18.75" customHeight="1">
      <c r="A125" s="3101" t="s">
        <v>2310</v>
      </c>
      <c r="B125" s="3101"/>
      <c r="C125" s="3101"/>
      <c r="D125" s="3166" t="e">
        <f>NUMBERSTRING(INT(D124*10000),2)&amp;"元整"</f>
        <v>#VALUE!</v>
      </c>
      <c r="E125" s="3168"/>
      <c r="F125" s="3168"/>
      <c r="G125" s="3168"/>
      <c r="H125" s="3168"/>
      <c r="I125" s="3167"/>
    </row>
    <row r="126" spans="1:11" ht="18.75" customHeight="1">
      <c r="A126" s="3172" t="str">
        <f>IF(项目基本情况!B9="房地产市场价值","",MID(E111,3,LEN(E111)-2))</f>
        <v/>
      </c>
      <c r="B126" s="3172"/>
      <c r="C126" s="3172"/>
      <c r="D126" s="3161" t="str">
        <f>H111</f>
        <v>——</v>
      </c>
      <c r="E126" s="3162"/>
      <c r="F126" s="3162"/>
      <c r="G126" s="3162"/>
      <c r="H126" s="3162"/>
      <c r="I126" s="3163"/>
    </row>
    <row r="127" spans="1:11" ht="18.75" customHeight="1">
      <c r="A127" s="3101" t="s">
        <v>2310</v>
      </c>
      <c r="B127" s="3101"/>
      <c r="C127" s="3101"/>
      <c r="D127" s="3166" t="e">
        <f>NUMBERSTRING(INT(D126*10000),2)&amp;"元整"</f>
        <v>#VALUE!</v>
      </c>
      <c r="E127" s="3168"/>
      <c r="F127" s="3168"/>
      <c r="G127" s="3168"/>
      <c r="H127" s="3168"/>
      <c r="I127" s="3167"/>
    </row>
    <row r="128" spans="1:11" ht="21.75" customHeight="1">
      <c r="A128" s="3169" t="s">
        <v>2311</v>
      </c>
      <c r="B128" s="3169"/>
      <c r="C128" s="3169"/>
      <c r="D128" s="3169"/>
      <c r="E128" s="3169"/>
      <c r="F128" s="3169"/>
      <c r="G128" s="3169"/>
      <c r="H128" s="3169"/>
      <c r="I128" s="3169"/>
    </row>
    <row r="129" spans="1:35" ht="21.75" customHeight="1">
      <c r="A129" s="2517" t="s">
        <v>2312</v>
      </c>
      <c r="B129" s="2518"/>
      <c r="C129" s="2519" t="s">
        <v>2313</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3"/>
    </row>
    <row r="135" spans="1:35" ht="21.75" customHeight="1">
      <c r="A135" s="793"/>
      <c r="B135" s="793"/>
      <c r="C135" s="793"/>
      <c r="D135" s="793"/>
      <c r="E135" s="793"/>
      <c r="F135" s="2533" t="s">
        <v>2314</v>
      </c>
      <c r="G135" s="2534"/>
      <c r="H135" s="2534"/>
      <c r="I135" s="2535" t="s">
        <v>2315</v>
      </c>
    </row>
    <row r="136" spans="1:35" ht="21.75" customHeight="1">
      <c r="A136" s="793"/>
      <c r="B136" s="2536" t="s">
        <v>2316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4"/>
      <c r="C138" s="2534"/>
      <c r="D138" s="2534"/>
      <c r="E138" s="2534"/>
      <c r="F138" s="2534"/>
      <c r="G138" s="2534"/>
      <c r="H138" s="2534"/>
      <c r="I138" s="2535" t="s">
        <v>2317</v>
      </c>
    </row>
    <row r="139" spans="1:35" ht="21.75" customHeight="1">
      <c r="A139" s="793"/>
      <c r="B139" s="2536" t="s">
        <v>2318</v>
      </c>
      <c r="C139" s="793"/>
      <c r="D139" s="793"/>
      <c r="E139" s="793"/>
      <c r="F139" s="793"/>
      <c r="G139" s="793"/>
      <c r="H139" s="793"/>
      <c r="I139" s="793"/>
    </row>
    <row r="140" spans="1:35" ht="21.75" customHeight="1">
      <c r="A140" s="793"/>
      <c r="B140" s="2536"/>
      <c r="C140" s="793"/>
      <c r="D140" s="793"/>
      <c r="E140" s="793"/>
      <c r="F140" s="793"/>
      <c r="G140" s="793"/>
      <c r="H140" s="793"/>
      <c r="I140" s="793"/>
    </row>
    <row r="141" spans="1:35" ht="21.75" customHeight="1">
      <c r="A141" s="793"/>
      <c r="B141" s="2534"/>
      <c r="C141" s="2534"/>
      <c r="D141" s="2534"/>
      <c r="E141" s="2534"/>
      <c r="F141" s="2534"/>
      <c r="G141" s="2534"/>
      <c r="H141" s="2534"/>
      <c r="I141" s="2535" t="s">
        <v>2317</v>
      </c>
    </row>
    <row r="142" spans="1:35" ht="21.75" customHeight="1">
      <c r="A142" s="793"/>
      <c r="B142" s="2536"/>
      <c r="C142" s="2537"/>
      <c r="D142" s="2538"/>
      <c r="E142" s="2538"/>
      <c r="F142" s="2333"/>
      <c r="G142" s="793"/>
      <c r="H142" s="793"/>
      <c r="I142" s="793"/>
    </row>
    <row r="143" spans="1:35" s="138" customFormat="1" ht="21.75" customHeight="1">
      <c r="A143" s="793"/>
      <c r="B143" s="2536"/>
      <c r="C143" s="2537"/>
      <c r="D143" s="2538"/>
      <c r="E143" s="2538"/>
      <c r="F143" s="233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85" zoomScale="93" zoomScaleNormal="93" workbookViewId="0">
      <selection activeCell="R37" sqref="R37:W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2700</v>
      </c>
      <c r="B1" s="1615" t="s">
        <v>3062</v>
      </c>
      <c r="C1" s="1616" t="s">
        <v>2523</v>
      </c>
      <c r="D1" s="1617" t="s">
        <v>48</v>
      </c>
      <c r="E1" s="1618"/>
      <c r="F1" s="2576" t="s">
        <v>3078</v>
      </c>
      <c r="G1" s="1619" t="s">
        <v>2636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2320</v>
      </c>
      <c r="B2" s="1414">
        <f>IF(C2="——",IF(B37="元/平方米",ROUND(C39*D3/10000,0),ROUND(F3*C39/10000,0)),IF(B37="元/平方米",ROUND(C39*D3/10000,0),ROUND(F3*C39/10000,0))-D2)</f>
        <v>13055</v>
      </c>
      <c r="C2" s="2578" t="s">
        <v>70</v>
      </c>
      <c r="D2" s="1120" t="e">
        <f ca="1">SUMIF(INDIRECT("'"&amp;F2&amp;"'"&amp;"!A:A"),"承租人权益价值",INDIRECT("'"&amp;F2&amp;"'"&amp;"!c:c"))</f>
        <v>#REF!</v>
      </c>
      <c r="E2" s="2579" t="s">
        <v>2321</v>
      </c>
      <c r="F2" s="2580"/>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7" customFormat="1" ht="28.5" customHeight="1" thickBot="1">
      <c r="A3" s="246" t="s">
        <v>2322</v>
      </c>
      <c r="B3" s="608">
        <f>IF(AND(C2="——",B37="元/平方米"),C39,ROUND(B2*10000/D3,0))</f>
        <v>16942</v>
      </c>
      <c r="C3" s="399" t="s">
        <v>2637</v>
      </c>
      <c r="D3" s="398">
        <f>SUMIF('数据-汇总表'!$C19:$C33,D1,'数据-汇总表'!$E19:$E33)</f>
        <v>7705.92</v>
      </c>
      <c r="E3" s="399" t="s">
        <v>2701</v>
      </c>
      <c r="F3" s="398">
        <f>SUMIF('数据-取费表'!A5:A15,D1,'数据-取费表'!AH5:AH15)</f>
        <v>252</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400" t="s">
        <v>2638</v>
      </c>
      <c r="B4" s="401"/>
      <c r="C4" s="3265" t="s">
        <v>2639</v>
      </c>
      <c r="D4" s="3266"/>
      <c r="E4" s="3267" t="s">
        <v>2640</v>
      </c>
      <c r="F4" s="3268"/>
      <c r="G4" s="3265" t="s">
        <v>2641</v>
      </c>
      <c r="H4" s="3266"/>
      <c r="I4" s="3265" t="s">
        <v>2642</v>
      </c>
      <c r="J4" s="3266"/>
      <c r="K4" s="609" t="s">
        <v>2643</v>
      </c>
      <c r="L4" s="1126"/>
      <c r="M4" s="1127"/>
      <c r="N4" s="1127"/>
      <c r="O4" s="1127"/>
      <c r="P4" s="3337" t="s">
        <v>2644</v>
      </c>
      <c r="Q4" s="3338"/>
      <c r="R4" s="3327" t="s">
        <v>2640</v>
      </c>
      <c r="S4" s="3328"/>
      <c r="T4" s="3327" t="s">
        <v>2641</v>
      </c>
      <c r="U4" s="3328"/>
      <c r="V4" s="3278" t="s">
        <v>2642</v>
      </c>
      <c r="W4" s="3278"/>
      <c r="X4" s="1809"/>
      <c r="Y4" s="3327" t="s">
        <v>2644</v>
      </c>
      <c r="Z4" s="3328"/>
      <c r="AA4" s="3326" t="s">
        <v>2640</v>
      </c>
      <c r="AB4" s="3245" t="s">
        <v>2641</v>
      </c>
      <c r="AC4" s="3326" t="s">
        <v>2642</v>
      </c>
    </row>
    <row r="5" spans="1:29" ht="15">
      <c r="A5" s="403"/>
      <c r="B5" s="404"/>
      <c r="C5" s="3255" t="s">
        <v>3092</v>
      </c>
      <c r="D5" s="3346"/>
      <c r="E5" s="3253" t="s">
        <v>3230</v>
      </c>
      <c r="F5" s="3345"/>
      <c r="G5" s="3255" t="s">
        <v>3231</v>
      </c>
      <c r="H5" s="3346"/>
      <c r="I5" s="3255" t="s">
        <v>3232</v>
      </c>
      <c r="J5" s="3346"/>
      <c r="K5" s="609"/>
      <c r="L5" s="1126"/>
      <c r="M5" s="1127"/>
      <c r="N5" s="1127"/>
      <c r="O5" s="1127"/>
      <c r="P5" s="3339"/>
      <c r="Q5" s="3272"/>
      <c r="R5" s="3251"/>
      <c r="S5" s="3252"/>
      <c r="T5" s="3251"/>
      <c r="U5" s="3252"/>
      <c r="V5" s="3278"/>
      <c r="W5" s="3278"/>
      <c r="X5" s="1809"/>
      <c r="Y5" s="3251"/>
      <c r="Z5" s="3252"/>
      <c r="AA5" s="3245"/>
      <c r="AB5" s="3245"/>
      <c r="AC5" s="3245"/>
    </row>
    <row r="6" spans="1:29" ht="15.75" thickBot="1">
      <c r="A6" s="405"/>
      <c r="B6" s="406"/>
      <c r="C6" s="3347" t="s">
        <v>3113</v>
      </c>
      <c r="D6" s="3348"/>
      <c r="E6" s="3349" t="s">
        <v>3113</v>
      </c>
      <c r="F6" s="3350"/>
      <c r="G6" s="3347" t="s">
        <v>3200</v>
      </c>
      <c r="H6" s="3348"/>
      <c r="I6" s="3347" t="s">
        <v>3113</v>
      </c>
      <c r="J6" s="3348"/>
      <c r="K6" s="609" t="s">
        <v>2540</v>
      </c>
      <c r="L6" s="1126"/>
      <c r="M6" s="1127"/>
      <c r="N6" s="1127"/>
      <c r="O6" s="1127"/>
      <c r="P6" s="3340"/>
      <c r="Q6" s="3274"/>
      <c r="R6" s="3251"/>
      <c r="S6" s="3252"/>
      <c r="T6" s="3275"/>
      <c r="U6" s="3276"/>
      <c r="V6" s="3278"/>
      <c r="W6" s="3278"/>
      <c r="X6" s="1809"/>
      <c r="Y6" s="3275"/>
      <c r="Z6" s="3276"/>
      <c r="AA6" s="3246"/>
      <c r="AB6" s="3246"/>
      <c r="AC6" s="3246"/>
    </row>
    <row r="7" spans="1:29" s="116" customFormat="1" ht="15.75" thickBot="1">
      <c r="A7" s="407" t="s">
        <v>2541</v>
      </c>
      <c r="B7" s="408"/>
      <c r="C7" s="409">
        <f>'数据-取费表'!B2</f>
        <v>43165</v>
      </c>
      <c r="D7" s="410">
        <v>100</v>
      </c>
      <c r="E7" s="411">
        <v>43070</v>
      </c>
      <c r="F7" s="412">
        <f>SUMIF(48:48,YEAR(E7)&amp;"-"&amp;MONTH(E7),49:49)</f>
        <v>99.5</v>
      </c>
      <c r="G7" s="411">
        <v>43132</v>
      </c>
      <c r="H7" s="410">
        <f>SUMIF(48:48,YEAR(G7)&amp;"-"&amp;MONTH(G7),49:49)</f>
        <v>100</v>
      </c>
      <c r="I7" s="2684">
        <v>43101</v>
      </c>
      <c r="J7" s="410">
        <f>SUMIF(48:48,YEAR(I7)&amp;"-"&amp;MONTH(I7),49:49)</f>
        <v>100</v>
      </c>
      <c r="K7" s="610"/>
      <c r="L7" s="1128"/>
      <c r="M7" s="1129"/>
      <c r="N7" s="1129"/>
      <c r="O7" s="1129"/>
      <c r="P7" s="3247" t="s">
        <v>2542</v>
      </c>
      <c r="Q7" s="3280"/>
      <c r="R7" s="768" t="s">
        <v>17</v>
      </c>
      <c r="S7" s="769">
        <f t="shared" ref="S7:S14" si="0">F7</f>
        <v>99.5</v>
      </c>
      <c r="T7" s="768" t="s">
        <v>17</v>
      </c>
      <c r="U7" s="769">
        <f t="shared" ref="U7:U14" si="1">H7</f>
        <v>100</v>
      </c>
      <c r="V7" s="768" t="s">
        <v>17</v>
      </c>
      <c r="W7" s="769">
        <f t="shared" ref="W7:W14" si="2">J7</f>
        <v>100</v>
      </c>
      <c r="X7" s="770"/>
      <c r="Y7" s="3247" t="s">
        <v>2542</v>
      </c>
      <c r="Z7" s="3248"/>
      <c r="AA7" s="771">
        <f>D7/F7</f>
        <v>1.0050251256281406</v>
      </c>
      <c r="AB7" s="771">
        <f>D7/H7</f>
        <v>1</v>
      </c>
      <c r="AC7" s="771">
        <f>D7/J7</f>
        <v>1</v>
      </c>
    </row>
    <row r="8" spans="1:29" s="116" customFormat="1" ht="15.75" thickBot="1">
      <c r="A8" s="407" t="s">
        <v>2543</v>
      </c>
      <c r="B8" s="408"/>
      <c r="C8" s="413" t="s">
        <v>3114</v>
      </c>
      <c r="D8" s="410">
        <v>100</v>
      </c>
      <c r="E8" s="413" t="s">
        <v>3114</v>
      </c>
      <c r="F8" s="412">
        <f>SUMIF(51:51,E8,52:52)-SUMIF(51:51,C8,52:52)+100</f>
        <v>100</v>
      </c>
      <c r="G8" s="3027" t="s">
        <v>3096</v>
      </c>
      <c r="H8" s="410">
        <f>SUMIF(51:51,G8,52:52)-SUMIF(51:51,C8,52:52)+100</f>
        <v>100</v>
      </c>
      <c r="I8" s="413" t="s">
        <v>3114</v>
      </c>
      <c r="J8" s="410">
        <f>SUMIF(51:51,I8,52:52)-SUMIF(51:51,C8,52:52)+100</f>
        <v>100</v>
      </c>
      <c r="K8" s="610"/>
      <c r="L8" s="1128"/>
      <c r="M8" s="1129"/>
      <c r="N8" s="1129"/>
      <c r="O8" s="1129"/>
      <c r="P8" s="3247" t="s">
        <v>2545</v>
      </c>
      <c r="Q8" s="3248"/>
      <c r="R8" s="768" t="s">
        <v>17</v>
      </c>
      <c r="S8" s="769">
        <f t="shared" si="0"/>
        <v>100</v>
      </c>
      <c r="T8" s="768" t="s">
        <v>17</v>
      </c>
      <c r="U8" s="769">
        <f t="shared" si="1"/>
        <v>100</v>
      </c>
      <c r="V8" s="768" t="s">
        <v>17</v>
      </c>
      <c r="W8" s="769">
        <f t="shared" si="2"/>
        <v>100</v>
      </c>
      <c r="X8" s="770"/>
      <c r="Y8" s="3247" t="s">
        <v>2545</v>
      </c>
      <c r="Z8" s="3248"/>
      <c r="AA8" s="771">
        <f t="shared" ref="AA8:AA36" si="3">D8/F8</f>
        <v>1</v>
      </c>
      <c r="AB8" s="771">
        <f t="shared" ref="AB8:AB36" si="4">D8/H8</f>
        <v>1</v>
      </c>
      <c r="AC8" s="771">
        <f t="shared" ref="AC8:AC36" si="5">D8/J8</f>
        <v>1</v>
      </c>
    </row>
    <row r="9" spans="1:29" s="116" customFormat="1">
      <c r="A9" s="67" t="s">
        <v>2546</v>
      </c>
      <c r="B9" s="639" t="s">
        <v>2547</v>
      </c>
      <c r="C9" s="415" t="s">
        <v>3115</v>
      </c>
      <c r="D9" s="134">
        <v>100</v>
      </c>
      <c r="E9" s="418" t="s">
        <v>3116</v>
      </c>
      <c r="F9" s="134">
        <f>SUMIF(53:53,E9,54:54)-SUMIF(53:53,C9,54:54)+100</f>
        <v>100</v>
      </c>
      <c r="G9" s="3028" t="s">
        <v>3062</v>
      </c>
      <c r="H9" s="134">
        <f>SUMIF(53:53,G9,54:54)-SUMIF(53:53,C9,54:54)+100</f>
        <v>100</v>
      </c>
      <c r="I9" s="416" t="s">
        <v>3116</v>
      </c>
      <c r="J9" s="134">
        <f>SUMIF(53:53,I9,54:54)-SUMIF(53:53,C9,54:54)+100</f>
        <v>100</v>
      </c>
      <c r="K9" s="610"/>
      <c r="L9" s="1128"/>
      <c r="M9" s="1129"/>
      <c r="N9" s="1129"/>
      <c r="O9" s="1129"/>
      <c r="P9" s="3290" t="s">
        <v>2548</v>
      </c>
      <c r="Q9" s="1791" t="str">
        <f t="shared" ref="Q9:Q14" si="6">B9</f>
        <v>用途</v>
      </c>
      <c r="R9" s="768" t="s">
        <v>17</v>
      </c>
      <c r="S9" s="769">
        <f t="shared" si="0"/>
        <v>100</v>
      </c>
      <c r="T9" s="768" t="s">
        <v>17</v>
      </c>
      <c r="U9" s="769">
        <f t="shared" si="1"/>
        <v>100</v>
      </c>
      <c r="V9" s="768" t="s">
        <v>17</v>
      </c>
      <c r="W9" s="769">
        <f t="shared" si="2"/>
        <v>100</v>
      </c>
      <c r="X9" s="770"/>
      <c r="Y9" s="3101" t="s">
        <v>2549</v>
      </c>
      <c r="Z9" s="55" t="str">
        <f t="shared" ref="Z9:Z14" si="7">Q9</f>
        <v>用途</v>
      </c>
      <c r="AA9" s="771">
        <f t="shared" si="3"/>
        <v>1</v>
      </c>
      <c r="AB9" s="771">
        <f t="shared" si="4"/>
        <v>1</v>
      </c>
      <c r="AC9" s="771">
        <f t="shared" si="5"/>
        <v>1</v>
      </c>
    </row>
    <row r="10" spans="1:29" s="426" customFormat="1" ht="27">
      <c r="A10" s="640"/>
      <c r="B10" s="641" t="s">
        <v>2550</v>
      </c>
      <c r="C10" s="422" t="s">
        <v>3098</v>
      </c>
      <c r="D10" s="135">
        <v>100</v>
      </c>
      <c r="E10" s="422" t="s">
        <v>3099</v>
      </c>
      <c r="F10" s="135">
        <f>SUMIF(55:55,E10,56:56)-SUMIF(55:55,C10,56:56)+100</f>
        <v>102</v>
      </c>
      <c r="G10" s="422" t="s">
        <v>3098</v>
      </c>
      <c r="H10" s="135">
        <f>SUMIF(55:55,G10,56:56)-SUMIF(55:55,C10,56:56)+100</f>
        <v>100</v>
      </c>
      <c r="I10" s="422" t="s">
        <v>3099</v>
      </c>
      <c r="J10" s="135">
        <f>SUMIF(55:55,I10,56:56)-SUMIF(55:55,C10,56:56)+100</f>
        <v>102</v>
      </c>
      <c r="K10" s="611">
        <f>'比较法-办公'!K10</f>
        <v>2</v>
      </c>
      <c r="L10" s="1131"/>
      <c r="M10" s="1132"/>
      <c r="N10" s="1132"/>
      <c r="O10" s="1132"/>
      <c r="P10" s="3290"/>
      <c r="Q10" s="1791" t="str">
        <f t="shared" si="6"/>
        <v>土地使用年限（年）</v>
      </c>
      <c r="R10" s="768" t="s">
        <v>17</v>
      </c>
      <c r="S10" s="769">
        <f t="shared" si="0"/>
        <v>102</v>
      </c>
      <c r="T10" s="768" t="s">
        <v>17</v>
      </c>
      <c r="U10" s="769">
        <f t="shared" si="1"/>
        <v>100</v>
      </c>
      <c r="V10" s="768" t="s">
        <v>17</v>
      </c>
      <c r="W10" s="769">
        <f t="shared" si="2"/>
        <v>102</v>
      </c>
      <c r="X10" s="770"/>
      <c r="Y10" s="3101"/>
      <c r="Z10" s="55" t="str">
        <f t="shared" si="7"/>
        <v>土地使用年限（年）</v>
      </c>
      <c r="AA10" s="771">
        <f t="shared" si="3"/>
        <v>0.98039215686274506</v>
      </c>
      <c r="AB10" s="771">
        <f t="shared" si="4"/>
        <v>1</v>
      </c>
      <c r="AC10" s="771">
        <f t="shared" si="5"/>
        <v>0.98039215686274506</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90"/>
      <c r="Q11" s="1791">
        <f t="shared" si="6"/>
        <v>111</v>
      </c>
      <c r="R11" s="768" t="s">
        <v>17</v>
      </c>
      <c r="S11" s="769">
        <f t="shared" si="0"/>
        <v>100</v>
      </c>
      <c r="T11" s="768" t="s">
        <v>17</v>
      </c>
      <c r="U11" s="769">
        <f t="shared" si="1"/>
        <v>100</v>
      </c>
      <c r="V11" s="768" t="s">
        <v>17</v>
      </c>
      <c r="W11" s="769">
        <f t="shared" si="2"/>
        <v>100</v>
      </c>
      <c r="X11" s="770"/>
      <c r="Y11" s="3101"/>
      <c r="Z11" s="55">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90"/>
      <c r="Q12" s="1791">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90"/>
      <c r="Q13" s="1791">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108">
      <c r="A14" s="400" t="s">
        <v>2552</v>
      </c>
      <c r="B14" s="628" t="s">
        <v>2702</v>
      </c>
      <c r="C14" s="2682" t="str">
        <f>IF(B1="工业",估价对象房地状况!G4,估价对象房地状况!C6)</f>
        <v>估价对象周边道路状况、周边有24、106、117路及地铁2号、13号、机场线，综合评价交通便捷度好</v>
      </c>
      <c r="D14" s="440">
        <v>100</v>
      </c>
      <c r="E14" s="2977" t="s">
        <v>3227</v>
      </c>
      <c r="F14" s="442">
        <f>SUMIF(63:63,E15,64:64)-SUMIF(63:63,C15,64:64)+100</f>
        <v>96</v>
      </c>
      <c r="G14" s="2977" t="s">
        <v>3229</v>
      </c>
      <c r="H14" s="440">
        <f>SUMIF(63:63,G15,64:64)-SUMIF(63:63,C15,64:64)+100</f>
        <v>98</v>
      </c>
      <c r="I14" s="2977" t="s">
        <v>3234</v>
      </c>
      <c r="J14" s="440">
        <f>SUMIF(63:63,I15,64:64)-SUMIF(63:63,C15,64:64)+100</f>
        <v>98</v>
      </c>
      <c r="K14" s="613">
        <v>2</v>
      </c>
      <c r="L14" s="1136"/>
      <c r="M14" s="1127"/>
      <c r="N14" s="1127"/>
      <c r="O14" s="1127"/>
      <c r="P14" s="3283" t="s">
        <v>2553</v>
      </c>
      <c r="Q14" s="1806" t="str">
        <f t="shared" si="6"/>
        <v>交通便捷度</v>
      </c>
      <c r="R14" s="772" t="s">
        <v>17</v>
      </c>
      <c r="S14" s="773">
        <f t="shared" si="0"/>
        <v>96</v>
      </c>
      <c r="T14" s="772" t="s">
        <v>17</v>
      </c>
      <c r="U14" s="773">
        <f t="shared" si="1"/>
        <v>98</v>
      </c>
      <c r="V14" s="772" t="s">
        <v>17</v>
      </c>
      <c r="W14" s="773">
        <f t="shared" si="2"/>
        <v>98</v>
      </c>
      <c r="X14" s="1809"/>
      <c r="Y14" s="3283" t="s">
        <v>2553</v>
      </c>
      <c r="Z14" s="1810" t="str">
        <f t="shared" si="7"/>
        <v>交通便捷度</v>
      </c>
      <c r="AA14" s="1807">
        <f t="shared" si="3"/>
        <v>1.0416666666666667</v>
      </c>
      <c r="AB14" s="1807">
        <f t="shared" si="4"/>
        <v>1.0204081632653061</v>
      </c>
      <c r="AC14" s="1807">
        <f t="shared" si="5"/>
        <v>1.0204081632653061</v>
      </c>
    </row>
    <row r="15" spans="1:29" ht="15.75" thickBot="1">
      <c r="A15" s="403"/>
      <c r="B15" s="646"/>
      <c r="C15" s="446" t="s">
        <v>3101</v>
      </c>
      <c r="D15" s="447"/>
      <c r="E15" s="446" t="s">
        <v>3117</v>
      </c>
      <c r="F15" s="448"/>
      <c r="G15" s="446" t="s">
        <v>3100</v>
      </c>
      <c r="H15" s="449"/>
      <c r="I15" s="446" t="s">
        <v>3100</v>
      </c>
      <c r="J15" s="447"/>
      <c r="K15" s="614"/>
      <c r="L15" s="1136"/>
      <c r="M15" s="1127"/>
      <c r="N15" s="1127"/>
      <c r="O15" s="1127"/>
      <c r="P15" s="3284"/>
      <c r="Q15" s="1806"/>
      <c r="R15" s="772"/>
      <c r="S15" s="773"/>
      <c r="T15" s="772"/>
      <c r="U15" s="773"/>
      <c r="V15" s="772"/>
      <c r="W15" s="773"/>
      <c r="X15" s="1809"/>
      <c r="Y15" s="3284"/>
      <c r="Z15" s="1810"/>
      <c r="AA15" s="1807">
        <v>1</v>
      </c>
      <c r="AB15" s="1807">
        <v>1</v>
      </c>
      <c r="AC15" s="1807">
        <v>1</v>
      </c>
    </row>
    <row r="16" spans="1:29" ht="81">
      <c r="A16" s="403"/>
      <c r="B16" s="630" t="s">
        <v>2681</v>
      </c>
      <c r="C16" s="2599" t="str">
        <f>IF(B1="工业",估价对象房地状况!G5,估价对象房地状况!C7)</f>
        <v>周边有银行、购物场所、餐饮等配套设施，公共服务设施状况较好。</v>
      </c>
      <c r="D16" s="454">
        <v>100</v>
      </c>
      <c r="E16" s="2977" t="s">
        <v>3228</v>
      </c>
      <c r="F16" s="457">
        <f>SUMIF(65:65,E17,66:66)-SUMIF(65:65,C17,66:66)+100</f>
        <v>97</v>
      </c>
      <c r="G16" s="2977" t="s">
        <v>3124</v>
      </c>
      <c r="H16" s="454">
        <f>SUMIF(65:65,G17,66:66)-SUMIF(65:65,C17,66:66)+100</f>
        <v>100</v>
      </c>
      <c r="I16" s="2977" t="s">
        <v>3124</v>
      </c>
      <c r="J16" s="454">
        <f>SUMIF(65:65,I17,66:66)-SUMIF(65:65,C17,66:66)+100</f>
        <v>100</v>
      </c>
      <c r="K16" s="613">
        <f>'比较法-办公'!K19</f>
        <v>3</v>
      </c>
      <c r="L16" s="1136"/>
      <c r="M16" s="1127"/>
      <c r="N16" s="1127"/>
      <c r="O16" s="1127"/>
      <c r="P16" s="3284"/>
      <c r="Q16" s="1806" t="str">
        <f>B16</f>
        <v>公共配套设施</v>
      </c>
      <c r="R16" s="772" t="s">
        <v>17</v>
      </c>
      <c r="S16" s="773">
        <f>F16</f>
        <v>97</v>
      </c>
      <c r="T16" s="772" t="s">
        <v>17</v>
      </c>
      <c r="U16" s="773">
        <f>H16</f>
        <v>100</v>
      </c>
      <c r="V16" s="772" t="s">
        <v>17</v>
      </c>
      <c r="W16" s="773">
        <f>J16</f>
        <v>100</v>
      </c>
      <c r="X16" s="1809"/>
      <c r="Y16" s="3284"/>
      <c r="Z16" s="1810" t="str">
        <f>Q16</f>
        <v>公共配套设施</v>
      </c>
      <c r="AA16" s="1807">
        <f t="shared" si="3"/>
        <v>1.0309278350515463</v>
      </c>
      <c r="AB16" s="1807">
        <f t="shared" si="4"/>
        <v>1</v>
      </c>
      <c r="AC16" s="1807">
        <f t="shared" si="5"/>
        <v>1</v>
      </c>
    </row>
    <row r="17" spans="1:29" ht="15">
      <c r="A17" s="403"/>
      <c r="B17" s="631"/>
      <c r="C17" s="2597" t="s">
        <v>3100</v>
      </c>
      <c r="D17" s="447"/>
      <c r="E17" s="446" t="s">
        <v>3118</v>
      </c>
      <c r="F17" s="448"/>
      <c r="G17" s="2597" t="s">
        <v>3100</v>
      </c>
      <c r="H17" s="447"/>
      <c r="I17" s="446" t="s">
        <v>3125</v>
      </c>
      <c r="J17" s="447"/>
      <c r="K17" s="614"/>
      <c r="L17" s="1136"/>
      <c r="M17" s="1127"/>
      <c r="N17" s="1127"/>
      <c r="O17" s="1127"/>
      <c r="P17" s="3284"/>
      <c r="Q17" s="1806"/>
      <c r="R17" s="772"/>
      <c r="S17" s="773"/>
      <c r="T17" s="772"/>
      <c r="U17" s="773"/>
      <c r="V17" s="772"/>
      <c r="W17" s="773"/>
      <c r="X17" s="1809"/>
      <c r="Y17" s="3284"/>
      <c r="Z17" s="1810"/>
      <c r="AA17" s="1807">
        <v>1</v>
      </c>
      <c r="AB17" s="1807">
        <v>1</v>
      </c>
      <c r="AC17" s="1807">
        <v>1</v>
      </c>
    </row>
    <row r="18" spans="1:29" ht="15">
      <c r="A18" s="403"/>
      <c r="B18" s="632" t="s">
        <v>2682</v>
      </c>
      <c r="C18" s="2599" t="str">
        <f>IF(B1="工业",估价对象房地状况!G6,估价对象房地状况!C8)</f>
        <v>七通</v>
      </c>
      <c r="D18" s="449">
        <v>100</v>
      </c>
      <c r="E18" s="451"/>
      <c r="F18" s="457">
        <f>SUMIF(67:67,E19,68:68)-SUMIF(67:67,C19,68:68)+100</f>
        <v>100</v>
      </c>
      <c r="G18" s="451"/>
      <c r="H18" s="454">
        <f>SUMIF(67:67,G19,68:68)-SUMIF(67:67,C19,68:68)+100</f>
        <v>100</v>
      </c>
      <c r="I18" s="451"/>
      <c r="J18" s="454">
        <f>SUMIF(67:67,I19,68:68)-SUMIF(67:67,C19,68:68)+100</f>
        <v>100</v>
      </c>
      <c r="K18" s="613">
        <f>'比较法-办公'!K21</f>
        <v>1</v>
      </c>
      <c r="L18" s="1136"/>
      <c r="M18" s="1127"/>
      <c r="N18" s="1127"/>
      <c r="O18" s="1127"/>
      <c r="P18" s="3284"/>
      <c r="Q18" s="1806" t="str">
        <f>B18</f>
        <v>基础设施水平</v>
      </c>
      <c r="R18" s="772" t="s">
        <v>17</v>
      </c>
      <c r="S18" s="773">
        <f>F18</f>
        <v>100</v>
      </c>
      <c r="T18" s="772" t="s">
        <v>17</v>
      </c>
      <c r="U18" s="773">
        <f>H18</f>
        <v>100</v>
      </c>
      <c r="V18" s="772" t="s">
        <v>17</v>
      </c>
      <c r="W18" s="773">
        <f>J18</f>
        <v>100</v>
      </c>
      <c r="X18" s="1809"/>
      <c r="Y18" s="3284"/>
      <c r="Z18" s="1810" t="str">
        <f>Q18</f>
        <v>基础设施水平</v>
      </c>
      <c r="AA18" s="1807">
        <f t="shared" ref="AA18" si="8">D18/F18</f>
        <v>1</v>
      </c>
      <c r="AB18" s="1807">
        <f t="shared" ref="AB18" si="9">D18/H18</f>
        <v>1</v>
      </c>
      <c r="AC18" s="1807">
        <f t="shared" ref="AC18" si="10">D18/J18</f>
        <v>1</v>
      </c>
    </row>
    <row r="19" spans="1:29" ht="15">
      <c r="A19" s="403"/>
      <c r="B19" s="632"/>
      <c r="C19" s="2600" t="s">
        <v>3075</v>
      </c>
      <c r="D19" s="449"/>
      <c r="E19" s="2994" t="s">
        <v>3075</v>
      </c>
      <c r="F19" s="452"/>
      <c r="G19" s="2597" t="s">
        <v>3075</v>
      </c>
      <c r="H19" s="447"/>
      <c r="I19" s="2994" t="s">
        <v>3075</v>
      </c>
      <c r="J19" s="447"/>
      <c r="K19" s="1379"/>
      <c r="L19" s="1136"/>
      <c r="M19" s="1127"/>
      <c r="N19" s="1127"/>
      <c r="O19" s="1127"/>
      <c r="P19" s="3284"/>
      <c r="Q19" s="1806"/>
      <c r="R19" s="772"/>
      <c r="S19" s="773"/>
      <c r="T19" s="772"/>
      <c r="U19" s="773"/>
      <c r="V19" s="772"/>
      <c r="W19" s="773"/>
      <c r="X19" s="1809"/>
      <c r="Y19" s="3284"/>
      <c r="Z19" s="1810"/>
      <c r="AA19" s="1807">
        <v>1</v>
      </c>
      <c r="AB19" s="1807">
        <v>1</v>
      </c>
      <c r="AC19" s="1807">
        <v>1</v>
      </c>
    </row>
    <row r="20" spans="1:29" ht="99.75">
      <c r="A20" s="403"/>
      <c r="B20" s="630" t="s">
        <v>2703</v>
      </c>
      <c r="C20" s="2599" t="str">
        <f>IF(B1="工业",估价对象房地状况!G7,估价对象房地状况!C9)</f>
        <v>区域自然环境：南馆公园、工人体育馆；人文环境：保利艺术博物馆、自来水博物馆；综合评价环境状况较好</v>
      </c>
      <c r="D20" s="454">
        <v>100</v>
      </c>
      <c r="E20" s="2979" t="s">
        <v>3119</v>
      </c>
      <c r="F20" s="457">
        <f>SUMIF(69:69,E21,70:70)-SUMIF(69:69,C21,70:70)+100</f>
        <v>98</v>
      </c>
      <c r="G20" s="2979" t="s">
        <v>3201</v>
      </c>
      <c r="H20" s="449">
        <f>SUMIF(69:69,G21,70:70)-SUMIF(69:69,C21,70:70)+100</f>
        <v>100</v>
      </c>
      <c r="I20" s="2979" t="s">
        <v>3233</v>
      </c>
      <c r="J20" s="449">
        <f>SUMIF(69:69,I21,70:70)-SUMIF(69:69,C21,70:70)+100</f>
        <v>98</v>
      </c>
      <c r="K20" s="613">
        <f>'比较法-办公'!K23</f>
        <v>2</v>
      </c>
      <c r="L20" s="1136"/>
      <c r="M20" s="1127"/>
      <c r="N20" s="1127"/>
      <c r="O20" s="1127"/>
      <c r="P20" s="3284"/>
      <c r="Q20" s="1806" t="str">
        <f>B20</f>
        <v>自然及人文环境</v>
      </c>
      <c r="R20" s="772" t="s">
        <v>17</v>
      </c>
      <c r="S20" s="773">
        <f>F20</f>
        <v>98</v>
      </c>
      <c r="T20" s="772" t="s">
        <v>17</v>
      </c>
      <c r="U20" s="773">
        <f>H20</f>
        <v>100</v>
      </c>
      <c r="V20" s="772" t="s">
        <v>17</v>
      </c>
      <c r="W20" s="773">
        <f>J20</f>
        <v>98</v>
      </c>
      <c r="X20" s="1809"/>
      <c r="Y20" s="3284"/>
      <c r="Z20" s="1810" t="str">
        <f>Q20</f>
        <v>自然及人文环境</v>
      </c>
      <c r="AA20" s="1807">
        <f t="shared" si="3"/>
        <v>1.0204081632653061</v>
      </c>
      <c r="AB20" s="1807">
        <f t="shared" si="4"/>
        <v>1</v>
      </c>
      <c r="AC20" s="1807">
        <f t="shared" si="5"/>
        <v>1.0204081632653061</v>
      </c>
    </row>
    <row r="21" spans="1:29" ht="15">
      <c r="A21" s="403"/>
      <c r="B21" s="631"/>
      <c r="C21" s="446" t="s">
        <v>3100</v>
      </c>
      <c r="D21" s="447"/>
      <c r="E21" s="446" t="s">
        <v>3117</v>
      </c>
      <c r="F21" s="448"/>
      <c r="G21" s="446" t="s">
        <v>3100</v>
      </c>
      <c r="H21" s="447"/>
      <c r="I21" s="446" t="s">
        <v>3117</v>
      </c>
      <c r="J21" s="447"/>
      <c r="K21" s="614"/>
      <c r="L21" s="1136"/>
      <c r="M21" s="1127"/>
      <c r="N21" s="1127"/>
      <c r="O21" s="1127"/>
      <c r="P21" s="3284"/>
      <c r="Q21" s="1806"/>
      <c r="R21" s="772"/>
      <c r="S21" s="773"/>
      <c r="T21" s="772"/>
      <c r="U21" s="773"/>
      <c r="V21" s="772"/>
      <c r="W21" s="773"/>
      <c r="X21" s="1809"/>
      <c r="Y21" s="3284"/>
      <c r="Z21" s="1810"/>
      <c r="AA21" s="1807">
        <v>1</v>
      </c>
      <c r="AB21" s="1807">
        <v>1</v>
      </c>
      <c r="AC21" s="1807">
        <v>1</v>
      </c>
    </row>
    <row r="22" spans="1:29" ht="15">
      <c r="A22" s="403"/>
      <c r="B22" s="630" t="s">
        <v>2704</v>
      </c>
      <c r="C22" s="615" t="s">
        <v>3067</v>
      </c>
      <c r="D22" s="449">
        <v>100</v>
      </c>
      <c r="E22" s="615" t="s">
        <v>3067</v>
      </c>
      <c r="F22" s="460">
        <f>SUMIF(71:71,E22,72:72)-SUMIF(71:71,C22,72:72)+100</f>
        <v>100</v>
      </c>
      <c r="G22" s="615" t="s">
        <v>3067</v>
      </c>
      <c r="H22" s="434">
        <f>SUMIF(71:71,G22,72:72)-SUMIF(71:71,C22,72:72)+100</f>
        <v>100</v>
      </c>
      <c r="I22" s="615" t="s">
        <v>3067</v>
      </c>
      <c r="J22" s="434">
        <f>SUMIF(71:71,I22,72:72)-SUMIF(71:71,C22,72:72)+100</f>
        <v>100</v>
      </c>
      <c r="K22" s="611">
        <v>2</v>
      </c>
      <c r="L22" s="1136"/>
      <c r="M22" s="1127"/>
      <c r="N22" s="1127"/>
      <c r="O22" s="1127"/>
      <c r="P22" s="3284"/>
      <c r="Q22" s="1806" t="str">
        <f>B22</f>
        <v>楼层</v>
      </c>
      <c r="R22" s="772" t="s">
        <v>17</v>
      </c>
      <c r="S22" s="773">
        <f>F22</f>
        <v>100</v>
      </c>
      <c r="T22" s="772" t="s">
        <v>17</v>
      </c>
      <c r="U22" s="773">
        <f>H22</f>
        <v>100</v>
      </c>
      <c r="V22" s="772" t="s">
        <v>17</v>
      </c>
      <c r="W22" s="773">
        <f>J22</f>
        <v>100</v>
      </c>
      <c r="X22" s="1809"/>
      <c r="Y22" s="3284"/>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84"/>
      <c r="Q23" s="1806">
        <f>B23</f>
        <v>111</v>
      </c>
      <c r="R23" s="772" t="s">
        <v>17</v>
      </c>
      <c r="S23" s="773">
        <f>F23</f>
        <v>100</v>
      </c>
      <c r="T23" s="772" t="s">
        <v>17</v>
      </c>
      <c r="U23" s="773">
        <f>H23</f>
        <v>100</v>
      </c>
      <c r="V23" s="772" t="s">
        <v>17</v>
      </c>
      <c r="W23" s="773">
        <f>J23</f>
        <v>100</v>
      </c>
      <c r="X23" s="1809"/>
      <c r="Y23" s="3284"/>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84"/>
      <c r="Q24" s="1806">
        <f t="shared" ref="Q24:Q36" si="11">B24</f>
        <v>111</v>
      </c>
      <c r="R24" s="772" t="s">
        <v>17</v>
      </c>
      <c r="S24" s="773">
        <f>F24</f>
        <v>100</v>
      </c>
      <c r="T24" s="772" t="s">
        <v>17</v>
      </c>
      <c r="U24" s="773">
        <f>H24</f>
        <v>100</v>
      </c>
      <c r="V24" s="772" t="s">
        <v>17</v>
      </c>
      <c r="W24" s="773">
        <f>J24</f>
        <v>100</v>
      </c>
      <c r="X24" s="1809"/>
      <c r="Y24" s="3284"/>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84"/>
      <c r="Q25" s="1791">
        <f t="shared" si="11"/>
        <v>111</v>
      </c>
      <c r="R25" s="768" t="s">
        <v>17</v>
      </c>
      <c r="S25" s="769">
        <f>F25</f>
        <v>100</v>
      </c>
      <c r="T25" s="768" t="s">
        <v>17</v>
      </c>
      <c r="U25" s="769">
        <f>H25</f>
        <v>100</v>
      </c>
      <c r="V25" s="768" t="s">
        <v>17</v>
      </c>
      <c r="W25" s="769">
        <f>J25</f>
        <v>100</v>
      </c>
      <c r="X25" s="770"/>
      <c r="Y25" s="3284"/>
      <c r="Z25" s="55">
        <f>Q25</f>
        <v>111</v>
      </c>
      <c r="AA25" s="1807">
        <f>D25/F25</f>
        <v>1</v>
      </c>
      <c r="AB25" s="1807">
        <f>D25/H25</f>
        <v>1</v>
      </c>
      <c r="AC25" s="1807">
        <f>D25/J25</f>
        <v>1</v>
      </c>
    </row>
    <row r="26" spans="1:29" ht="15">
      <c r="A26" s="651" t="s">
        <v>2556</v>
      </c>
      <c r="B26" s="69" t="s">
        <v>2705</v>
      </c>
      <c r="C26" s="446" t="s">
        <v>27</v>
      </c>
      <c r="D26" s="447">
        <v>100</v>
      </c>
      <c r="E26" s="446" t="s">
        <v>3120</v>
      </c>
      <c r="F26" s="448">
        <f>SUMIF(79:79,E26,80:80)-SUMIF(79:79,C26,80:80)+100</f>
        <v>97</v>
      </c>
      <c r="G26" s="3029" t="s">
        <v>3199</v>
      </c>
      <c r="H26" s="447">
        <f>SUMIF(79:79,G26,80:80)-SUMIF(79:79,C26,80:80)+100</f>
        <v>103</v>
      </c>
      <c r="I26" s="446" t="s">
        <v>3126</v>
      </c>
      <c r="J26" s="447">
        <f>SUMIF(79:79,I26,80:80)-SUMIF(79:79,C26,80:80)+100</f>
        <v>97</v>
      </c>
      <c r="K26" s="611">
        <v>3</v>
      </c>
      <c r="L26" s="1136"/>
      <c r="M26" s="1127"/>
      <c r="N26" s="1127"/>
      <c r="O26" s="1127"/>
      <c r="P26" s="3344" t="s">
        <v>2558</v>
      </c>
      <c r="Q26" s="1806" t="str">
        <f t="shared" si="11"/>
        <v>配套类型</v>
      </c>
      <c r="R26" s="772" t="s">
        <v>17</v>
      </c>
      <c r="S26" s="773">
        <f t="shared" ref="S26:S36" si="12">F26</f>
        <v>97</v>
      </c>
      <c r="T26" s="772" t="s">
        <v>17</v>
      </c>
      <c r="U26" s="773">
        <f t="shared" ref="U26:U36" si="13">H26</f>
        <v>103</v>
      </c>
      <c r="V26" s="772" t="s">
        <v>17</v>
      </c>
      <c r="W26" s="773">
        <f t="shared" ref="W26:W36" si="14">J26</f>
        <v>97</v>
      </c>
      <c r="X26" s="1809"/>
      <c r="Y26" s="3288" t="s">
        <v>2558</v>
      </c>
      <c r="Z26" s="1810" t="str">
        <f t="shared" ref="Z26:Z36" si="15">Q26</f>
        <v>配套类型</v>
      </c>
      <c r="AA26" s="1807">
        <f t="shared" si="3"/>
        <v>1.0309278350515463</v>
      </c>
      <c r="AB26" s="1807">
        <f t="shared" si="4"/>
        <v>0.970873786407767</v>
      </c>
      <c r="AC26" s="1807">
        <f t="shared" si="5"/>
        <v>1.0309278350515463</v>
      </c>
    </row>
    <row r="27" spans="1:29" s="470" customFormat="1" ht="15">
      <c r="A27" s="652"/>
      <c r="B27" s="653" t="s">
        <v>2706</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88"/>
      <c r="Q27" s="774" t="str">
        <f t="shared" si="11"/>
        <v>项目停车位配比</v>
      </c>
      <c r="R27" s="775" t="s">
        <v>17</v>
      </c>
      <c r="S27" s="776">
        <f t="shared" si="12"/>
        <v>100</v>
      </c>
      <c r="T27" s="775" t="s">
        <v>17</v>
      </c>
      <c r="U27" s="776">
        <f t="shared" si="13"/>
        <v>100</v>
      </c>
      <c r="V27" s="775" t="s">
        <v>17</v>
      </c>
      <c r="W27" s="776">
        <f t="shared" si="14"/>
        <v>100</v>
      </c>
      <c r="X27" s="777"/>
      <c r="Y27" s="3288"/>
      <c r="Z27" s="778" t="str">
        <f t="shared" si="15"/>
        <v>项目停车位配比</v>
      </c>
      <c r="AA27" s="1807">
        <f t="shared" si="3"/>
        <v>1</v>
      </c>
      <c r="AB27" s="1807">
        <f t="shared" si="4"/>
        <v>1</v>
      </c>
      <c r="AC27" s="1807">
        <f t="shared" si="5"/>
        <v>1</v>
      </c>
    </row>
    <row r="28" spans="1:29" ht="15">
      <c r="A28" s="655"/>
      <c r="B28" s="653" t="s">
        <v>2707</v>
      </c>
      <c r="C28" s="459" t="s">
        <v>3202</v>
      </c>
      <c r="D28" s="434">
        <v>100</v>
      </c>
      <c r="E28" s="459" t="s">
        <v>3121</v>
      </c>
      <c r="F28" s="460">
        <f>SUMIF(83:83,E28,84:84)-SUMIF(83:83,C28,84:84)+100</f>
        <v>100</v>
      </c>
      <c r="G28" s="459" t="s">
        <v>3121</v>
      </c>
      <c r="H28" s="434">
        <f>SUMIF(83:83,G28,84:84)-SUMIF(83:83,C28,84:84)+100</f>
        <v>100</v>
      </c>
      <c r="I28" s="459" t="s">
        <v>3121</v>
      </c>
      <c r="J28" s="434">
        <f>SUMIF(83:83,I28,84:84)-SUMIF(83:83,C28,84:84)+100</f>
        <v>100</v>
      </c>
      <c r="K28" s="611">
        <v>3</v>
      </c>
      <c r="L28" s="1136"/>
      <c r="M28" s="1127"/>
      <c r="N28" s="1127"/>
      <c r="O28" s="1127"/>
      <c r="P28" s="3288"/>
      <c r="Q28" s="1806" t="str">
        <f t="shared" si="11"/>
        <v>公共部分装修</v>
      </c>
      <c r="R28" s="772" t="s">
        <v>17</v>
      </c>
      <c r="S28" s="773">
        <f t="shared" si="12"/>
        <v>100</v>
      </c>
      <c r="T28" s="772" t="s">
        <v>17</v>
      </c>
      <c r="U28" s="773">
        <f t="shared" si="13"/>
        <v>100</v>
      </c>
      <c r="V28" s="772" t="s">
        <v>17</v>
      </c>
      <c r="W28" s="773">
        <f t="shared" si="14"/>
        <v>100</v>
      </c>
      <c r="X28" s="1809"/>
      <c r="Y28" s="3288"/>
      <c r="Z28" s="1810" t="str">
        <f t="shared" si="15"/>
        <v>公共部分装修</v>
      </c>
      <c r="AA28" s="1807">
        <f t="shared" si="3"/>
        <v>1</v>
      </c>
      <c r="AB28" s="1807">
        <f t="shared" si="4"/>
        <v>1</v>
      </c>
      <c r="AC28" s="1807">
        <f t="shared" si="5"/>
        <v>1</v>
      </c>
    </row>
    <row r="29" spans="1:29" ht="15">
      <c r="A29" s="655"/>
      <c r="B29" s="653" t="s">
        <v>2708</v>
      </c>
      <c r="C29" s="799">
        <f>'数据-取费表'!N6</f>
        <v>0.86499999999999999</v>
      </c>
      <c r="D29" s="434">
        <v>100</v>
      </c>
      <c r="E29" s="799">
        <f>ROUND(1-(1-0%)*(2017-2013)/60,2)</f>
        <v>0.93</v>
      </c>
      <c r="F29" s="460">
        <f>LOOKUP(E29,86:86,87:87)-LOOKUP(C29,86:86,87:87)+100</f>
        <v>102</v>
      </c>
      <c r="G29" s="473">
        <f>ROUND(1-(2018-2010)/60,2)</f>
        <v>0.87</v>
      </c>
      <c r="H29" s="460">
        <f>LOOKUP(G29,86:86,87:87)-LOOKUP(C29,86:86,87:87)+100</f>
        <v>100</v>
      </c>
      <c r="I29" s="799">
        <f>ROUND(1-(1-0%)*(2017-2010)/60,2)</f>
        <v>0.88</v>
      </c>
      <c r="J29" s="434">
        <f>LOOKUP(I29,86:86,87:87)-LOOKUP(C29,86:86,87:87)+100</f>
        <v>100</v>
      </c>
      <c r="K29" s="611">
        <f>'比较法-办公'!K37</f>
        <v>2</v>
      </c>
      <c r="L29" s="1136"/>
      <c r="M29" s="1127"/>
      <c r="N29" s="1127"/>
      <c r="O29" s="1127"/>
      <c r="P29" s="3288"/>
      <c r="Q29" s="1806" t="str">
        <f t="shared" si="11"/>
        <v>成新率</v>
      </c>
      <c r="R29" s="772" t="s">
        <v>17</v>
      </c>
      <c r="S29" s="773">
        <f t="shared" si="12"/>
        <v>102</v>
      </c>
      <c r="T29" s="772" t="s">
        <v>17</v>
      </c>
      <c r="U29" s="773">
        <f t="shared" si="13"/>
        <v>100</v>
      </c>
      <c r="V29" s="772" t="s">
        <v>17</v>
      </c>
      <c r="W29" s="773">
        <f t="shared" si="14"/>
        <v>100</v>
      </c>
      <c r="X29" s="1809"/>
      <c r="Y29" s="3288"/>
      <c r="Z29" s="1810" t="str">
        <f t="shared" si="15"/>
        <v>成新率</v>
      </c>
      <c r="AA29" s="1807">
        <f t="shared" si="3"/>
        <v>0.98039215686274506</v>
      </c>
      <c r="AB29" s="1807">
        <f t="shared" si="4"/>
        <v>1</v>
      </c>
      <c r="AC29" s="1807">
        <f t="shared" si="5"/>
        <v>1</v>
      </c>
    </row>
    <row r="30" spans="1:29" ht="15">
      <c r="A30" s="655"/>
      <c r="B30" s="653" t="s">
        <v>2709</v>
      </c>
      <c r="C30" s="656" t="s">
        <v>3107</v>
      </c>
      <c r="D30" s="434">
        <v>100</v>
      </c>
      <c r="E30" s="656" t="s">
        <v>3122</v>
      </c>
      <c r="F30" s="460">
        <f>SUMIF(88:88,E30,89:89)-SUMIF(88:88,C30,89:89)+100</f>
        <v>100</v>
      </c>
      <c r="G30" s="656"/>
      <c r="H30" s="434">
        <f>SUMIF(88:88,E30,89:89)-SUMIF(88:88,C30,89:89)+100</f>
        <v>100</v>
      </c>
      <c r="I30" s="656" t="s">
        <v>3122</v>
      </c>
      <c r="J30" s="434">
        <f>SUMIF(88:88,E30,89:89)-SUMIF(88:88,C30,89:89)+100</f>
        <v>100</v>
      </c>
      <c r="K30" s="611">
        <v>3</v>
      </c>
      <c r="L30" s="1136"/>
      <c r="M30" s="1127"/>
      <c r="N30" s="1127"/>
      <c r="O30" s="1127"/>
      <c r="P30" s="3288"/>
      <c r="Q30" s="1806" t="str">
        <f t="shared" si="11"/>
        <v>物业等级</v>
      </c>
      <c r="R30" s="772" t="s">
        <v>17</v>
      </c>
      <c r="S30" s="773">
        <f t="shared" si="12"/>
        <v>100</v>
      </c>
      <c r="T30" s="772" t="s">
        <v>17</v>
      </c>
      <c r="U30" s="773">
        <f t="shared" si="13"/>
        <v>100</v>
      </c>
      <c r="V30" s="772" t="s">
        <v>17</v>
      </c>
      <c r="W30" s="773">
        <f t="shared" si="14"/>
        <v>100</v>
      </c>
      <c r="X30" s="1809"/>
      <c r="Y30" s="3288"/>
      <c r="Z30" s="1810" t="str">
        <f t="shared" si="15"/>
        <v>物业等级</v>
      </c>
      <c r="AA30" s="1807">
        <f t="shared" si="3"/>
        <v>1</v>
      </c>
      <c r="AB30" s="1807">
        <f t="shared" si="4"/>
        <v>1</v>
      </c>
      <c r="AC30" s="1807">
        <f t="shared" si="5"/>
        <v>1</v>
      </c>
    </row>
    <row r="31" spans="1:29" s="116" customFormat="1" ht="15">
      <c r="A31" s="657"/>
      <c r="B31" s="653" t="s">
        <v>2710</v>
      </c>
      <c r="C31" s="468">
        <v>30.58</v>
      </c>
      <c r="D31" s="135">
        <v>100</v>
      </c>
      <c r="E31" s="468">
        <v>42</v>
      </c>
      <c r="F31" s="460">
        <f>LOOKUP(E31,91:91,92:92)-LOOKUP(C31,91:91,92:92)+100</f>
        <v>100</v>
      </c>
      <c r="G31" s="468">
        <v>38</v>
      </c>
      <c r="H31" s="434">
        <f>LOOKUP(G31,91:91,92:92)-LOOKUP(C31,91:91,92:92)+100</f>
        <v>100</v>
      </c>
      <c r="I31" s="468">
        <v>34</v>
      </c>
      <c r="J31" s="434">
        <f>LOOKUP(I31,91:91,92:92)-LOOKUP(C31,91:91,92:92)+100</f>
        <v>100</v>
      </c>
      <c r="K31" s="611">
        <v>3</v>
      </c>
      <c r="L31" s="1128"/>
      <c r="M31" s="1129"/>
      <c r="N31" s="1129"/>
      <c r="O31" s="1129"/>
      <c r="P31" s="3288"/>
      <c r="Q31" s="1791" t="str">
        <f t="shared" si="11"/>
        <v>停车位面积</v>
      </c>
      <c r="R31" s="768" t="s">
        <v>17</v>
      </c>
      <c r="S31" s="769">
        <f t="shared" si="12"/>
        <v>100</v>
      </c>
      <c r="T31" s="768" t="s">
        <v>17</v>
      </c>
      <c r="U31" s="769">
        <f t="shared" si="13"/>
        <v>100</v>
      </c>
      <c r="V31" s="768" t="s">
        <v>17</v>
      </c>
      <c r="W31" s="769">
        <f t="shared" si="14"/>
        <v>100</v>
      </c>
      <c r="X31" s="770"/>
      <c r="Y31" s="3288"/>
      <c r="Z31" s="55" t="str">
        <f t="shared" si="15"/>
        <v>停车位面积</v>
      </c>
      <c r="AA31" s="771">
        <f t="shared" si="3"/>
        <v>1</v>
      </c>
      <c r="AB31" s="771">
        <f t="shared" si="4"/>
        <v>1</v>
      </c>
      <c r="AC31" s="771">
        <f t="shared" si="5"/>
        <v>1</v>
      </c>
    </row>
    <row r="32" spans="1:29" ht="15">
      <c r="A32" s="655"/>
      <c r="B32" s="653" t="s">
        <v>2711</v>
      </c>
      <c r="C32" s="459" t="s">
        <v>3127</v>
      </c>
      <c r="D32" s="434">
        <v>100</v>
      </c>
      <c r="E32" s="459" t="s">
        <v>3123</v>
      </c>
      <c r="F32" s="460">
        <f>SUMIF(93:93,E32,94:94)-SUMIF(93:93,C32,94:94)+100</f>
        <v>100</v>
      </c>
      <c r="G32" s="459" t="s">
        <v>3127</v>
      </c>
      <c r="H32" s="434">
        <f>SUMIF(93:93,G32,94:94)-SUMIF(93:93,C32,94:94)+100</f>
        <v>100</v>
      </c>
      <c r="I32" s="459" t="s">
        <v>3127</v>
      </c>
      <c r="J32" s="434">
        <f>SUMIF(93:93,I32,94:94)-SUMIF(93:93,C32,94:94)+100</f>
        <v>100</v>
      </c>
      <c r="K32" s="611">
        <v>5</v>
      </c>
      <c r="L32" s="1136"/>
      <c r="M32" s="1127"/>
      <c r="N32" s="1127"/>
      <c r="O32" s="1127"/>
      <c r="P32" s="3288" t="s">
        <v>2558</v>
      </c>
      <c r="Q32" s="1806" t="str">
        <f t="shared" si="11"/>
        <v>车位类型</v>
      </c>
      <c r="R32" s="772" t="s">
        <v>17</v>
      </c>
      <c r="S32" s="773">
        <f t="shared" si="12"/>
        <v>100</v>
      </c>
      <c r="T32" s="772" t="s">
        <v>17</v>
      </c>
      <c r="U32" s="773">
        <f t="shared" si="13"/>
        <v>100</v>
      </c>
      <c r="V32" s="772" t="s">
        <v>17</v>
      </c>
      <c r="W32" s="773">
        <f t="shared" si="14"/>
        <v>100</v>
      </c>
      <c r="X32" s="1809"/>
      <c r="Y32" s="3288" t="s">
        <v>2558</v>
      </c>
      <c r="Z32" s="1810" t="str">
        <f t="shared" si="15"/>
        <v>车位类型</v>
      </c>
      <c r="AA32" s="1807">
        <f t="shared" si="3"/>
        <v>1</v>
      </c>
      <c r="AB32" s="1807">
        <f t="shared" si="4"/>
        <v>1</v>
      </c>
      <c r="AC32" s="1807">
        <f t="shared" si="5"/>
        <v>1</v>
      </c>
    </row>
    <row r="33" spans="1:29" ht="15">
      <c r="A33" s="655"/>
      <c r="B33" s="653" t="s">
        <v>2712</v>
      </c>
      <c r="C33" s="459" t="s">
        <v>3054</v>
      </c>
      <c r="D33" s="434">
        <v>100</v>
      </c>
      <c r="E33" s="459" t="s">
        <v>3054</v>
      </c>
      <c r="F33" s="460">
        <f>SUMIF(95:95,E33,96:96)-SUMIF(95:95,C33,96:96)+100</f>
        <v>100</v>
      </c>
      <c r="G33" s="459" t="s">
        <v>3054</v>
      </c>
      <c r="H33" s="434">
        <f>SUMIF(95:95,G33,96:96)-SUMIF(95:95,C33,96:96)+100</f>
        <v>100</v>
      </c>
      <c r="I33" s="459" t="s">
        <v>3054</v>
      </c>
      <c r="J33" s="434">
        <f>SUMIF(95:95,I33,96:96)-SUMIF(95:95,C33,96:96)+100</f>
        <v>100</v>
      </c>
      <c r="K33" s="611">
        <v>1</v>
      </c>
      <c r="L33" s="1136"/>
      <c r="M33" s="1127"/>
      <c r="N33" s="1127"/>
      <c r="O33" s="1127"/>
      <c r="P33" s="3288"/>
      <c r="Q33" s="1806" t="str">
        <f t="shared" si="11"/>
        <v>是否直接入户</v>
      </c>
      <c r="R33" s="772" t="s">
        <v>17</v>
      </c>
      <c r="S33" s="773">
        <f t="shared" si="12"/>
        <v>100</v>
      </c>
      <c r="T33" s="772" t="s">
        <v>17</v>
      </c>
      <c r="U33" s="773">
        <f t="shared" si="13"/>
        <v>100</v>
      </c>
      <c r="V33" s="772" t="s">
        <v>17</v>
      </c>
      <c r="W33" s="773">
        <f t="shared" si="14"/>
        <v>100</v>
      </c>
      <c r="X33" s="1809"/>
      <c r="Y33" s="3288"/>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88"/>
      <c r="Q34" s="1806">
        <f t="shared" si="11"/>
        <v>111</v>
      </c>
      <c r="R34" s="772" t="s">
        <v>17</v>
      </c>
      <c r="S34" s="773">
        <f t="shared" si="12"/>
        <v>100</v>
      </c>
      <c r="T34" s="772" t="s">
        <v>17</v>
      </c>
      <c r="U34" s="773">
        <f t="shared" si="13"/>
        <v>100</v>
      </c>
      <c r="V34" s="772" t="s">
        <v>17</v>
      </c>
      <c r="W34" s="773">
        <f t="shared" si="14"/>
        <v>100</v>
      </c>
      <c r="X34" s="1809"/>
      <c r="Y34" s="3288"/>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88"/>
      <c r="Q35" s="774">
        <f t="shared" si="11"/>
        <v>111</v>
      </c>
      <c r="R35" s="775" t="s">
        <v>17</v>
      </c>
      <c r="S35" s="776">
        <f t="shared" si="12"/>
        <v>100</v>
      </c>
      <c r="T35" s="775" t="s">
        <v>17</v>
      </c>
      <c r="U35" s="776">
        <f t="shared" si="13"/>
        <v>100</v>
      </c>
      <c r="V35" s="775" t="s">
        <v>17</v>
      </c>
      <c r="W35" s="776">
        <f t="shared" si="14"/>
        <v>100</v>
      </c>
      <c r="X35" s="777"/>
      <c r="Y35" s="3288"/>
      <c r="Z35" s="778">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88"/>
      <c r="Q36" s="1806">
        <f t="shared" si="11"/>
        <v>111</v>
      </c>
      <c r="R36" s="772" t="s">
        <v>17</v>
      </c>
      <c r="S36" s="773">
        <f t="shared" si="12"/>
        <v>100</v>
      </c>
      <c r="T36" s="772" t="s">
        <v>17</v>
      </c>
      <c r="U36" s="773">
        <f t="shared" si="13"/>
        <v>100</v>
      </c>
      <c r="V36" s="772" t="s">
        <v>17</v>
      </c>
      <c r="W36" s="773">
        <f t="shared" si="14"/>
        <v>100</v>
      </c>
      <c r="X36" s="1809"/>
      <c r="Y36" s="3288"/>
      <c r="Z36" s="1810">
        <f t="shared" si="15"/>
        <v>111</v>
      </c>
      <c r="AA36" s="1807">
        <f t="shared" si="3"/>
        <v>1</v>
      </c>
      <c r="AB36" s="1807">
        <f t="shared" si="4"/>
        <v>1</v>
      </c>
      <c r="AC36" s="1807">
        <f t="shared" si="5"/>
        <v>1</v>
      </c>
    </row>
    <row r="37" spans="1:29" ht="15">
      <c r="A37" s="478" t="s">
        <v>2713</v>
      </c>
      <c r="B37" s="2683" t="s">
        <v>2714</v>
      </c>
      <c r="C37" s="1403" t="s">
        <v>1</v>
      </c>
      <c r="D37" s="1404"/>
      <c r="E37" s="1405">
        <v>500000</v>
      </c>
      <c r="F37" s="1406"/>
      <c r="G37" s="1405">
        <v>540000</v>
      </c>
      <c r="H37" s="1408"/>
      <c r="I37" s="1405">
        <v>450000</v>
      </c>
      <c r="J37" s="1408"/>
      <c r="K37" s="618"/>
      <c r="L37" s="1139"/>
      <c r="M37" s="1140"/>
      <c r="N37" s="1127"/>
      <c r="O37" s="1140"/>
      <c r="P37" s="3290" t="str">
        <f>A37</f>
        <v>成交单价</v>
      </c>
      <c r="Q37" s="3290"/>
      <c r="R37" s="3291">
        <f>E37</f>
        <v>500000</v>
      </c>
      <c r="S37" s="3291"/>
      <c r="T37" s="3291">
        <f>G37</f>
        <v>540000</v>
      </c>
      <c r="U37" s="3291"/>
      <c r="V37" s="3291">
        <f>I37</f>
        <v>450000</v>
      </c>
      <c r="W37" s="3291"/>
      <c r="X37" s="757"/>
      <c r="Y37" s="779"/>
      <c r="Z37" s="757"/>
      <c r="AA37" s="757"/>
      <c r="AB37" s="757"/>
      <c r="AC37" s="757"/>
    </row>
    <row r="38" spans="1:29" ht="15.75" thickBot="1">
      <c r="A38" s="485" t="s">
        <v>2715</v>
      </c>
      <c r="B38" s="486" t="str">
        <f>B37</f>
        <v>元/车位</v>
      </c>
      <c r="C38" s="1409">
        <f>R39</f>
        <v>518062</v>
      </c>
      <c r="D38" s="1410"/>
      <c r="E38" s="1411">
        <f>R38</f>
        <v>545640</v>
      </c>
      <c r="F38" s="1411"/>
      <c r="G38" s="1409">
        <f>T38</f>
        <v>534971</v>
      </c>
      <c r="H38" s="1410"/>
      <c r="I38" s="1411">
        <f>V38</f>
        <v>473575</v>
      </c>
      <c r="J38" s="1410"/>
      <c r="K38" s="619"/>
      <c r="L38" s="1139"/>
      <c r="M38" s="1140"/>
      <c r="N38" s="1140"/>
      <c r="O38" s="1140"/>
      <c r="P38" s="3290" t="str">
        <f>A38</f>
        <v>比较价值（元/平方米）</v>
      </c>
      <c r="Q38" s="3290"/>
      <c r="R38" s="3291">
        <f>IF(F1="售价",ROUND(PRODUCT(R37,AA7:AA36),0),ROUND(PRODUCT(R37,AA7:AA36),1))</f>
        <v>545640</v>
      </c>
      <c r="S38" s="3291"/>
      <c r="T38" s="3291">
        <f>IF(F1="售价",ROUND(PRODUCT(T37,AB7:AB36),0),ROUND(PRODUCT(T37,AB7:AB36),1))</f>
        <v>534971</v>
      </c>
      <c r="U38" s="3291"/>
      <c r="V38" s="3291">
        <f>IF(F1="售价",ROUND(PRODUCT(V37,AC7:AC36),0),ROUND(PRODUCT(V37,AC7:AC36),1))</f>
        <v>473575</v>
      </c>
      <c r="W38" s="3291"/>
      <c r="X38" s="757"/>
      <c r="Y38" s="757"/>
      <c r="Z38" s="757"/>
      <c r="AA38" s="757"/>
      <c r="AB38" s="757"/>
      <c r="AC38" s="757"/>
    </row>
    <row r="39" spans="1:29" ht="15.75" thickBot="1">
      <c r="A39" s="491" t="s">
        <v>2716</v>
      </c>
      <c r="B39" s="492"/>
      <c r="C39" s="1413">
        <f>R39</f>
        <v>518062</v>
      </c>
      <c r="D39" s="1413"/>
      <c r="E39" s="1413"/>
      <c r="F39" s="1413"/>
      <c r="G39" s="1413"/>
      <c r="H39" s="1413"/>
      <c r="I39" s="1413"/>
      <c r="J39" s="1413"/>
      <c r="K39" s="620"/>
      <c r="L39" s="1139"/>
      <c r="M39" s="1140"/>
      <c r="N39" s="1140"/>
      <c r="O39" s="1140"/>
      <c r="P39" s="3341" t="str">
        <f>A39</f>
        <v>估价对象XX用房的比较价值（楼面单价，元/平方米）</v>
      </c>
      <c r="Q39" s="3342"/>
      <c r="R39" s="3343">
        <f>IF(F1="售价",ROUND(AVERAGE(R38:V38),0),ROUND(AVERAGE(R38:V38),1))</f>
        <v>518062</v>
      </c>
      <c r="S39" s="3343"/>
      <c r="T39" s="3343"/>
      <c r="U39" s="3343"/>
      <c r="V39" s="3343"/>
      <c r="W39" s="3343"/>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2717</v>
      </c>
      <c r="D42" s="497"/>
      <c r="E42" s="498">
        <f>IF(E37&lt;E38,E38/E37-1,E37/E38-1)</f>
        <v>9.1280000000000028E-2</v>
      </c>
      <c r="F42" s="499" t="str">
        <f>IF(OR(E42&gt;=0.3,E42&lt;=-0.3),"超过30%","")</f>
        <v/>
      </c>
      <c r="G42" s="498">
        <f>IF(G37&lt;G38,G38/G37-1,G37/G38-1)</f>
        <v>9.4005095603313382E-3</v>
      </c>
      <c r="H42" s="499" t="str">
        <f>IF(OR(G42&gt;=0.3,G42&lt;=-0.3),"超过30%","")</f>
        <v/>
      </c>
      <c r="I42" s="498">
        <f>IF(I37&lt;I38,I38/I37-1,I37/I38-1)</f>
        <v>5.2388888888888818E-2</v>
      </c>
      <c r="J42" s="499"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2718</v>
      </c>
      <c r="D43" s="500"/>
      <c r="E43" s="498">
        <f>IF(E38&lt;G38,G38/E38-1,E38/G38-1)</f>
        <v>1.9943137104628139E-2</v>
      </c>
      <c r="F43" s="499" t="str">
        <f>IF(OR(E43&gt;=0.2,E43&lt;=-0.2),"超过20%","")</f>
        <v/>
      </c>
      <c r="G43" s="498">
        <f>IF(G38&lt;I38,I38/G38-1,G38/I38-1)</f>
        <v>0.1296436678456423</v>
      </c>
      <c r="H43" s="499" t="str">
        <f>IF(OR(G43&gt;=0.2,G43&lt;=-0.2),"超过20%","")</f>
        <v/>
      </c>
      <c r="I43" s="498">
        <f>IF(I38&lt;E38,E38/I38-1,I38/E38-1)</f>
        <v>0.15217230639286283</v>
      </c>
      <c r="J43" s="499"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2719</v>
      </c>
      <c r="D44" s="500"/>
      <c r="E44" s="498">
        <f>IF(E37&lt;G37,G37/E37-1,E37/G37-1)</f>
        <v>8.0000000000000071E-2</v>
      </c>
      <c r="F44" s="499" t="str">
        <f>IF(OR(E44&gt;=0.3,E44&lt;=-0.3),"超过30%","")</f>
        <v/>
      </c>
      <c r="G44" s="498">
        <f>IF(G37&lt;I37,I37/G37-1,G37/I37-1)</f>
        <v>0.19999999999999996</v>
      </c>
      <c r="H44" s="499" t="str">
        <f>IF(OR(G44&gt;=0.3,G44&lt;=-0.3),"超过30%","")</f>
        <v/>
      </c>
      <c r="I44" s="498">
        <f>IF(I37&lt;E37,E37/I37-1,I37/E37-1)</f>
        <v>0.11111111111111116</v>
      </c>
      <c r="J44" s="499"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2720</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2721</v>
      </c>
      <c r="B48" s="505"/>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v>100</v>
      </c>
      <c r="E49" s="511">
        <v>100</v>
      </c>
      <c r="F49" s="511">
        <v>99.5</v>
      </c>
      <c r="G49" s="511">
        <v>99.5</v>
      </c>
      <c r="H49" s="511">
        <v>99.5</v>
      </c>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2578</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2543</v>
      </c>
      <c r="B51" s="509"/>
      <c r="C51" s="521" t="s">
        <v>2645</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2581</v>
      </c>
      <c r="B53" s="527" t="s">
        <v>2547</v>
      </c>
      <c r="C53" s="528" t="str">
        <f>C9</f>
        <v>车库</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2550</v>
      </c>
      <c r="C55" s="538" t="s">
        <v>2582</v>
      </c>
      <c r="D55" s="538" t="s">
        <v>2583</v>
      </c>
      <c r="E55" s="538" t="s">
        <v>2584</v>
      </c>
      <c r="F55" s="538" t="s">
        <v>2585</v>
      </c>
      <c r="G55" s="538" t="s">
        <v>2586</v>
      </c>
      <c r="H55" s="538" t="s">
        <v>2587</v>
      </c>
      <c r="I55" s="538" t="s">
        <v>2588</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98</v>
      </c>
      <c r="E64" s="543">
        <f>D64-$K14</f>
        <v>96</v>
      </c>
      <c r="F64" s="543">
        <f>E64-$K14</f>
        <v>94</v>
      </c>
      <c r="G64" s="543">
        <f>F64-$K14</f>
        <v>92</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2596</v>
      </c>
      <c r="C65" s="577" t="s">
        <v>2590</v>
      </c>
      <c r="D65" s="577" t="s">
        <v>2591</v>
      </c>
      <c r="E65" s="577" t="s">
        <v>2592</v>
      </c>
      <c r="F65" s="577" t="s">
        <v>2593</v>
      </c>
      <c r="G65" s="577" t="s">
        <v>2594</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97</v>
      </c>
      <c r="E66" s="543">
        <f>D66-$K16</f>
        <v>94</v>
      </c>
      <c r="F66" s="543">
        <f>E66-$K16</f>
        <v>91</v>
      </c>
      <c r="G66" s="543">
        <f>F66-$K16</f>
        <v>88</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2682</v>
      </c>
      <c r="C67" s="659" t="s">
        <v>2668</v>
      </c>
      <c r="D67" s="659" t="s">
        <v>2669</v>
      </c>
      <c r="E67" s="659" t="s">
        <v>2670</v>
      </c>
      <c r="F67" s="659" t="s">
        <v>2671</v>
      </c>
      <c r="G67" s="659" t="s">
        <v>2672</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99</v>
      </c>
      <c r="E68" s="543">
        <f>D68-$K18</f>
        <v>98</v>
      </c>
      <c r="F68" s="543">
        <f>E68-$K18</f>
        <v>97</v>
      </c>
      <c r="G68" s="543">
        <f>F68-$K18</f>
        <v>96</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2602</v>
      </c>
      <c r="C69" s="577" t="s">
        <v>2590</v>
      </c>
      <c r="D69" s="577" t="s">
        <v>2591</v>
      </c>
      <c r="E69" s="577" t="s">
        <v>2592</v>
      </c>
      <c r="F69" s="577" t="s">
        <v>2593</v>
      </c>
      <c r="G69" s="577" t="s">
        <v>2594</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98</v>
      </c>
      <c r="E70" s="543">
        <f>D70-$K20</f>
        <v>96</v>
      </c>
      <c r="F70" s="543">
        <f>E70-$K20</f>
        <v>94</v>
      </c>
      <c r="G70" s="543">
        <f>F70-$K20</f>
        <v>92</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2722</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98</v>
      </c>
      <c r="E72" s="543">
        <f>D72-$K22</f>
        <v>96</v>
      </c>
      <c r="F72" s="543">
        <f>E72-$K22</f>
        <v>94</v>
      </c>
      <c r="G72" s="543">
        <f>F72-$K22</f>
        <v>92</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2556</v>
      </c>
      <c r="B79" s="527" t="s">
        <v>2723</v>
      </c>
      <c r="C79" s="2996" t="s">
        <v>183</v>
      </c>
      <c r="D79" s="3030" t="s">
        <v>3203</v>
      </c>
      <c r="E79" s="3030" t="s">
        <v>3204</v>
      </c>
      <c r="F79" s="3030"/>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97</v>
      </c>
      <c r="E80" s="543">
        <f t="shared" si="17"/>
        <v>94</v>
      </c>
      <c r="F80" s="543">
        <f t="shared" si="17"/>
        <v>91</v>
      </c>
      <c r="G80" s="543">
        <f t="shared" si="17"/>
        <v>88</v>
      </c>
      <c r="H80" s="543">
        <f t="shared" si="17"/>
        <v>85</v>
      </c>
      <c r="I80" s="543">
        <f t="shared" si="17"/>
        <v>82</v>
      </c>
      <c r="J80" s="543">
        <f t="shared" si="17"/>
        <v>79</v>
      </c>
      <c r="K80" s="543">
        <f t="shared" si="17"/>
        <v>76</v>
      </c>
      <c r="L80" s="543">
        <f t="shared" si="17"/>
        <v>73</v>
      </c>
      <c r="M80" s="544">
        <f t="shared" si="17"/>
        <v>70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2724</v>
      </c>
      <c r="C81" s="660" t="s">
        <v>3211</v>
      </c>
      <c r="D81" s="660" t="s">
        <v>3212</v>
      </c>
      <c r="E81" s="660" t="s">
        <v>3213</v>
      </c>
      <c r="F81" s="660" t="s">
        <v>3214</v>
      </c>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v>100</v>
      </c>
      <c r="D82" s="535">
        <v>102</v>
      </c>
      <c r="E82" s="535">
        <v>104</v>
      </c>
      <c r="F82" s="535">
        <v>106</v>
      </c>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2609</v>
      </c>
      <c r="C83" s="553" t="s">
        <v>3209</v>
      </c>
      <c r="D83" s="553" t="s">
        <v>3210</v>
      </c>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97</v>
      </c>
      <c r="E84" s="543">
        <f t="shared" si="18"/>
        <v>94</v>
      </c>
      <c r="F84" s="543">
        <f t="shared" si="18"/>
        <v>91</v>
      </c>
      <c r="G84" s="543">
        <f t="shared" si="18"/>
        <v>88</v>
      </c>
      <c r="H84" s="543">
        <f t="shared" si="18"/>
        <v>85</v>
      </c>
      <c r="I84" s="543">
        <f t="shared" si="18"/>
        <v>82</v>
      </c>
      <c r="J84" s="543">
        <f t="shared" si="18"/>
        <v>79</v>
      </c>
      <c r="K84" s="543">
        <f t="shared" si="18"/>
        <v>76</v>
      </c>
      <c r="L84" s="543">
        <f t="shared" si="18"/>
        <v>73</v>
      </c>
      <c r="M84" s="544">
        <f t="shared" si="18"/>
        <v>70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2726</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103</v>
      </c>
      <c r="E89" s="543">
        <f t="shared" si="20"/>
        <v>106</v>
      </c>
      <c r="F89" s="543">
        <f t="shared" si="20"/>
        <v>109</v>
      </c>
      <c r="G89" s="543">
        <f t="shared" si="20"/>
        <v>112</v>
      </c>
      <c r="H89" s="543">
        <f t="shared" si="20"/>
        <v>115</v>
      </c>
      <c r="I89" s="543">
        <f t="shared" si="20"/>
        <v>118</v>
      </c>
      <c r="J89" s="543">
        <f t="shared" si="20"/>
        <v>121</v>
      </c>
      <c r="K89" s="543">
        <f t="shared" si="20"/>
        <v>124</v>
      </c>
      <c r="L89" s="543">
        <f t="shared" si="20"/>
        <v>127</v>
      </c>
      <c r="M89" s="543">
        <f t="shared" si="20"/>
        <v>130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2727</v>
      </c>
      <c r="C90" s="577" t="str">
        <f>C91&amp;"(含)"&amp;"-"&amp;D91</f>
        <v>20(含)-30</v>
      </c>
      <c r="D90" s="577" t="str">
        <f t="shared" ref="D90:L90" si="21">D91&amp;"(含)"&amp;"-"&amp;E91</f>
        <v>30(含)-45</v>
      </c>
      <c r="E90" s="577" t="str">
        <f t="shared" si="21"/>
        <v>45(含)-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v>20</v>
      </c>
      <c r="D91" s="594">
        <v>30</v>
      </c>
      <c r="E91" s="594">
        <v>45</v>
      </c>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v>100</v>
      </c>
      <c r="D92" s="535">
        <v>102</v>
      </c>
      <c r="E92" s="535">
        <v>104</v>
      </c>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2728</v>
      </c>
      <c r="C93" s="553" t="s">
        <v>3205</v>
      </c>
      <c r="D93" s="553" t="s">
        <v>3206</v>
      </c>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95</v>
      </c>
      <c r="E94" s="543">
        <f t="shared" si="22"/>
        <v>90</v>
      </c>
      <c r="F94" s="543">
        <f t="shared" si="22"/>
        <v>85</v>
      </c>
      <c r="G94" s="543">
        <f t="shared" si="22"/>
        <v>80</v>
      </c>
      <c r="H94" s="543">
        <f t="shared" si="22"/>
        <v>75</v>
      </c>
      <c r="I94" s="543">
        <f t="shared" si="22"/>
        <v>70</v>
      </c>
      <c r="J94" s="543">
        <f t="shared" si="22"/>
        <v>65</v>
      </c>
      <c r="K94" s="543">
        <f t="shared" si="22"/>
        <v>60</v>
      </c>
      <c r="L94" s="543">
        <f t="shared" si="22"/>
        <v>55</v>
      </c>
      <c r="M94" s="544">
        <f t="shared" si="22"/>
        <v>50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2729</v>
      </c>
      <c r="C95" s="529" t="s">
        <v>3207</v>
      </c>
      <c r="D95" s="529" t="s">
        <v>3208</v>
      </c>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99</v>
      </c>
      <c r="E96" s="543">
        <f>D96-$K33</f>
        <v>98</v>
      </c>
      <c r="F96" s="543">
        <f>E96-$K33</f>
        <v>97</v>
      </c>
      <c r="G96" s="543">
        <f>F96-$K33</f>
        <v>96</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I17 E17 C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I32 G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C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2700</v>
      </c>
      <c r="B1" s="1615"/>
      <c r="C1" s="1616" t="s">
        <v>2523</v>
      </c>
      <c r="D1" s="1617"/>
      <c r="E1" s="1626"/>
      <c r="F1" s="2576"/>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IF(C2="——",ROUND(C37*D3/10000,0),ROUND(C37*D3/10000,0)-D2)</f>
        <v>#DIV/0!</v>
      </c>
      <c r="C2" s="2578"/>
      <c r="D2" s="1120" t="e">
        <f ca="1">SUMIF(INDIRECT("'"&amp;F2&amp;"'"&amp;"!A:A"),"承租人权益价值",INDIRECT("'"&amp;F2&amp;"'"&amp;"!c:c"))</f>
        <v>#REF!</v>
      </c>
      <c r="E2" s="2579" t="s">
        <v>2321</v>
      </c>
      <c r="F2" s="2580"/>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7" customFormat="1" ht="28.5" customHeight="1" thickBot="1">
      <c r="A3" s="246" t="s">
        <v>2322</v>
      </c>
      <c r="B3" s="608" t="e">
        <f ca="1">IF(C2="——",C37,ROUND(B2*10000/D3,0))</f>
        <v>#DIV/0!</v>
      </c>
      <c r="C3" s="399" t="s">
        <v>2637</v>
      </c>
      <c r="D3" s="398">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0" t="s">
        <v>2638</v>
      </c>
      <c r="B4" s="401"/>
      <c r="C4" s="3265" t="s">
        <v>2639</v>
      </c>
      <c r="D4" s="3266"/>
      <c r="E4" s="3267" t="s">
        <v>2640</v>
      </c>
      <c r="F4" s="3268"/>
      <c r="G4" s="3265" t="s">
        <v>2641</v>
      </c>
      <c r="H4" s="3266"/>
      <c r="I4" s="3265" t="s">
        <v>2642</v>
      </c>
      <c r="J4" s="3266"/>
      <c r="K4" s="609" t="s">
        <v>2643</v>
      </c>
      <c r="L4" s="1126"/>
      <c r="M4" s="1127"/>
      <c r="N4" s="1127"/>
      <c r="O4" s="1127"/>
      <c r="P4" s="3337" t="s">
        <v>2644</v>
      </c>
      <c r="Q4" s="3338"/>
      <c r="R4" s="3327" t="s">
        <v>2640</v>
      </c>
      <c r="S4" s="3328"/>
      <c r="T4" s="3327" t="s">
        <v>2641</v>
      </c>
      <c r="U4" s="3328"/>
      <c r="V4" s="3278" t="s">
        <v>2642</v>
      </c>
      <c r="W4" s="3278"/>
      <c r="X4" s="1809"/>
      <c r="Y4" s="3327" t="s">
        <v>2644</v>
      </c>
      <c r="Z4" s="3328"/>
      <c r="AA4" s="3326" t="s">
        <v>2640</v>
      </c>
      <c r="AB4" s="3245" t="s">
        <v>2641</v>
      </c>
      <c r="AC4" s="3326" t="s">
        <v>2642</v>
      </c>
    </row>
    <row r="5" spans="1:29" ht="15">
      <c r="A5" s="403"/>
      <c r="B5" s="404"/>
      <c r="C5" s="3331" t="s">
        <v>2535</v>
      </c>
      <c r="D5" s="3332"/>
      <c r="E5" s="3329" t="s">
        <v>2536</v>
      </c>
      <c r="F5" s="3330"/>
      <c r="G5" s="3331" t="s">
        <v>2537</v>
      </c>
      <c r="H5" s="3332"/>
      <c r="I5" s="3331" t="s">
        <v>2538</v>
      </c>
      <c r="J5" s="3332"/>
      <c r="K5" s="609"/>
      <c r="L5" s="1126"/>
      <c r="M5" s="1127"/>
      <c r="N5" s="1127"/>
      <c r="O5" s="1127"/>
      <c r="P5" s="3339"/>
      <c r="Q5" s="3272"/>
      <c r="R5" s="3251"/>
      <c r="S5" s="3252"/>
      <c r="T5" s="3251"/>
      <c r="U5" s="3252"/>
      <c r="V5" s="3278"/>
      <c r="W5" s="3278"/>
      <c r="X5" s="1809"/>
      <c r="Y5" s="3251"/>
      <c r="Z5" s="3252"/>
      <c r="AA5" s="3245"/>
      <c r="AB5" s="3245"/>
      <c r="AC5" s="3245"/>
    </row>
    <row r="6" spans="1:29" ht="15.75" thickBot="1">
      <c r="A6" s="405"/>
      <c r="B6" s="406"/>
      <c r="C6" s="3333" t="s">
        <v>2539</v>
      </c>
      <c r="D6" s="3334"/>
      <c r="E6" s="3335" t="s">
        <v>2539</v>
      </c>
      <c r="F6" s="3336"/>
      <c r="G6" s="3333" t="s">
        <v>2539</v>
      </c>
      <c r="H6" s="3334"/>
      <c r="I6" s="3333" t="s">
        <v>2539</v>
      </c>
      <c r="J6" s="3334"/>
      <c r="K6" s="609" t="s">
        <v>2540</v>
      </c>
      <c r="L6" s="1126"/>
      <c r="M6" s="1127"/>
      <c r="N6" s="1127"/>
      <c r="O6" s="1127"/>
      <c r="P6" s="3340"/>
      <c r="Q6" s="3274"/>
      <c r="R6" s="3251"/>
      <c r="S6" s="3252"/>
      <c r="T6" s="3275"/>
      <c r="U6" s="3276"/>
      <c r="V6" s="3278"/>
      <c r="W6" s="3278"/>
      <c r="X6" s="1809"/>
      <c r="Y6" s="3275"/>
      <c r="Z6" s="3276"/>
      <c r="AA6" s="3246"/>
      <c r="AB6" s="3246"/>
      <c r="AC6" s="3246"/>
    </row>
    <row r="7" spans="1:29" s="116" customFormat="1" ht="15.75" thickBot="1">
      <c r="A7" s="407" t="s">
        <v>2541</v>
      </c>
      <c r="B7" s="408"/>
      <c r="C7" s="409">
        <f>'数据-取费表'!B2</f>
        <v>43165</v>
      </c>
      <c r="D7" s="410">
        <v>100</v>
      </c>
      <c r="E7" s="411"/>
      <c r="F7" s="412">
        <f>SUMIF(46:46,YEAR(E7)&amp;"-"&amp;MONTH(E7),47:47)</f>
        <v>0</v>
      </c>
      <c r="G7" s="2684"/>
      <c r="H7" s="410">
        <f>SUMIF(46:46,YEAR(G7)&amp;"-"&amp;MONTH(G7),47:47)</f>
        <v>0</v>
      </c>
      <c r="I7" s="411"/>
      <c r="J7" s="410">
        <f>SUMIF(46:46,YEAR(I7)&amp;"-"&amp;MONTH(I7),47:47)</f>
        <v>0</v>
      </c>
      <c r="K7" s="610"/>
      <c r="L7" s="1128"/>
      <c r="M7" s="1129"/>
      <c r="N7" s="1129"/>
      <c r="O7" s="1129"/>
      <c r="P7" s="3247" t="s">
        <v>2542</v>
      </c>
      <c r="Q7" s="3280"/>
      <c r="R7" s="768" t="s">
        <v>17</v>
      </c>
      <c r="S7" s="769">
        <f t="shared" ref="S7:S14" si="0">F7</f>
        <v>0</v>
      </c>
      <c r="T7" s="768" t="s">
        <v>17</v>
      </c>
      <c r="U7" s="769">
        <f t="shared" ref="U7:U14" si="1">H7</f>
        <v>0</v>
      </c>
      <c r="V7" s="768" t="s">
        <v>17</v>
      </c>
      <c r="W7" s="769">
        <f t="shared" ref="W7:W14" si="2">J7</f>
        <v>0</v>
      </c>
      <c r="X7" s="770"/>
      <c r="Y7" s="3247" t="s">
        <v>2542</v>
      </c>
      <c r="Z7" s="3248"/>
      <c r="AA7" s="771" t="e">
        <f>D7/F7</f>
        <v>#DIV/0!</v>
      </c>
      <c r="AB7" s="771" t="e">
        <f>D7/H7</f>
        <v>#DIV/0!</v>
      </c>
      <c r="AC7" s="771" t="e">
        <f>D7/J7</f>
        <v>#DIV/0!</v>
      </c>
    </row>
    <row r="8" spans="1:29" s="116" customFormat="1" ht="15.75" thickBot="1">
      <c r="A8" s="407" t="s">
        <v>2543</v>
      </c>
      <c r="B8" s="408"/>
      <c r="C8" s="413" t="s">
        <v>2645</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47" t="s">
        <v>2545</v>
      </c>
      <c r="Q8" s="3248"/>
      <c r="R8" s="768" t="s">
        <v>17</v>
      </c>
      <c r="S8" s="769">
        <f t="shared" si="0"/>
        <v>0</v>
      </c>
      <c r="T8" s="768" t="s">
        <v>17</v>
      </c>
      <c r="U8" s="769">
        <f t="shared" si="1"/>
        <v>0</v>
      </c>
      <c r="V8" s="768" t="s">
        <v>17</v>
      </c>
      <c r="W8" s="769">
        <f t="shared" si="2"/>
        <v>0</v>
      </c>
      <c r="X8" s="770"/>
      <c r="Y8" s="3247" t="s">
        <v>2545</v>
      </c>
      <c r="Z8" s="3248"/>
      <c r="AA8" s="771" t="e">
        <f t="shared" ref="AA8:AA34" si="3">D8/F8</f>
        <v>#DIV/0!</v>
      </c>
      <c r="AB8" s="771" t="e">
        <f t="shared" ref="AB8:AB34" si="4">D8/H8</f>
        <v>#DIV/0!</v>
      </c>
      <c r="AC8" s="771" t="e">
        <f t="shared" ref="AC8:AC34" si="5">D8/J8</f>
        <v>#DIV/0!</v>
      </c>
    </row>
    <row r="9" spans="1:29" s="116" customFormat="1">
      <c r="A9" s="414" t="s">
        <v>2546</v>
      </c>
      <c r="B9" s="70" t="s">
        <v>2547</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90" t="s">
        <v>2548</v>
      </c>
      <c r="Q9" s="1791" t="str">
        <f t="shared" ref="Q9:Q14" si="6">B9</f>
        <v>用途</v>
      </c>
      <c r="R9" s="768" t="s">
        <v>17</v>
      </c>
      <c r="S9" s="769">
        <f t="shared" si="0"/>
        <v>100</v>
      </c>
      <c r="T9" s="768" t="s">
        <v>17</v>
      </c>
      <c r="U9" s="769">
        <f t="shared" si="1"/>
        <v>100</v>
      </c>
      <c r="V9" s="768" t="s">
        <v>17</v>
      </c>
      <c r="W9" s="769">
        <f t="shared" si="2"/>
        <v>100</v>
      </c>
      <c r="X9" s="770"/>
      <c r="Y9" s="3101" t="s">
        <v>2549</v>
      </c>
      <c r="Z9" s="55" t="str">
        <f t="shared" ref="Z9:Z14" si="7">Q9</f>
        <v>用途</v>
      </c>
      <c r="AA9" s="771">
        <f t="shared" si="3"/>
        <v>1</v>
      </c>
      <c r="AB9" s="771">
        <f t="shared" si="4"/>
        <v>1</v>
      </c>
      <c r="AC9" s="771">
        <f t="shared" si="5"/>
        <v>1</v>
      </c>
    </row>
    <row r="10" spans="1:29" s="426" customFormat="1" ht="27">
      <c r="A10" s="420"/>
      <c r="B10" s="421" t="s">
        <v>2550</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90"/>
      <c r="Q10" s="1791"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427"/>
      <c r="B11" s="2592">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90"/>
      <c r="Q11" s="1791">
        <f t="shared" si="6"/>
        <v>111</v>
      </c>
      <c r="R11" s="768" t="s">
        <v>17</v>
      </c>
      <c r="S11" s="769">
        <f t="shared" si="0"/>
        <v>100</v>
      </c>
      <c r="T11" s="768" t="s">
        <v>17</v>
      </c>
      <c r="U11" s="769">
        <f t="shared" si="1"/>
        <v>100</v>
      </c>
      <c r="V11" s="768" t="s">
        <v>17</v>
      </c>
      <c r="W11" s="769">
        <f t="shared" si="2"/>
        <v>100</v>
      </c>
      <c r="X11" s="770"/>
      <c r="Y11" s="3101"/>
      <c r="Z11" s="55">
        <f t="shared" si="7"/>
        <v>111</v>
      </c>
      <c r="AA11" s="771">
        <f t="shared" si="3"/>
        <v>1</v>
      </c>
      <c r="AB11" s="771">
        <f t="shared" si="4"/>
        <v>1</v>
      </c>
      <c r="AC11" s="771">
        <f t="shared" si="5"/>
        <v>1</v>
      </c>
    </row>
    <row r="12" spans="1:29" s="116" customFormat="1" ht="15">
      <c r="A12" s="430"/>
      <c r="B12" s="2592">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90"/>
      <c r="Q12" s="1791">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75" thickBot="1">
      <c r="A13" s="427"/>
      <c r="B13" s="2592">
        <v>111</v>
      </c>
      <c r="C13" s="433"/>
      <c r="D13" s="434">
        <v>100</v>
      </c>
      <c r="E13" s="468"/>
      <c r="F13" s="424">
        <f>SUMIF(59:59,E13,60:60)-SUMIF(59:59,C13,60:60)+100</f>
        <v>100</v>
      </c>
      <c r="G13" s="2685"/>
      <c r="H13" s="437">
        <f>SUMIF(59:59,G13,60:60)-SUMIF(59:59,C13,60:60)+100</f>
        <v>100</v>
      </c>
      <c r="I13" s="468"/>
      <c r="J13" s="434">
        <f>SUMIF(59:59,I13,60:60)-SUMIF(59:59,C13,60:60)+100</f>
        <v>100</v>
      </c>
      <c r="K13" s="612"/>
      <c r="L13" s="1136"/>
      <c r="M13" s="1127"/>
      <c r="N13" s="1127"/>
      <c r="O13" s="1135"/>
      <c r="P13" s="3290"/>
      <c r="Q13" s="1791">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99.75">
      <c r="A14" s="439" t="s">
        <v>2552</v>
      </c>
      <c r="B14" s="68" t="s">
        <v>2702</v>
      </c>
      <c r="C14" s="2682" t="str">
        <f>IF(B1="工业",估价对象房地状况!G4,估价对象房地状况!C6)</f>
        <v>估价对象周边道路状况、周边有24、106、117路及地铁2号、13号、机场线，综合评价交通便捷度好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83" t="s">
        <v>2553</v>
      </c>
      <c r="Q14" s="1806" t="str">
        <f t="shared" si="6"/>
        <v>交通便捷度</v>
      </c>
      <c r="R14" s="772" t="s">
        <v>17</v>
      </c>
      <c r="S14" s="773">
        <f t="shared" si="0"/>
        <v>100</v>
      </c>
      <c r="T14" s="772" t="s">
        <v>17</v>
      </c>
      <c r="U14" s="773">
        <f t="shared" si="1"/>
        <v>100</v>
      </c>
      <c r="V14" s="772" t="s">
        <v>17</v>
      </c>
      <c r="W14" s="773">
        <f t="shared" si="2"/>
        <v>100</v>
      </c>
      <c r="X14" s="1809"/>
      <c r="Y14" s="3283" t="s">
        <v>2553</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84"/>
      <c r="Q15" s="1806"/>
      <c r="R15" s="772"/>
      <c r="S15" s="773"/>
      <c r="T15" s="772"/>
      <c r="U15" s="773"/>
      <c r="V15" s="772"/>
      <c r="W15" s="773"/>
      <c r="X15" s="1809"/>
      <c r="Y15" s="3284"/>
      <c r="Z15" s="1810"/>
      <c r="AA15" s="1807">
        <v>1</v>
      </c>
      <c r="AB15" s="1807">
        <v>1</v>
      </c>
      <c r="AC15" s="1807">
        <v>1</v>
      </c>
    </row>
    <row r="16" spans="1:29" ht="71.25">
      <c r="A16" s="427"/>
      <c r="B16" s="450" t="s">
        <v>2681</v>
      </c>
      <c r="C16" s="2599" t="str">
        <f>IF(B1="工业",估价对象房地状况!G5,估价对象房地状况!C7)</f>
        <v>周边有银行、购物场所、餐饮等配套设施，公共服务设施状况较好。</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84"/>
      <c r="Q16" s="1806" t="str">
        <f>B16</f>
        <v>公共配套设施</v>
      </c>
      <c r="R16" s="772" t="s">
        <v>17</v>
      </c>
      <c r="S16" s="773">
        <f>F16</f>
        <v>100</v>
      </c>
      <c r="T16" s="772" t="s">
        <v>17</v>
      </c>
      <c r="U16" s="773">
        <f>H16</f>
        <v>100</v>
      </c>
      <c r="V16" s="772" t="s">
        <v>17</v>
      </c>
      <c r="W16" s="773">
        <f>J16</f>
        <v>100</v>
      </c>
      <c r="X16" s="1809"/>
      <c r="Y16" s="3284"/>
      <c r="Z16" s="1810" t="str">
        <f>Q16</f>
        <v>公共配套设施</v>
      </c>
      <c r="AA16" s="1807">
        <f t="shared" si="3"/>
        <v>1</v>
      </c>
      <c r="AB16" s="1807">
        <f t="shared" si="4"/>
        <v>1</v>
      </c>
      <c r="AC16" s="1807">
        <f t="shared" si="5"/>
        <v>1</v>
      </c>
    </row>
    <row r="17" spans="1:29" ht="15">
      <c r="A17" s="427"/>
      <c r="B17" s="455"/>
      <c r="C17" s="2600"/>
      <c r="D17" s="447"/>
      <c r="E17" s="446"/>
      <c r="F17" s="448"/>
      <c r="G17" s="446"/>
      <c r="H17" s="447"/>
      <c r="I17" s="446"/>
      <c r="J17" s="447"/>
      <c r="K17" s="614"/>
      <c r="L17" s="1136"/>
      <c r="M17" s="1127"/>
      <c r="N17" s="1127"/>
      <c r="O17" s="1135"/>
      <c r="P17" s="3284"/>
      <c r="Q17" s="1806"/>
      <c r="R17" s="772"/>
      <c r="S17" s="773"/>
      <c r="T17" s="772"/>
      <c r="U17" s="773"/>
      <c r="V17" s="772"/>
      <c r="W17" s="773"/>
      <c r="X17" s="1809"/>
      <c r="Y17" s="3284"/>
      <c r="Z17" s="1810"/>
      <c r="AA17" s="1807">
        <v>1</v>
      </c>
      <c r="AB17" s="1807">
        <v>1</v>
      </c>
      <c r="AC17" s="1807">
        <v>1</v>
      </c>
    </row>
    <row r="18" spans="1:29" ht="15">
      <c r="A18" s="427"/>
      <c r="B18" s="1380" t="s">
        <v>2682</v>
      </c>
      <c r="C18" s="2599"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84"/>
      <c r="Q18" s="1806" t="str">
        <f>B18</f>
        <v>基础设施水平</v>
      </c>
      <c r="R18" s="772" t="s">
        <v>17</v>
      </c>
      <c r="S18" s="773">
        <f>F18</f>
        <v>100</v>
      </c>
      <c r="T18" s="772" t="s">
        <v>17</v>
      </c>
      <c r="U18" s="773">
        <f>H18</f>
        <v>100</v>
      </c>
      <c r="V18" s="772" t="s">
        <v>17</v>
      </c>
      <c r="W18" s="773">
        <f>J18</f>
        <v>100</v>
      </c>
      <c r="X18" s="1809"/>
      <c r="Y18" s="3284"/>
      <c r="Z18" s="1810" t="str">
        <f>Q18</f>
        <v>基础设施水平</v>
      </c>
      <c r="AA18" s="1807">
        <f t="shared" ref="AA18" si="8">D18/F18</f>
        <v>1</v>
      </c>
      <c r="AB18" s="1807">
        <f t="shared" ref="AB18" si="9">D18/H18</f>
        <v>1</v>
      </c>
      <c r="AC18" s="1807">
        <f t="shared" ref="AC18" si="10">D18/J18</f>
        <v>1</v>
      </c>
    </row>
    <row r="19" spans="1:29" ht="15">
      <c r="A19" s="427"/>
      <c r="B19" s="1380"/>
      <c r="C19" s="2600"/>
      <c r="D19" s="449"/>
      <c r="E19" s="2600"/>
      <c r="F19" s="452"/>
      <c r="G19" s="2600"/>
      <c r="H19" s="447"/>
      <c r="I19" s="446"/>
      <c r="J19" s="447"/>
      <c r="K19" s="1379"/>
      <c r="L19" s="1136"/>
      <c r="M19" s="1127"/>
      <c r="N19" s="1127"/>
      <c r="O19" s="1135"/>
      <c r="P19" s="3284"/>
      <c r="Q19" s="1806"/>
      <c r="R19" s="772"/>
      <c r="S19" s="773"/>
      <c r="T19" s="772"/>
      <c r="U19" s="773"/>
      <c r="V19" s="772"/>
      <c r="W19" s="773"/>
      <c r="X19" s="1809"/>
      <c r="Y19" s="3284"/>
      <c r="Z19" s="1810"/>
      <c r="AA19" s="1807">
        <v>1</v>
      </c>
      <c r="AB19" s="1807">
        <v>1</v>
      </c>
      <c r="AC19" s="1807">
        <v>1</v>
      </c>
    </row>
    <row r="20" spans="1:29" ht="99.75">
      <c r="A20" s="427"/>
      <c r="B20" s="450" t="s">
        <v>2703</v>
      </c>
      <c r="C20" s="2599" t="str">
        <f>IF(B1="工业",估价对象房地状况!G7,估价对象房地状况!C9)</f>
        <v>区域自然环境：南馆公园、工人体育馆；人文环境：保利艺术博物馆、自来水博物馆；综合评价环境状况较好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84"/>
      <c r="Q20" s="1806" t="str">
        <f>B20</f>
        <v>自然及人文环境</v>
      </c>
      <c r="R20" s="772" t="s">
        <v>17</v>
      </c>
      <c r="S20" s="773">
        <f>F20</f>
        <v>100</v>
      </c>
      <c r="T20" s="772" t="s">
        <v>17</v>
      </c>
      <c r="U20" s="773">
        <f>H20</f>
        <v>100</v>
      </c>
      <c r="V20" s="772" t="s">
        <v>17</v>
      </c>
      <c r="W20" s="773">
        <f>J20</f>
        <v>100</v>
      </c>
      <c r="X20" s="1809"/>
      <c r="Y20" s="3284"/>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84"/>
      <c r="Q21" s="1806"/>
      <c r="R21" s="772"/>
      <c r="S21" s="773"/>
      <c r="T21" s="772"/>
      <c r="U21" s="773"/>
      <c r="V21" s="772"/>
      <c r="W21" s="773"/>
      <c r="X21" s="1809"/>
      <c r="Y21" s="3284"/>
      <c r="Z21" s="1810"/>
      <c r="AA21" s="1807">
        <v>1</v>
      </c>
      <c r="AB21" s="1807">
        <v>1</v>
      </c>
      <c r="AC21" s="1807">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84"/>
      <c r="Q22" s="1806" t="str">
        <f>B22</f>
        <v>楼层</v>
      </c>
      <c r="R22" s="772" t="s">
        <v>17</v>
      </c>
      <c r="S22" s="773">
        <f>F22</f>
        <v>100</v>
      </c>
      <c r="T22" s="772" t="s">
        <v>17</v>
      </c>
      <c r="U22" s="773">
        <f>H22</f>
        <v>100</v>
      </c>
      <c r="V22" s="772" t="s">
        <v>17</v>
      </c>
      <c r="W22" s="773">
        <f>J22</f>
        <v>100</v>
      </c>
      <c r="X22" s="1809"/>
      <c r="Y22" s="3284"/>
      <c r="Z22" s="1810" t="str">
        <f>Q22</f>
        <v>楼层</v>
      </c>
      <c r="AA22" s="1807">
        <f t="shared" si="3"/>
        <v>1</v>
      </c>
      <c r="AB22" s="1807">
        <f t="shared" si="4"/>
        <v>1</v>
      </c>
      <c r="AC22" s="1807">
        <f t="shared" si="5"/>
        <v>1</v>
      </c>
    </row>
    <row r="23" spans="1:29" ht="1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84"/>
      <c r="Q23" s="1806">
        <f>B23</f>
        <v>111</v>
      </c>
      <c r="R23" s="772" t="s">
        <v>17</v>
      </c>
      <c r="S23" s="773">
        <f>F23</f>
        <v>100</v>
      </c>
      <c r="T23" s="772" t="s">
        <v>17</v>
      </c>
      <c r="U23" s="773">
        <f>H23</f>
        <v>100</v>
      </c>
      <c r="V23" s="772" t="s">
        <v>17</v>
      </c>
      <c r="W23" s="773">
        <f>J23</f>
        <v>100</v>
      </c>
      <c r="X23" s="1809"/>
      <c r="Y23" s="3284"/>
      <c r="Z23" s="1810">
        <f>Q23</f>
        <v>111</v>
      </c>
      <c r="AA23" s="1807">
        <f t="shared" si="3"/>
        <v>1</v>
      </c>
      <c r="AB23" s="1807">
        <f t="shared" si="4"/>
        <v>1</v>
      </c>
      <c r="AC23" s="1807">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84"/>
      <c r="Q24" s="1806">
        <f t="shared" ref="Q24:Q34" si="11">B24</f>
        <v>111</v>
      </c>
      <c r="R24" s="772" t="s">
        <v>17</v>
      </c>
      <c r="S24" s="773">
        <f>F24</f>
        <v>100</v>
      </c>
      <c r="T24" s="772" t="s">
        <v>17</v>
      </c>
      <c r="U24" s="773">
        <f>H24</f>
        <v>100</v>
      </c>
      <c r="V24" s="772" t="s">
        <v>17</v>
      </c>
      <c r="W24" s="773">
        <f>J24</f>
        <v>100</v>
      </c>
      <c r="X24" s="1809"/>
      <c r="Y24" s="3284"/>
      <c r="Z24" s="1810">
        <f>Q24</f>
        <v>111</v>
      </c>
      <c r="AA24" s="1807">
        <f t="shared" si="3"/>
        <v>1</v>
      </c>
      <c r="AB24" s="1807">
        <f t="shared" si="4"/>
        <v>1</v>
      </c>
      <c r="AC24" s="1807">
        <f t="shared" si="5"/>
        <v>1</v>
      </c>
    </row>
    <row r="25" spans="1:29" s="116" customFormat="1" ht="15.75" thickBot="1">
      <c r="A25" s="430"/>
      <c r="B25" s="2592">
        <v>111</v>
      </c>
      <c r="C25" s="2686"/>
      <c r="D25" s="664">
        <v>100</v>
      </c>
      <c r="E25" s="2686"/>
      <c r="F25" s="665">
        <f>SUMIF(75:75,E25,76:76)-SUMIF(75:75,C25,76:76)+100</f>
        <v>100</v>
      </c>
      <c r="G25" s="2686"/>
      <c r="H25" s="664">
        <f>SUMIF(75:75,G25,76:76)-SUMIF(75:75,C25,76:76)+100</f>
        <v>100</v>
      </c>
      <c r="I25" s="2686"/>
      <c r="J25" s="664">
        <f>SUMIF(75:75,I25,76:76)-SUMIF(75:75,C25,76:76)+100</f>
        <v>100</v>
      </c>
      <c r="K25" s="612"/>
      <c r="L25" s="1128"/>
      <c r="M25" s="1129"/>
      <c r="N25" s="1129"/>
      <c r="O25" s="1130"/>
      <c r="P25" s="3284"/>
      <c r="Q25" s="1791">
        <f t="shared" si="11"/>
        <v>111</v>
      </c>
      <c r="R25" s="768" t="s">
        <v>17</v>
      </c>
      <c r="S25" s="769">
        <f>F25</f>
        <v>100</v>
      </c>
      <c r="T25" s="768" t="s">
        <v>17</v>
      </c>
      <c r="U25" s="769">
        <f>H25</f>
        <v>100</v>
      </c>
      <c r="V25" s="768" t="s">
        <v>17</v>
      </c>
      <c r="W25" s="769">
        <f>J25</f>
        <v>100</v>
      </c>
      <c r="X25" s="770"/>
      <c r="Y25" s="3284"/>
      <c r="Z25" s="55">
        <f>Q25</f>
        <v>111</v>
      </c>
      <c r="AA25" s="1807">
        <f>D25/F25</f>
        <v>1</v>
      </c>
      <c r="AB25" s="1807">
        <f>D25/H25</f>
        <v>1</v>
      </c>
      <c r="AC25" s="1807">
        <f>D25/J25</f>
        <v>1</v>
      </c>
    </row>
    <row r="26" spans="1:29" ht="15">
      <c r="A26" s="465" t="s">
        <v>2556</v>
      </c>
      <c r="B26" s="70" t="s">
        <v>2707</v>
      </c>
      <c r="C26" s="2668"/>
      <c r="D26" s="466">
        <v>100</v>
      </c>
      <c r="E26" s="2668"/>
      <c r="F26" s="666">
        <f>SUMIF(77:77,E26,78:78)-SUMIF(77:77,C26,78:78)+100</f>
        <v>100</v>
      </c>
      <c r="G26" s="2668"/>
      <c r="H26" s="466">
        <f>SUMIF(77:77,G26,78:78)-SUMIF(77:77,C26,78:78)+100</f>
        <v>100</v>
      </c>
      <c r="I26" s="2668"/>
      <c r="J26" s="466">
        <f>SUMIF(77:77,I26,78:78)-SUMIF(77:77,C26,78:78)+100</f>
        <v>100</v>
      </c>
      <c r="K26" s="611"/>
      <c r="L26" s="1136"/>
      <c r="M26" s="1127"/>
      <c r="N26" s="1127"/>
      <c r="O26" s="1135"/>
      <c r="P26" s="3344" t="s">
        <v>2558</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288" t="s">
        <v>2558</v>
      </c>
      <c r="Z26" s="1810" t="str">
        <f t="shared" ref="Z26:Z34" si="15">Q26</f>
        <v>公共部分装修</v>
      </c>
      <c r="AA26" s="1807">
        <f t="shared" si="3"/>
        <v>1</v>
      </c>
      <c r="AB26" s="1807">
        <f t="shared" si="4"/>
        <v>1</v>
      </c>
      <c r="AC26" s="1807">
        <f t="shared" si="5"/>
        <v>1</v>
      </c>
    </row>
    <row r="27" spans="1:29" s="470" customFormat="1" ht="15">
      <c r="A27" s="467"/>
      <c r="B27" s="421" t="s">
        <v>2708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88"/>
      <c r="Q27" s="774" t="str">
        <f t="shared" si="11"/>
        <v>成新率</v>
      </c>
      <c r="R27" s="775" t="s">
        <v>17</v>
      </c>
      <c r="S27" s="776" t="e">
        <f t="shared" si="12"/>
        <v>#N/A</v>
      </c>
      <c r="T27" s="775" t="s">
        <v>17</v>
      </c>
      <c r="U27" s="776" t="e">
        <f t="shared" si="13"/>
        <v>#N/A</v>
      </c>
      <c r="V27" s="775" t="s">
        <v>17</v>
      </c>
      <c r="W27" s="776" t="e">
        <f t="shared" si="14"/>
        <v>#N/A</v>
      </c>
      <c r="X27" s="777"/>
      <c r="Y27" s="3288"/>
      <c r="Z27" s="778" t="str">
        <f t="shared" si="15"/>
        <v>成新率</v>
      </c>
      <c r="AA27" s="1807" t="e">
        <f t="shared" si="3"/>
        <v>#N/A</v>
      </c>
      <c r="AB27" s="1807" t="e">
        <f t="shared" si="4"/>
        <v>#N/A</v>
      </c>
      <c r="AC27" s="1807"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88"/>
      <c r="Q28" s="1806" t="str">
        <f t="shared" si="11"/>
        <v>物业等级</v>
      </c>
      <c r="R28" s="772" t="s">
        <v>17</v>
      </c>
      <c r="S28" s="773">
        <f t="shared" si="12"/>
        <v>100</v>
      </c>
      <c r="T28" s="772" t="s">
        <v>17</v>
      </c>
      <c r="U28" s="773">
        <f t="shared" si="13"/>
        <v>100</v>
      </c>
      <c r="V28" s="772" t="s">
        <v>17</v>
      </c>
      <c r="W28" s="773">
        <f t="shared" si="14"/>
        <v>100</v>
      </c>
      <c r="X28" s="1809"/>
      <c r="Y28" s="3288"/>
      <c r="Z28" s="1810" t="str">
        <f t="shared" si="15"/>
        <v>物业等级</v>
      </c>
      <c r="AA28" s="1807">
        <f t="shared" si="3"/>
        <v>1</v>
      </c>
      <c r="AB28" s="1807">
        <f t="shared" si="4"/>
        <v>1</v>
      </c>
      <c r="AC28" s="1807">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88"/>
      <c r="Q29" s="1806" t="str">
        <f t="shared" si="11"/>
        <v>有无电梯</v>
      </c>
      <c r="R29" s="772" t="s">
        <v>17</v>
      </c>
      <c r="S29" s="773">
        <f t="shared" si="12"/>
        <v>100</v>
      </c>
      <c r="T29" s="772" t="s">
        <v>17</v>
      </c>
      <c r="U29" s="773">
        <f t="shared" si="13"/>
        <v>100</v>
      </c>
      <c r="V29" s="772" t="s">
        <v>17</v>
      </c>
      <c r="W29" s="773">
        <f t="shared" si="14"/>
        <v>100</v>
      </c>
      <c r="X29" s="1809"/>
      <c r="Y29" s="3288"/>
      <c r="Z29" s="1810" t="str">
        <f t="shared" si="15"/>
        <v>有无电梯</v>
      </c>
      <c r="AA29" s="1807">
        <f t="shared" si="3"/>
        <v>1</v>
      </c>
      <c r="AB29" s="1807">
        <f t="shared" si="4"/>
        <v>1</v>
      </c>
      <c r="AC29" s="1807">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88"/>
      <c r="Q30" s="1806" t="str">
        <f t="shared" si="11"/>
        <v>建筑面积</v>
      </c>
      <c r="R30" s="772" t="s">
        <v>17</v>
      </c>
      <c r="S30" s="773" t="e">
        <f t="shared" si="12"/>
        <v>#N/A</v>
      </c>
      <c r="T30" s="772" t="s">
        <v>17</v>
      </c>
      <c r="U30" s="773" t="e">
        <f t="shared" si="13"/>
        <v>#N/A</v>
      </c>
      <c r="V30" s="772" t="s">
        <v>17</v>
      </c>
      <c r="W30" s="773" t="e">
        <f t="shared" si="14"/>
        <v>#N/A</v>
      </c>
      <c r="X30" s="1809"/>
      <c r="Y30" s="3288"/>
      <c r="Z30" s="1810" t="str">
        <f t="shared" si="15"/>
        <v>建筑面积</v>
      </c>
      <c r="AA30" s="1807" t="e">
        <f t="shared" si="3"/>
        <v>#N/A</v>
      </c>
      <c r="AB30" s="1807" t="e">
        <f t="shared" si="4"/>
        <v>#N/A</v>
      </c>
      <c r="AC30" s="1807" t="e">
        <f t="shared" si="5"/>
        <v>#N/A</v>
      </c>
    </row>
    <row r="31" spans="1:29" s="116" customFormat="1" ht="15">
      <c r="A31" s="472"/>
      <c r="B31" s="421" t="s">
        <v>2732</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88"/>
      <c r="Q31" s="1791" t="str">
        <f t="shared" si="11"/>
        <v>是否封闭</v>
      </c>
      <c r="R31" s="768" t="s">
        <v>17</v>
      </c>
      <c r="S31" s="769">
        <f t="shared" si="12"/>
        <v>100</v>
      </c>
      <c r="T31" s="768" t="s">
        <v>17</v>
      </c>
      <c r="U31" s="769">
        <f t="shared" si="13"/>
        <v>100</v>
      </c>
      <c r="V31" s="768" t="s">
        <v>17</v>
      </c>
      <c r="W31" s="769">
        <f t="shared" si="14"/>
        <v>100</v>
      </c>
      <c r="X31" s="770"/>
      <c r="Y31" s="3288"/>
      <c r="Z31" s="55" t="str">
        <f t="shared" si="15"/>
        <v>是否封闭</v>
      </c>
      <c r="AA31" s="771">
        <f t="shared" si="3"/>
        <v>1</v>
      </c>
      <c r="AB31" s="771">
        <f t="shared" si="4"/>
        <v>1</v>
      </c>
      <c r="AC31" s="771">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88" t="s">
        <v>2558</v>
      </c>
      <c r="Q32" s="1806">
        <f t="shared" si="11"/>
        <v>111</v>
      </c>
      <c r="R32" s="772" t="s">
        <v>17</v>
      </c>
      <c r="S32" s="773">
        <f t="shared" si="12"/>
        <v>100</v>
      </c>
      <c r="T32" s="772" t="s">
        <v>17</v>
      </c>
      <c r="U32" s="773">
        <f t="shared" si="13"/>
        <v>100</v>
      </c>
      <c r="V32" s="772" t="s">
        <v>17</v>
      </c>
      <c r="W32" s="773">
        <f t="shared" si="14"/>
        <v>100</v>
      </c>
      <c r="X32" s="1809"/>
      <c r="Y32" s="3288" t="s">
        <v>2558</v>
      </c>
      <c r="Z32" s="1810">
        <f t="shared" si="15"/>
        <v>111</v>
      </c>
      <c r="AA32" s="1807">
        <f t="shared" si="3"/>
        <v>1</v>
      </c>
      <c r="AB32" s="1807">
        <f t="shared" si="4"/>
        <v>1</v>
      </c>
      <c r="AC32" s="1807">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88"/>
      <c r="Q33" s="1806">
        <f t="shared" si="11"/>
        <v>111</v>
      </c>
      <c r="R33" s="772" t="s">
        <v>17</v>
      </c>
      <c r="S33" s="773">
        <f t="shared" si="12"/>
        <v>100</v>
      </c>
      <c r="T33" s="772" t="s">
        <v>17</v>
      </c>
      <c r="U33" s="773">
        <f t="shared" si="13"/>
        <v>100</v>
      </c>
      <c r="V33" s="772" t="s">
        <v>17</v>
      </c>
      <c r="W33" s="773">
        <f t="shared" si="14"/>
        <v>100</v>
      </c>
      <c r="X33" s="1809"/>
      <c r="Y33" s="3288"/>
      <c r="Z33" s="1810">
        <f t="shared" si="15"/>
        <v>111</v>
      </c>
      <c r="AA33" s="1807">
        <f t="shared" si="3"/>
        <v>1</v>
      </c>
      <c r="AB33" s="1807">
        <f t="shared" si="4"/>
        <v>1</v>
      </c>
      <c r="AC33" s="1807">
        <f t="shared" si="5"/>
        <v>1</v>
      </c>
    </row>
    <row r="34" spans="1:29" ht="15.75" thickBot="1">
      <c r="A34" s="477"/>
      <c r="B34" s="2594">
        <v>111</v>
      </c>
      <c r="C34" s="436"/>
      <c r="D34" s="437">
        <v>100</v>
      </c>
      <c r="E34" s="2685"/>
      <c r="F34" s="438">
        <f>SUMIF(95:95,E34,96:96)-SUMIF(95:95,C34,96:96)+100</f>
        <v>100</v>
      </c>
      <c r="G34" s="2685"/>
      <c r="H34" s="437">
        <f>SUMIF(95:95,G34,96:96)-SUMIF(95:95,C34,96:96)+100</f>
        <v>100</v>
      </c>
      <c r="I34" s="2685"/>
      <c r="J34" s="437">
        <f>SUMIF(95:95,I34,96:96)-SUMIF(95:95,C34,96:96)+100</f>
        <v>100</v>
      </c>
      <c r="K34" s="612"/>
      <c r="L34" s="1136"/>
      <c r="M34" s="1127"/>
      <c r="N34" s="1127"/>
      <c r="O34" s="1135"/>
      <c r="P34" s="3288"/>
      <c r="Q34" s="1806">
        <f t="shared" si="11"/>
        <v>111</v>
      </c>
      <c r="R34" s="772" t="s">
        <v>17</v>
      </c>
      <c r="S34" s="773">
        <f t="shared" si="12"/>
        <v>100</v>
      </c>
      <c r="T34" s="772" t="s">
        <v>17</v>
      </c>
      <c r="U34" s="773">
        <f t="shared" si="13"/>
        <v>100</v>
      </c>
      <c r="V34" s="772" t="s">
        <v>17</v>
      </c>
      <c r="W34" s="773">
        <f t="shared" si="14"/>
        <v>100</v>
      </c>
      <c r="X34" s="1809"/>
      <c r="Y34" s="3288"/>
      <c r="Z34" s="1810">
        <f t="shared" si="15"/>
        <v>111</v>
      </c>
      <c r="AA34" s="1807">
        <f t="shared" si="3"/>
        <v>1</v>
      </c>
      <c r="AB34" s="1807">
        <f t="shared" si="4"/>
        <v>1</v>
      </c>
      <c r="AC34" s="1807">
        <f t="shared" si="5"/>
        <v>1</v>
      </c>
    </row>
    <row r="35" spans="1:29" ht="15">
      <c r="A35" s="478" t="s">
        <v>2570</v>
      </c>
      <c r="B35" s="479"/>
      <c r="C35" s="1403" t="s">
        <v>1</v>
      </c>
      <c r="D35" s="1404"/>
      <c r="E35" s="1405"/>
      <c r="F35" s="1406"/>
      <c r="G35" s="1407"/>
      <c r="H35" s="1408"/>
      <c r="I35" s="1405"/>
      <c r="J35" s="1408"/>
      <c r="K35" s="781"/>
      <c r="L35" s="1139"/>
      <c r="M35" s="1140"/>
      <c r="N35" s="1127"/>
      <c r="O35" s="1140"/>
      <c r="P35" s="3290" t="str">
        <f>A35</f>
        <v>成交单价（元/平方米）</v>
      </c>
      <c r="Q35" s="3290"/>
      <c r="R35" s="3291">
        <f>E35</f>
        <v>0</v>
      </c>
      <c r="S35" s="3291"/>
      <c r="T35" s="3291">
        <f>G35</f>
        <v>0</v>
      </c>
      <c r="U35" s="3291"/>
      <c r="V35" s="3291">
        <f>I35</f>
        <v>0</v>
      </c>
      <c r="W35" s="3291"/>
      <c r="X35" s="757"/>
      <c r="Y35" s="779"/>
      <c r="Z35" s="757"/>
      <c r="AA35" s="757"/>
      <c r="AB35" s="757"/>
      <c r="AC35" s="757"/>
    </row>
    <row r="36" spans="1:29" ht="15.75" thickBot="1">
      <c r="A36" s="485" t="s">
        <v>2662</v>
      </c>
      <c r="B36" s="486"/>
      <c r="C36" s="1409" t="e">
        <f>R37</f>
        <v>#DIV/0!</v>
      </c>
      <c r="D36" s="1410"/>
      <c r="E36" s="1411" t="e">
        <f>R36</f>
        <v>#DIV/0!</v>
      </c>
      <c r="F36" s="1411"/>
      <c r="G36" s="1409" t="e">
        <f>T36</f>
        <v>#DIV/0!</v>
      </c>
      <c r="H36" s="1410"/>
      <c r="I36" s="1411" t="e">
        <f>V36</f>
        <v>#DIV/0!</v>
      </c>
      <c r="J36" s="1410"/>
      <c r="K36" s="782"/>
      <c r="L36" s="1139"/>
      <c r="M36" s="1140"/>
      <c r="N36" s="1127"/>
      <c r="O36" s="1140"/>
      <c r="P36" s="3290" t="str">
        <f>A36</f>
        <v>比较价值（元/平方米）</v>
      </c>
      <c r="Q36" s="3290"/>
      <c r="R36" s="3291" t="e">
        <f>IF(F1="售价",ROUND(PRODUCT(R35,AA7:AA34),0),ROUND(PRODUCT(R35,AA7:AA34),1))</f>
        <v>#DIV/0!</v>
      </c>
      <c r="S36" s="3291"/>
      <c r="T36" s="3291" t="e">
        <f>IF(F1="售价",ROUND(PRODUCT(T35,AB7:AB34),0),ROUND(PRODUCT(T35,AB7:AB34),1))</f>
        <v>#DIV/0!</v>
      </c>
      <c r="U36" s="3291"/>
      <c r="V36" s="3291" t="e">
        <f>IF(F1="售价",ROUND(PRODUCT(V35,AC7:AC34),0),ROUND(PRODUCT(V35,AC7:AC34),1))</f>
        <v>#DIV/0!</v>
      </c>
      <c r="W36" s="3291"/>
      <c r="X36" s="757"/>
      <c r="Y36" s="757"/>
      <c r="Z36" s="757"/>
      <c r="AA36" s="757"/>
      <c r="AB36" s="757"/>
      <c r="AC36" s="757"/>
    </row>
    <row r="37" spans="1:29" ht="15.75" thickBot="1">
      <c r="A37" s="491" t="s">
        <v>2663</v>
      </c>
      <c r="B37" s="492"/>
      <c r="C37" s="1413" t="e">
        <f>R37</f>
        <v>#DIV/0!</v>
      </c>
      <c r="D37" s="1413"/>
      <c r="E37" s="1413"/>
      <c r="F37" s="1413"/>
      <c r="G37" s="1413"/>
      <c r="H37" s="1413"/>
      <c r="I37" s="1413"/>
      <c r="J37" s="1413"/>
      <c r="K37" s="783"/>
      <c r="L37" s="1139"/>
      <c r="M37" s="1140"/>
      <c r="N37" s="1140"/>
      <c r="O37" s="1140"/>
      <c r="P37" s="3341" t="str">
        <f>A37</f>
        <v>估价对象XX用房的比较价值（楼面单价，元/平方米）</v>
      </c>
      <c r="Q37" s="3342"/>
      <c r="R37" s="3343" t="e">
        <f>IF(F1="售价",ROUND(AVERAGE(R36:V36),0),ROUND(AVERAGE(R36:V36),1))</f>
        <v>#DIV/0!</v>
      </c>
      <c r="S37" s="3343"/>
      <c r="T37" s="3343"/>
      <c r="U37" s="3343"/>
      <c r="V37" s="3343"/>
      <c r="W37" s="3343"/>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2667</v>
      </c>
      <c r="B45" s="757"/>
      <c r="C45" s="762"/>
      <c r="D45" s="762"/>
      <c r="E45" s="762"/>
      <c r="F45" s="763"/>
      <c r="G45" s="763"/>
      <c r="H45" s="762"/>
      <c r="I45" s="762"/>
      <c r="J45" s="762"/>
      <c r="K45" s="764"/>
      <c r="L45" s="765"/>
      <c r="M45" s="762"/>
      <c r="N45" s="762"/>
      <c r="O45" s="762"/>
      <c r="P45" s="502"/>
      <c r="Q45" s="503"/>
    </row>
    <row r="46" spans="1:29" s="507" customFormat="1" ht="15">
      <c r="A46" s="504" t="s">
        <v>2541</v>
      </c>
      <c r="B46" s="505"/>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2578</v>
      </c>
      <c r="B48" s="515"/>
      <c r="C48" s="516"/>
      <c r="D48" s="517"/>
      <c r="E48" s="517"/>
      <c r="F48" s="517"/>
      <c r="G48" s="517"/>
      <c r="H48" s="517"/>
      <c r="I48" s="517"/>
      <c r="J48" s="517"/>
      <c r="K48" s="517"/>
      <c r="L48" s="517"/>
      <c r="M48" s="518"/>
      <c r="N48" s="517"/>
      <c r="O48" s="519"/>
      <c r="P48" s="503"/>
      <c r="Q48" s="503"/>
    </row>
    <row r="49" spans="1:17" s="116" customFormat="1" ht="15">
      <c r="A49" s="520" t="s">
        <v>2543</v>
      </c>
      <c r="B49" s="509"/>
      <c r="C49" s="521" t="s">
        <v>2645</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2581</v>
      </c>
      <c r="B51" s="527" t="s">
        <v>2547</v>
      </c>
      <c r="C51" s="528">
        <f>C9</f>
        <v>0</v>
      </c>
      <c r="D51" s="529"/>
      <c r="E51" s="529"/>
      <c r="F51" s="529"/>
      <c r="G51" s="529"/>
      <c r="H51" s="529"/>
      <c r="I51" s="529"/>
      <c r="J51" s="529"/>
      <c r="K51" s="530"/>
      <c r="L51" s="531"/>
      <c r="M51" s="532"/>
      <c r="N51" s="1148"/>
      <c r="O51" s="1148"/>
      <c r="P51" s="45"/>
      <c r="Q51" s="503"/>
    </row>
    <row r="52" spans="1:17" ht="15.75" thickBot="1">
      <c r="A52" s="533"/>
      <c r="B52" s="534"/>
      <c r="C52" s="535">
        <v>100</v>
      </c>
      <c r="D52" s="535"/>
      <c r="E52" s="535"/>
      <c r="F52" s="535"/>
      <c r="G52" s="535"/>
      <c r="H52" s="535"/>
      <c r="I52" s="535"/>
      <c r="J52" s="535"/>
      <c r="K52" s="535"/>
      <c r="L52" s="535"/>
      <c r="M52" s="536"/>
      <c r="N52" s="1149"/>
      <c r="O52" s="1149"/>
      <c r="P52" s="45"/>
      <c r="Q52" s="503"/>
    </row>
    <row r="53" spans="1:17" ht="27.75" thickTop="1">
      <c r="A53" s="533"/>
      <c r="B53" s="537" t="s">
        <v>2550</v>
      </c>
      <c r="C53" s="538" t="s">
        <v>2582</v>
      </c>
      <c r="D53" s="538" t="s">
        <v>2583</v>
      </c>
      <c r="E53" s="538" t="s">
        <v>2584</v>
      </c>
      <c r="F53" s="538" t="s">
        <v>2585</v>
      </c>
      <c r="G53" s="538" t="s">
        <v>2586</v>
      </c>
      <c r="H53" s="538" t="s">
        <v>2587</v>
      </c>
      <c r="I53" s="538" t="s">
        <v>2588</v>
      </c>
      <c r="J53" s="538"/>
      <c r="K53" s="539"/>
      <c r="L53" s="540"/>
      <c r="M53" s="541"/>
      <c r="N53" s="1148"/>
      <c r="O53" s="1148"/>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5.75" thickTop="1">
      <c r="A55" s="533"/>
      <c r="B55" s="659">
        <f>B11</f>
        <v>111</v>
      </c>
      <c r="C55" s="548"/>
      <c r="D55" s="548"/>
      <c r="E55" s="548"/>
      <c r="F55" s="548"/>
      <c r="G55" s="548"/>
      <c r="H55" s="548"/>
      <c r="I55" s="548"/>
      <c r="J55" s="548"/>
      <c r="K55" s="549"/>
      <c r="L55" s="550"/>
      <c r="M55" s="551"/>
      <c r="N55" s="1148"/>
      <c r="O55" s="1148"/>
      <c r="P55" s="45"/>
      <c r="Q55" s="503"/>
    </row>
    <row r="56" spans="1:17" ht="15.75" thickBot="1">
      <c r="A56" s="533"/>
      <c r="B56" s="534"/>
      <c r="C56" s="559"/>
      <c r="D56" s="535"/>
      <c r="E56" s="535"/>
      <c r="F56" s="535"/>
      <c r="G56" s="535"/>
      <c r="H56" s="535"/>
      <c r="I56" s="535"/>
      <c r="J56" s="535"/>
      <c r="K56" s="535"/>
      <c r="L56" s="535"/>
      <c r="M56" s="536"/>
      <c r="N56" s="1149"/>
      <c r="O56" s="1149"/>
      <c r="P56" s="45"/>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7.75" thickTop="1">
      <c r="A63" s="533"/>
      <c r="B63" s="537" t="s">
        <v>2733</v>
      </c>
      <c r="C63" s="577" t="s">
        <v>2590</v>
      </c>
      <c r="D63" s="577" t="s">
        <v>2591</v>
      </c>
      <c r="E63" s="577" t="s">
        <v>2592</v>
      </c>
      <c r="F63" s="577" t="s">
        <v>2593</v>
      </c>
      <c r="G63" s="577" t="s">
        <v>2594</v>
      </c>
      <c r="H63" s="538"/>
      <c r="I63" s="538"/>
      <c r="J63" s="538"/>
      <c r="K63" s="539"/>
      <c r="L63" s="540"/>
      <c r="M63" s="541"/>
      <c r="N63" s="1148"/>
      <c r="O63" s="1148"/>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75" thickTop="1">
      <c r="A65" s="533"/>
      <c r="B65" s="545" t="s">
        <v>2682</v>
      </c>
      <c r="C65" s="659" t="s">
        <v>2668</v>
      </c>
      <c r="D65" s="659" t="s">
        <v>2669</v>
      </c>
      <c r="E65" s="659" t="s">
        <v>2670</v>
      </c>
      <c r="F65" s="659" t="s">
        <v>2671</v>
      </c>
      <c r="G65" s="659" t="s">
        <v>2672</v>
      </c>
      <c r="H65" s="538"/>
      <c r="I65" s="538"/>
      <c r="J65" s="538"/>
      <c r="K65" s="538"/>
      <c r="L65" s="538"/>
      <c r="M65" s="1378"/>
      <c r="N65" s="1149"/>
      <c r="O65" s="1149"/>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75" thickTop="1">
      <c r="A67" s="533"/>
      <c r="B67" s="537" t="s">
        <v>2602</v>
      </c>
      <c r="C67" s="577" t="s">
        <v>2590</v>
      </c>
      <c r="D67" s="577" t="s">
        <v>2591</v>
      </c>
      <c r="E67" s="577" t="s">
        <v>2592</v>
      </c>
      <c r="F67" s="577" t="s">
        <v>2593</v>
      </c>
      <c r="G67" s="577" t="s">
        <v>2594</v>
      </c>
      <c r="H67" s="538"/>
      <c r="I67" s="538"/>
      <c r="J67" s="538"/>
      <c r="K67" s="539"/>
      <c r="L67" s="540"/>
      <c r="M67" s="541"/>
      <c r="N67" s="1148"/>
      <c r="O67" s="1148"/>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75" thickTop="1">
      <c r="A69" s="533"/>
      <c r="B69" s="537" t="s">
        <v>2722</v>
      </c>
      <c r="C69" s="553"/>
      <c r="D69" s="553"/>
      <c r="E69" s="553"/>
      <c r="F69" s="553"/>
      <c r="G69" s="553"/>
      <c r="H69" s="582"/>
      <c r="I69" s="582"/>
      <c r="J69" s="582"/>
      <c r="K69" s="583"/>
      <c r="L69" s="584"/>
      <c r="M69" s="585"/>
      <c r="N69" s="1148"/>
      <c r="O69" s="1148"/>
      <c r="P69" s="45"/>
      <c r="Q69" s="503"/>
    </row>
    <row r="70" spans="1:17" ht="15.75" thickBot="1">
      <c r="A70" s="533"/>
      <c r="B70" s="542"/>
      <c r="C70" s="543">
        <v>100</v>
      </c>
      <c r="D70" s="543">
        <f>C70-$K22</f>
        <v>100</v>
      </c>
      <c r="E70" s="543"/>
      <c r="F70" s="543"/>
      <c r="G70" s="543"/>
      <c r="H70" s="543"/>
      <c r="I70" s="543"/>
      <c r="J70" s="543"/>
      <c r="K70" s="543"/>
      <c r="L70" s="543"/>
      <c r="M70" s="544"/>
      <c r="N70" s="1149"/>
      <c r="O70" s="1149"/>
      <c r="P70" s="45"/>
      <c r="Q70" s="503"/>
    </row>
    <row r="71" spans="1:17" s="116" customFormat="1" ht="15.75" thickTop="1">
      <c r="A71" s="578"/>
      <c r="B71" s="537">
        <f>B23</f>
        <v>111</v>
      </c>
      <c r="C71" s="548"/>
      <c r="D71" s="548"/>
      <c r="E71" s="548"/>
      <c r="F71" s="548"/>
      <c r="G71" s="553"/>
      <c r="H71" s="553"/>
      <c r="I71" s="553"/>
      <c r="J71" s="553"/>
      <c r="K71" s="553"/>
      <c r="L71" s="579"/>
      <c r="M71" s="580"/>
      <c r="N71" s="1147"/>
      <c r="O71" s="1147"/>
      <c r="P71" s="45"/>
      <c r="Q71" s="503"/>
    </row>
    <row r="72" spans="1:17" s="116" customFormat="1" ht="15.75" thickBot="1">
      <c r="A72" s="578"/>
      <c r="B72" s="542"/>
      <c r="C72" s="559"/>
      <c r="D72" s="535"/>
      <c r="E72" s="535"/>
      <c r="F72" s="535"/>
      <c r="G72" s="535"/>
      <c r="H72" s="535"/>
      <c r="I72" s="535"/>
      <c r="J72" s="535"/>
      <c r="K72" s="535"/>
      <c r="L72" s="535"/>
      <c r="M72" s="536"/>
      <c r="N72" s="1149"/>
      <c r="O72" s="1149"/>
      <c r="P72" s="45"/>
      <c r="Q72" s="503"/>
    </row>
    <row r="73" spans="1:17" s="116" customFormat="1" ht="15.75" thickTop="1">
      <c r="A73" s="578"/>
      <c r="B73" s="537">
        <f>B24</f>
        <v>111</v>
      </c>
      <c r="C73" s="548"/>
      <c r="D73" s="548"/>
      <c r="E73" s="548"/>
      <c r="F73" s="548"/>
      <c r="G73" s="553"/>
      <c r="H73" s="553"/>
      <c r="I73" s="553"/>
      <c r="J73" s="553"/>
      <c r="K73" s="553"/>
      <c r="L73" s="553"/>
      <c r="M73" s="580"/>
      <c r="N73" s="1147"/>
      <c r="O73" s="1147"/>
      <c r="P73" s="45"/>
      <c r="Q73" s="503"/>
    </row>
    <row r="74" spans="1:17" s="116" customFormat="1" ht="15.75" thickBot="1">
      <c r="A74" s="578"/>
      <c r="B74" s="542"/>
      <c r="C74" s="559"/>
      <c r="D74" s="535"/>
      <c r="E74" s="535"/>
      <c r="F74" s="535"/>
      <c r="G74" s="535"/>
      <c r="H74" s="535"/>
      <c r="I74" s="535"/>
      <c r="J74" s="535"/>
      <c r="K74" s="535"/>
      <c r="L74" s="535"/>
      <c r="M74" s="536"/>
      <c r="N74" s="1149"/>
      <c r="O74" s="1149"/>
      <c r="P74" s="45"/>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2556</v>
      </c>
      <c r="B77" s="527" t="s">
        <v>2609</v>
      </c>
      <c r="C77" s="553"/>
      <c r="D77" s="553"/>
      <c r="E77" s="529"/>
      <c r="F77" s="529"/>
      <c r="G77" s="529"/>
      <c r="H77" s="529"/>
      <c r="I77" s="529"/>
      <c r="J77" s="529"/>
      <c r="K77" s="530"/>
      <c r="L77" s="531"/>
      <c r="M77" s="532"/>
      <c r="N77" s="1148"/>
      <c r="O77" s="1148"/>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7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ht="15">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2726</v>
      </c>
      <c r="C82" s="553"/>
      <c r="D82" s="553"/>
      <c r="E82" s="582"/>
      <c r="F82" s="582"/>
      <c r="G82" s="582"/>
      <c r="H82" s="582"/>
      <c r="I82" s="582"/>
      <c r="J82" s="582"/>
      <c r="K82" s="583"/>
      <c r="L82" s="584"/>
      <c r="M82" s="585"/>
      <c r="N82" s="1148"/>
      <c r="O82" s="1148"/>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2734</v>
      </c>
      <c r="C84" s="553"/>
      <c r="D84" s="553"/>
      <c r="E84" s="553"/>
      <c r="F84" s="553"/>
      <c r="G84" s="553"/>
      <c r="H84" s="553"/>
      <c r="I84" s="582"/>
      <c r="J84" s="582"/>
      <c r="K84" s="583"/>
      <c r="L84" s="584"/>
      <c r="M84" s="585"/>
      <c r="N84" s="1148"/>
      <c r="O84" s="1148"/>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5.75"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2736</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5"/>
      <c r="Q91" s="503"/>
    </row>
    <row r="92" spans="1:17" ht="15.75" thickBot="1">
      <c r="A92" s="533"/>
      <c r="B92" s="542"/>
      <c r="C92" s="559"/>
      <c r="D92" s="535"/>
      <c r="E92" s="535"/>
      <c r="F92" s="535"/>
      <c r="G92" s="559"/>
      <c r="H92" s="561"/>
      <c r="I92" s="561"/>
      <c r="J92" s="561"/>
      <c r="K92" s="561"/>
      <c r="L92" s="561"/>
      <c r="M92" s="562"/>
      <c r="N92" s="1149"/>
      <c r="O92" s="1149"/>
      <c r="P92" s="45"/>
      <c r="Q92" s="503"/>
    </row>
    <row r="93" spans="1:17" ht="15" thickTop="1">
      <c r="A93" s="598"/>
      <c r="B93" s="537">
        <f>B33</f>
        <v>111</v>
      </c>
      <c r="C93" s="548"/>
      <c r="D93" s="548"/>
      <c r="E93" s="548"/>
      <c r="F93" s="548"/>
      <c r="G93" s="553"/>
      <c r="H93" s="554"/>
      <c r="I93" s="554"/>
      <c r="J93" s="554"/>
      <c r="K93" s="554"/>
      <c r="L93" s="555"/>
      <c r="M93" s="556"/>
      <c r="N93" s="1148"/>
      <c r="O93" s="1148"/>
      <c r="P93" s="45"/>
      <c r="Q93" s="503"/>
    </row>
    <row r="94" spans="1:17" ht="15.75" thickBot="1">
      <c r="A94" s="533"/>
      <c r="B94" s="542"/>
      <c r="C94" s="559"/>
      <c r="D94" s="535"/>
      <c r="E94" s="535"/>
      <c r="F94" s="535"/>
      <c r="G94" s="559"/>
      <c r="H94" s="561"/>
      <c r="I94" s="561"/>
      <c r="J94" s="561"/>
      <c r="K94" s="561"/>
      <c r="L94" s="561"/>
      <c r="M94" s="562"/>
      <c r="N94" s="1149"/>
      <c r="O94" s="1149"/>
      <c r="P94" s="45"/>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5"/>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2737</v>
      </c>
      <c r="B1" s="394"/>
      <c r="C1" s="395" t="s">
        <v>2738</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2320</v>
      </c>
      <c r="B2" s="670" t="e">
        <f>F66</f>
        <v>#DIV/0!</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6"/>
    </row>
    <row r="3" spans="1:30" s="397" customFormat="1" ht="28.5" customHeight="1" thickBot="1">
      <c r="A3" s="246" t="s">
        <v>2322</v>
      </c>
      <c r="B3" s="608" t="e">
        <f>ROUND(IF(D3="",B2*10000/'数据-汇总表'!E3,B2*10000/D3),0)</f>
        <v>#DIV/0!</v>
      </c>
      <c r="C3" s="246" t="s">
        <v>2739</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400" t="s">
        <v>2638</v>
      </c>
      <c r="B4" s="401"/>
      <c r="C4" s="3265" t="s">
        <v>2639</v>
      </c>
      <c r="D4" s="3266"/>
      <c r="E4" s="3267" t="s">
        <v>2640</v>
      </c>
      <c r="F4" s="3268"/>
      <c r="G4" s="3265" t="s">
        <v>2641</v>
      </c>
      <c r="H4" s="3266"/>
      <c r="I4" s="3265" t="s">
        <v>2642</v>
      </c>
      <c r="J4" s="3266"/>
      <c r="K4" s="609" t="s">
        <v>2643</v>
      </c>
      <c r="L4" s="1126"/>
      <c r="M4" s="1127"/>
      <c r="N4" s="1127"/>
      <c r="O4" s="1127"/>
      <c r="P4" s="3337" t="s">
        <v>2644</v>
      </c>
      <c r="Q4" s="3338"/>
      <c r="R4" s="3327" t="s">
        <v>2640</v>
      </c>
      <c r="S4" s="3328"/>
      <c r="T4" s="3327" t="s">
        <v>2641</v>
      </c>
      <c r="U4" s="3328"/>
      <c r="V4" s="3278" t="s">
        <v>2642</v>
      </c>
      <c r="W4" s="3278"/>
      <c r="X4" s="1809"/>
      <c r="Y4" s="3327" t="s">
        <v>2644</v>
      </c>
      <c r="Z4" s="3328"/>
      <c r="AA4" s="3326" t="s">
        <v>2640</v>
      </c>
      <c r="AB4" s="3245" t="s">
        <v>2641</v>
      </c>
      <c r="AC4" s="3326" t="s">
        <v>2642</v>
      </c>
    </row>
    <row r="5" spans="1:30" ht="15">
      <c r="A5" s="403"/>
      <c r="B5" s="404"/>
      <c r="C5" s="3331" t="s">
        <v>2535</v>
      </c>
      <c r="D5" s="3332"/>
      <c r="E5" s="3329" t="s">
        <v>2536</v>
      </c>
      <c r="F5" s="3330"/>
      <c r="G5" s="3331" t="s">
        <v>2537</v>
      </c>
      <c r="H5" s="3332"/>
      <c r="I5" s="3331" t="s">
        <v>2538</v>
      </c>
      <c r="J5" s="3332"/>
      <c r="K5" s="609"/>
      <c r="L5" s="1126"/>
      <c r="M5" s="1127"/>
      <c r="N5" s="1127"/>
      <c r="O5" s="1127"/>
      <c r="P5" s="3339"/>
      <c r="Q5" s="3272"/>
      <c r="R5" s="3251"/>
      <c r="S5" s="3252"/>
      <c r="T5" s="3251"/>
      <c r="U5" s="3252"/>
      <c r="V5" s="3278"/>
      <c r="W5" s="3278"/>
      <c r="X5" s="1809"/>
      <c r="Y5" s="3251"/>
      <c r="Z5" s="3252"/>
      <c r="AA5" s="3245"/>
      <c r="AB5" s="3245"/>
      <c r="AC5" s="3245"/>
    </row>
    <row r="6" spans="1:30" ht="15.75" thickBot="1">
      <c r="A6" s="405"/>
      <c r="B6" s="406"/>
      <c r="C6" s="3333" t="s">
        <v>2539</v>
      </c>
      <c r="D6" s="3334"/>
      <c r="E6" s="3335" t="s">
        <v>2539</v>
      </c>
      <c r="F6" s="3336"/>
      <c r="G6" s="3333" t="s">
        <v>2539</v>
      </c>
      <c r="H6" s="3334"/>
      <c r="I6" s="3333" t="s">
        <v>2539</v>
      </c>
      <c r="J6" s="3334"/>
      <c r="K6" s="609" t="s">
        <v>2540</v>
      </c>
      <c r="L6" s="1126"/>
      <c r="M6" s="1127"/>
      <c r="N6" s="1127"/>
      <c r="O6" s="1127"/>
      <c r="P6" s="3340"/>
      <c r="Q6" s="3274"/>
      <c r="R6" s="3251"/>
      <c r="S6" s="3252"/>
      <c r="T6" s="3275"/>
      <c r="U6" s="3276"/>
      <c r="V6" s="3278"/>
      <c r="W6" s="3278"/>
      <c r="X6" s="1809"/>
      <c r="Y6" s="3275"/>
      <c r="Z6" s="3276"/>
      <c r="AA6" s="3246"/>
      <c r="AB6" s="3246"/>
      <c r="AC6" s="3246"/>
    </row>
    <row r="7" spans="1:30" s="116" customFormat="1" ht="15.75" thickBot="1">
      <c r="A7" s="407" t="s">
        <v>2541</v>
      </c>
      <c r="B7" s="408"/>
      <c r="C7" s="409">
        <f>'数据-取费表'!B2</f>
        <v>43165</v>
      </c>
      <c r="D7" s="410">
        <v>100</v>
      </c>
      <c r="E7" s="411">
        <v>42309</v>
      </c>
      <c r="F7" s="412">
        <f>SUMIF(70:70,YEAR(E7)&amp;"-"&amp;INT((MONTH(E7)+2)/3),71:71)</f>
        <v>0</v>
      </c>
      <c r="G7" s="2684">
        <v>42309</v>
      </c>
      <c r="H7" s="410">
        <f>SUMIF(70:70,YEAR(G7)&amp;"-"&amp;INT((MONTH(G7)+2)/3),71:71)</f>
        <v>0</v>
      </c>
      <c r="I7" s="2684">
        <v>42036</v>
      </c>
      <c r="J7" s="410">
        <f>SUMIF(70:70,YEAR(I7)&amp;"-"&amp;INT((MONTH(I7)+2)/3),71:71)</f>
        <v>0</v>
      </c>
      <c r="K7" s="610"/>
      <c r="L7" s="1128"/>
      <c r="M7" s="1129"/>
      <c r="N7" s="1129"/>
      <c r="O7" s="1129"/>
      <c r="P7" s="3247" t="s">
        <v>2542</v>
      </c>
      <c r="Q7" s="3280"/>
      <c r="R7" s="768" t="s">
        <v>17</v>
      </c>
      <c r="S7" s="769">
        <f t="shared" ref="S7:S15" si="0">F7</f>
        <v>0</v>
      </c>
      <c r="T7" s="768" t="s">
        <v>17</v>
      </c>
      <c r="U7" s="769">
        <f t="shared" ref="U7:U15" si="1">H7</f>
        <v>0</v>
      </c>
      <c r="V7" s="768" t="s">
        <v>17</v>
      </c>
      <c r="W7" s="769">
        <f t="shared" ref="W7:W15" si="2">J7</f>
        <v>0</v>
      </c>
      <c r="X7" s="770"/>
      <c r="Y7" s="3247" t="s">
        <v>2542</v>
      </c>
      <c r="Z7" s="3248"/>
      <c r="AA7" s="771" t="e">
        <f>D7/F7</f>
        <v>#DIV/0!</v>
      </c>
      <c r="AB7" s="771" t="e">
        <f>D7/H7</f>
        <v>#DIV/0!</v>
      </c>
      <c r="AC7" s="771" t="e">
        <f>D7/J7</f>
        <v>#DIV/0!</v>
      </c>
    </row>
    <row r="8" spans="1:30" s="116" customFormat="1" ht="15.75" thickBot="1">
      <c r="A8" s="407" t="s">
        <v>2543</v>
      </c>
      <c r="B8" s="408"/>
      <c r="C8" s="413" t="s">
        <v>2544</v>
      </c>
      <c r="D8" s="410">
        <v>100</v>
      </c>
      <c r="E8" s="413"/>
      <c r="F8" s="412">
        <f>SUMIF(73:73,E8,74:74)-SUMIF(73:73,C8,74:74)+100</f>
        <v>0</v>
      </c>
      <c r="G8" s="413"/>
      <c r="H8" s="410">
        <f>SUMIF(73:73,G8,74:74)-SUMIF(73:73,C8,74:74)+100</f>
        <v>0</v>
      </c>
      <c r="I8" s="413"/>
      <c r="J8" s="410">
        <f>SUMIF(73:73,I8,74:74)-SUMIF(73:73,C8,74:74)+100</f>
        <v>0</v>
      </c>
      <c r="K8" s="610"/>
      <c r="L8" s="1128"/>
      <c r="M8" s="1129"/>
      <c r="N8" s="1129"/>
      <c r="O8" s="1129"/>
      <c r="P8" s="3247" t="s">
        <v>2545</v>
      </c>
      <c r="Q8" s="3248"/>
      <c r="R8" s="768" t="s">
        <v>17</v>
      </c>
      <c r="S8" s="769">
        <f t="shared" si="0"/>
        <v>0</v>
      </c>
      <c r="T8" s="768" t="s">
        <v>17</v>
      </c>
      <c r="U8" s="769">
        <f t="shared" si="1"/>
        <v>0</v>
      </c>
      <c r="V8" s="768" t="s">
        <v>17</v>
      </c>
      <c r="W8" s="769">
        <f t="shared" si="2"/>
        <v>0</v>
      </c>
      <c r="X8" s="770"/>
      <c r="Y8" s="3247" t="s">
        <v>2545</v>
      </c>
      <c r="Z8" s="3248"/>
      <c r="AA8" s="771" t="e">
        <f t="shared" ref="AA8:AA45" si="3">D8/F8</f>
        <v>#DIV/0!</v>
      </c>
      <c r="AB8" s="771" t="e">
        <f t="shared" ref="AB8:AB45" si="4">D8/H8</f>
        <v>#DIV/0!</v>
      </c>
      <c r="AC8" s="771" t="e">
        <f t="shared" ref="AC8:AC45" si="5">D8/J8</f>
        <v>#DIV/0!</v>
      </c>
    </row>
    <row r="9" spans="1:30" s="116" customFormat="1">
      <c r="A9" s="414" t="s">
        <v>2546</v>
      </c>
      <c r="B9" s="70" t="s">
        <v>2547</v>
      </c>
      <c r="C9" s="2687"/>
      <c r="D9" s="134">
        <v>100</v>
      </c>
      <c r="E9" s="2687"/>
      <c r="F9" s="134">
        <f>SUMIF(75:75,E9,76:76)-SUMIF(75:75,C9,76:76)+100</f>
        <v>100</v>
      </c>
      <c r="G9" s="2687"/>
      <c r="H9" s="134">
        <f>SUMIF(75:75,G9,76:76)-SUMIF(75:75,C9,76:76)+100</f>
        <v>100</v>
      </c>
      <c r="I9" s="2687"/>
      <c r="J9" s="134">
        <f>SUMIF(75:75,I9,76:76)-SUMIF(75:75,C9,76:76)+100</f>
        <v>100</v>
      </c>
      <c r="K9" s="610"/>
      <c r="L9" s="1128"/>
      <c r="M9" s="1129"/>
      <c r="N9" s="1129"/>
      <c r="O9" s="1130"/>
      <c r="P9" s="3290" t="s">
        <v>2548</v>
      </c>
      <c r="Q9" s="1791" t="str">
        <f t="shared" ref="Q9:Q15" si="6">B9</f>
        <v>用途</v>
      </c>
      <c r="R9" s="768" t="s">
        <v>17</v>
      </c>
      <c r="S9" s="769">
        <f t="shared" si="0"/>
        <v>100</v>
      </c>
      <c r="T9" s="768" t="s">
        <v>17</v>
      </c>
      <c r="U9" s="769">
        <f t="shared" si="1"/>
        <v>100</v>
      </c>
      <c r="V9" s="768" t="s">
        <v>17</v>
      </c>
      <c r="W9" s="769">
        <f t="shared" si="2"/>
        <v>100</v>
      </c>
      <c r="X9" s="770"/>
      <c r="Y9" s="3101" t="s">
        <v>2549</v>
      </c>
      <c r="Z9" s="55" t="str">
        <f t="shared" ref="Z9:Z15" si="7">Q9</f>
        <v>用途</v>
      </c>
      <c r="AA9" s="771">
        <f t="shared" si="3"/>
        <v>1</v>
      </c>
      <c r="AB9" s="771">
        <f t="shared" si="4"/>
        <v>1</v>
      </c>
      <c r="AC9" s="771">
        <f t="shared" si="5"/>
        <v>1</v>
      </c>
    </row>
    <row r="10" spans="1:30" s="426" customFormat="1" ht="27">
      <c r="A10" s="420"/>
      <c r="B10" s="421" t="s">
        <v>2550</v>
      </c>
      <c r="C10" s="431"/>
      <c r="D10" s="135">
        <v>100</v>
      </c>
      <c r="E10" s="464"/>
      <c r="F10" s="135">
        <f>ROUND(100/'数据-取费表'!G16,0)</f>
        <v>111</v>
      </c>
      <c r="G10" s="462"/>
      <c r="H10" s="135">
        <f>ROUND(100/'数据-取费表'!G16,0)</f>
        <v>111</v>
      </c>
      <c r="I10" s="462"/>
      <c r="J10" s="135">
        <f>ROUND(100/'数据-取费表'!G16,0)</f>
        <v>111</v>
      </c>
      <c r="K10" s="671"/>
      <c r="L10" s="1131"/>
      <c r="M10" s="1132"/>
      <c r="N10" s="1132"/>
      <c r="O10" s="1133"/>
      <c r="P10" s="3290"/>
      <c r="Q10" s="1791" t="str">
        <f t="shared" si="6"/>
        <v>土地使用年限（年）</v>
      </c>
      <c r="R10" s="768" t="s">
        <v>17</v>
      </c>
      <c r="S10" s="769">
        <f t="shared" si="0"/>
        <v>111</v>
      </c>
      <c r="T10" s="768" t="s">
        <v>17</v>
      </c>
      <c r="U10" s="769">
        <f t="shared" si="1"/>
        <v>111</v>
      </c>
      <c r="V10" s="768" t="s">
        <v>17</v>
      </c>
      <c r="W10" s="769">
        <f t="shared" si="2"/>
        <v>111</v>
      </c>
      <c r="X10" s="770"/>
      <c r="Y10" s="3101"/>
      <c r="Z10" s="55" t="str">
        <f t="shared" si="7"/>
        <v>土地使用年限（年）</v>
      </c>
      <c r="AA10" s="771">
        <f t="shared" si="3"/>
        <v>0.90090090090090091</v>
      </c>
      <c r="AB10" s="771">
        <f t="shared" si="4"/>
        <v>0.90090090090090091</v>
      </c>
      <c r="AC10" s="771">
        <f t="shared" si="5"/>
        <v>0.90090090090090091</v>
      </c>
    </row>
    <row r="11" spans="1:30" ht="15">
      <c r="A11" s="427"/>
      <c r="B11" s="421" t="s">
        <v>2551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4"/>
      <c r="M11" s="1127"/>
      <c r="N11" s="1127"/>
      <c r="O11" s="1135"/>
      <c r="P11" s="3290"/>
      <c r="Q11" s="1791" t="str">
        <f t="shared" si="6"/>
        <v>容积率</v>
      </c>
      <c r="R11" s="768" t="s">
        <v>17</v>
      </c>
      <c r="S11" s="769" t="e">
        <f t="shared" si="0"/>
        <v>#N/A</v>
      </c>
      <c r="T11" s="768" t="s">
        <v>17</v>
      </c>
      <c r="U11" s="769" t="e">
        <f t="shared" si="1"/>
        <v>#N/A</v>
      </c>
      <c r="V11" s="768" t="s">
        <v>17</v>
      </c>
      <c r="W11" s="769" t="e">
        <f t="shared" si="2"/>
        <v>#N/A</v>
      </c>
      <c r="X11" s="770"/>
      <c r="Y11" s="3101"/>
      <c r="Z11" s="55" t="str">
        <f t="shared" si="7"/>
        <v>容积率</v>
      </c>
      <c r="AA11" s="771" t="e">
        <f t="shared" si="3"/>
        <v>#N/A</v>
      </c>
      <c r="AB11" s="771" t="e">
        <f t="shared" si="4"/>
        <v>#N/A</v>
      </c>
      <c r="AC11" s="771" t="e">
        <f t="shared" si="5"/>
        <v>#N/A</v>
      </c>
    </row>
    <row r="12" spans="1:30" s="116" customFormat="1" ht="15">
      <c r="A12" s="430"/>
      <c r="B12" s="2592" t="s">
        <v>2740</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90"/>
      <c r="Q12" s="1791" t="str">
        <f t="shared" si="6"/>
        <v>配建</v>
      </c>
      <c r="R12" s="768" t="s">
        <v>17</v>
      </c>
      <c r="S12" s="769">
        <f t="shared" si="0"/>
        <v>100</v>
      </c>
      <c r="T12" s="768" t="s">
        <v>17</v>
      </c>
      <c r="U12" s="769">
        <f t="shared" si="1"/>
        <v>100</v>
      </c>
      <c r="V12" s="768" t="s">
        <v>17</v>
      </c>
      <c r="W12" s="769">
        <f t="shared" si="2"/>
        <v>100</v>
      </c>
      <c r="X12" s="770"/>
      <c r="Y12" s="3101"/>
      <c r="Z12" s="55" t="str">
        <f t="shared" si="7"/>
        <v>配建</v>
      </c>
      <c r="AA12" s="771">
        <f>D12/F12</f>
        <v>1</v>
      </c>
      <c r="AB12" s="771">
        <f>D12/H12</f>
        <v>1</v>
      </c>
      <c r="AC12" s="771">
        <f>D12/J12</f>
        <v>1</v>
      </c>
    </row>
    <row r="13" spans="1:30" ht="15">
      <c r="A13" s="427"/>
      <c r="B13" s="2592">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90"/>
      <c r="Q13" s="1791">
        <f t="shared" si="6"/>
        <v>111</v>
      </c>
      <c r="R13" s="768" t="s">
        <v>17</v>
      </c>
      <c r="S13" s="769">
        <f t="shared" si="0"/>
        <v>100</v>
      </c>
      <c r="T13" s="768" t="s">
        <v>17</v>
      </c>
      <c r="U13" s="769">
        <f t="shared" si="1"/>
        <v>100</v>
      </c>
      <c r="V13" s="768" t="s">
        <v>17</v>
      </c>
      <c r="W13" s="769">
        <f t="shared" si="2"/>
        <v>100</v>
      </c>
      <c r="X13" s="770"/>
      <c r="Y13" s="3101"/>
      <c r="Z13" s="55">
        <f t="shared" si="7"/>
        <v>111</v>
      </c>
      <c r="AA13" s="771">
        <f>D13/F13</f>
        <v>1</v>
      </c>
      <c r="AB13" s="771">
        <f>D13/H13</f>
        <v>1</v>
      </c>
      <c r="AC13" s="771">
        <f>D13/J13</f>
        <v>1</v>
      </c>
    </row>
    <row r="14" spans="1:30" ht="15.75" thickBot="1">
      <c r="A14" s="435"/>
      <c r="B14" s="2594">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90"/>
      <c r="Q14" s="1791">
        <f t="shared" si="6"/>
        <v>111</v>
      </c>
      <c r="R14" s="768" t="s">
        <v>17</v>
      </c>
      <c r="S14" s="769">
        <f t="shared" si="0"/>
        <v>100</v>
      </c>
      <c r="T14" s="768" t="s">
        <v>17</v>
      </c>
      <c r="U14" s="769">
        <f t="shared" si="1"/>
        <v>100</v>
      </c>
      <c r="V14" s="768" t="s">
        <v>17</v>
      </c>
      <c r="W14" s="769">
        <f t="shared" si="2"/>
        <v>100</v>
      </c>
      <c r="X14" s="770"/>
      <c r="Y14" s="3101"/>
      <c r="Z14" s="55">
        <f t="shared" si="7"/>
        <v>111</v>
      </c>
      <c r="AA14" s="771">
        <f>D14/F14</f>
        <v>1</v>
      </c>
      <c r="AB14" s="771">
        <f>D14/H14</f>
        <v>1</v>
      </c>
      <c r="AC14" s="771">
        <f>D14/J14</f>
        <v>1</v>
      </c>
    </row>
    <row r="15" spans="1:30" ht="15">
      <c r="A15" s="439" t="s">
        <v>2552</v>
      </c>
      <c r="B15" s="68" t="s">
        <v>2085</v>
      </c>
      <c r="C15" s="2595">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283" t="s">
        <v>2553</v>
      </c>
      <c r="Q15" s="1806" t="str">
        <f t="shared" si="6"/>
        <v>居住社区成熟度</v>
      </c>
      <c r="R15" s="772" t="s">
        <v>17</v>
      </c>
      <c r="S15" s="773">
        <f t="shared" si="0"/>
        <v>100</v>
      </c>
      <c r="T15" s="772" t="s">
        <v>17</v>
      </c>
      <c r="U15" s="773">
        <f t="shared" si="1"/>
        <v>100</v>
      </c>
      <c r="V15" s="772" t="s">
        <v>17</v>
      </c>
      <c r="W15" s="773">
        <f t="shared" si="2"/>
        <v>100</v>
      </c>
      <c r="X15" s="1809"/>
      <c r="Y15" s="3283" t="s">
        <v>2553</v>
      </c>
      <c r="Z15" s="1810" t="str">
        <f t="shared" si="7"/>
        <v>居住社区成熟度</v>
      </c>
      <c r="AA15" s="1807">
        <f t="shared" si="3"/>
        <v>1</v>
      </c>
      <c r="AB15" s="1807">
        <f t="shared" si="4"/>
        <v>1</v>
      </c>
      <c r="AC15" s="1807">
        <f t="shared" si="5"/>
        <v>1</v>
      </c>
    </row>
    <row r="16" spans="1:30" ht="15">
      <c r="A16" s="427"/>
      <c r="B16" s="445"/>
      <c r="C16" s="446"/>
      <c r="D16" s="447"/>
      <c r="E16" s="2597"/>
      <c r="F16" s="447"/>
      <c r="G16" s="2597"/>
      <c r="H16" s="449"/>
      <c r="I16" s="2596"/>
      <c r="J16" s="447"/>
      <c r="K16" s="671"/>
      <c r="L16" s="1136"/>
      <c r="M16" s="1127"/>
      <c r="N16" s="1127"/>
      <c r="O16" s="1135"/>
      <c r="P16" s="3284"/>
      <c r="Q16" s="1806"/>
      <c r="R16" s="772"/>
      <c r="S16" s="773"/>
      <c r="T16" s="772"/>
      <c r="U16" s="773"/>
      <c r="V16" s="772"/>
      <c r="W16" s="773"/>
      <c r="X16" s="1809"/>
      <c r="Y16" s="3284"/>
      <c r="Z16" s="1810"/>
      <c r="AA16" s="1807">
        <v>1</v>
      </c>
      <c r="AB16" s="1807">
        <v>1</v>
      </c>
      <c r="AC16" s="1807">
        <v>1</v>
      </c>
    </row>
    <row r="17" spans="1:29" ht="15">
      <c r="A17" s="427"/>
      <c r="B17" s="450" t="s">
        <v>2646</v>
      </c>
      <c r="C17" s="2656">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36"/>
      <c r="M17" s="1127"/>
      <c r="N17" s="1127"/>
      <c r="O17" s="1135"/>
      <c r="P17" s="3284"/>
      <c r="Q17" s="1806" t="str">
        <f>B17</f>
        <v>商业繁华度</v>
      </c>
      <c r="R17" s="772" t="s">
        <v>17</v>
      </c>
      <c r="S17" s="773">
        <f>F17</f>
        <v>100</v>
      </c>
      <c r="T17" s="772" t="s">
        <v>17</v>
      </c>
      <c r="U17" s="773">
        <f>H17</f>
        <v>100</v>
      </c>
      <c r="V17" s="772" t="s">
        <v>17</v>
      </c>
      <c r="W17" s="773">
        <f>J17</f>
        <v>100</v>
      </c>
      <c r="X17" s="1809"/>
      <c r="Y17" s="3284"/>
      <c r="Z17" s="1810" t="str">
        <f>Q17</f>
        <v>商业繁华度</v>
      </c>
      <c r="AA17" s="1807">
        <f t="shared" si="3"/>
        <v>1</v>
      </c>
      <c r="AB17" s="1807">
        <f t="shared" si="4"/>
        <v>1</v>
      </c>
      <c r="AC17" s="1807">
        <f t="shared" si="5"/>
        <v>1</v>
      </c>
    </row>
    <row r="18" spans="1:29" ht="15">
      <c r="A18" s="427"/>
      <c r="B18" s="455"/>
      <c r="C18" s="2600"/>
      <c r="D18" s="449"/>
      <c r="E18" s="2602"/>
      <c r="F18" s="449"/>
      <c r="G18" s="2602"/>
      <c r="H18" s="447"/>
      <c r="I18" s="2601"/>
      <c r="J18" s="447"/>
      <c r="K18" s="671"/>
      <c r="L18" s="1136"/>
      <c r="M18" s="1127"/>
      <c r="N18" s="1127"/>
      <c r="O18" s="1135"/>
      <c r="P18" s="3284"/>
      <c r="Q18" s="1806"/>
      <c r="R18" s="772"/>
      <c r="S18" s="773"/>
      <c r="T18" s="772"/>
      <c r="U18" s="773"/>
      <c r="V18" s="772"/>
      <c r="W18" s="773"/>
      <c r="X18" s="1809"/>
      <c r="Y18" s="3284"/>
      <c r="Z18" s="1810"/>
      <c r="AA18" s="1807">
        <v>1</v>
      </c>
      <c r="AB18" s="1807">
        <v>1</v>
      </c>
      <c r="AC18" s="1807">
        <v>1</v>
      </c>
    </row>
    <row r="19" spans="1:29" ht="57">
      <c r="A19" s="427"/>
      <c r="B19" s="450" t="s">
        <v>2680</v>
      </c>
      <c r="C19" s="2656" t="str">
        <f>估价对象房地状况!C17</f>
        <v>周边有东环广场、东方银座等写字楼，办公聚集度较好。</v>
      </c>
      <c r="D19" s="454">
        <v>100</v>
      </c>
      <c r="E19" s="456"/>
      <c r="F19" s="454">
        <f>SUMIF(92:92,E20,93:93)-SUMIF(92:92,C20,93:93)+100</f>
        <v>100</v>
      </c>
      <c r="G19" s="456"/>
      <c r="H19" s="449">
        <f>SUMIF(92:92,G20,93:93)-SUMIF(92:92,C20,93:93)+100</f>
        <v>100</v>
      </c>
      <c r="I19" s="458"/>
      <c r="J19" s="449">
        <f>SUMIF(92:92,I20,93:93)-SUMIF(92:92,C20,93:93)+100</f>
        <v>100</v>
      </c>
      <c r="K19" s="672"/>
      <c r="L19" s="1136"/>
      <c r="M19" s="1127"/>
      <c r="N19" s="1127"/>
      <c r="O19" s="1135"/>
      <c r="P19" s="3284"/>
      <c r="Q19" s="1806" t="str">
        <f>B19</f>
        <v>办公集聚程度</v>
      </c>
      <c r="R19" s="772" t="s">
        <v>17</v>
      </c>
      <c r="S19" s="773">
        <f>F19</f>
        <v>100</v>
      </c>
      <c r="T19" s="772" t="s">
        <v>17</v>
      </c>
      <c r="U19" s="773">
        <f>H19</f>
        <v>100</v>
      </c>
      <c r="V19" s="772" t="s">
        <v>17</v>
      </c>
      <c r="W19" s="773">
        <f>J19</f>
        <v>100</v>
      </c>
      <c r="X19" s="1809"/>
      <c r="Y19" s="3284"/>
      <c r="Z19" s="1810" t="str">
        <f>Q19</f>
        <v>办公集聚程度</v>
      </c>
      <c r="AA19" s="1807">
        <f t="shared" si="3"/>
        <v>1</v>
      </c>
      <c r="AB19" s="1807">
        <f t="shared" si="4"/>
        <v>1</v>
      </c>
      <c r="AC19" s="1807">
        <f t="shared" si="5"/>
        <v>1</v>
      </c>
    </row>
    <row r="20" spans="1:29" ht="15">
      <c r="A20" s="427"/>
      <c r="B20" s="455"/>
      <c r="C20" s="446"/>
      <c r="D20" s="447"/>
      <c r="E20" s="2597"/>
      <c r="F20" s="447"/>
      <c r="G20" s="2597"/>
      <c r="H20" s="447"/>
      <c r="I20" s="2596"/>
      <c r="J20" s="447"/>
      <c r="K20" s="671"/>
      <c r="L20" s="1136"/>
      <c r="M20" s="1127"/>
      <c r="N20" s="1127"/>
      <c r="O20" s="1135"/>
      <c r="P20" s="3284"/>
      <c r="Q20" s="1806"/>
      <c r="R20" s="772"/>
      <c r="S20" s="773"/>
      <c r="T20" s="772"/>
      <c r="U20" s="773"/>
      <c r="V20" s="772"/>
      <c r="W20" s="773"/>
      <c r="X20" s="1809"/>
      <c r="Y20" s="3284"/>
      <c r="Z20" s="1810"/>
      <c r="AA20" s="1807">
        <v>1</v>
      </c>
      <c r="AB20" s="1807">
        <v>1</v>
      </c>
      <c r="AC20" s="1807">
        <v>1</v>
      </c>
    </row>
    <row r="21" spans="1:29" ht="99.75">
      <c r="A21" s="427"/>
      <c r="B21" s="450" t="s">
        <v>2702</v>
      </c>
      <c r="C21" s="2599" t="str">
        <f>估价对象房地状况!C18</f>
        <v>估价对象周边道路状况、周边有24、106、117路及地铁2号、13号、机场线，综合评价交通便捷度好</v>
      </c>
      <c r="D21" s="449">
        <v>100</v>
      </c>
      <c r="E21" s="451"/>
      <c r="F21" s="454">
        <f>SUMIF(94:94,E22,95:95)-SUMIF(94:94,C22,95:95)+100</f>
        <v>100</v>
      </c>
      <c r="G21" s="451"/>
      <c r="H21" s="449">
        <f>SUMIF(94:94,G22,95:95)-SUMIF(94:94,C22,95:95)+100</f>
        <v>100</v>
      </c>
      <c r="I21" s="453"/>
      <c r="J21" s="449">
        <f>SUMIF(94:94,I22,95:95)-SUMIF(94:94,C22,95:95)+100</f>
        <v>100</v>
      </c>
      <c r="K21" s="672"/>
      <c r="L21" s="1136"/>
      <c r="M21" s="1127"/>
      <c r="N21" s="1127"/>
      <c r="O21" s="1135"/>
      <c r="P21" s="3284"/>
      <c r="Q21" s="1806" t="str">
        <f>B21</f>
        <v>交通便捷度</v>
      </c>
      <c r="R21" s="772" t="s">
        <v>17</v>
      </c>
      <c r="S21" s="773">
        <f>F21</f>
        <v>100</v>
      </c>
      <c r="T21" s="772" t="s">
        <v>17</v>
      </c>
      <c r="U21" s="773">
        <f>H21</f>
        <v>100</v>
      </c>
      <c r="V21" s="772" t="s">
        <v>17</v>
      </c>
      <c r="W21" s="773">
        <f>J21</f>
        <v>100</v>
      </c>
      <c r="X21" s="1809"/>
      <c r="Y21" s="3284"/>
      <c r="Z21" s="1810" t="str">
        <f>Q21</f>
        <v>交通便捷度</v>
      </c>
      <c r="AA21" s="1807">
        <f t="shared" si="3"/>
        <v>1</v>
      </c>
      <c r="AB21" s="1807">
        <f t="shared" si="4"/>
        <v>1</v>
      </c>
      <c r="AC21" s="1807">
        <f t="shared" si="5"/>
        <v>1</v>
      </c>
    </row>
    <row r="22" spans="1:29" ht="15">
      <c r="A22" s="427"/>
      <c r="B22" s="1380"/>
      <c r="C22" s="446"/>
      <c r="D22" s="449"/>
      <c r="E22" s="2597"/>
      <c r="F22" s="447"/>
      <c r="G22" s="2597"/>
      <c r="H22" s="447"/>
      <c r="I22" s="2596"/>
      <c r="J22" s="447"/>
      <c r="K22" s="671"/>
      <c r="L22" s="1136"/>
      <c r="M22" s="1127"/>
      <c r="N22" s="1127"/>
      <c r="O22" s="1135"/>
      <c r="P22" s="3284"/>
      <c r="Q22" s="1806"/>
      <c r="R22" s="772"/>
      <c r="S22" s="773"/>
      <c r="T22" s="772"/>
      <c r="U22" s="773"/>
      <c r="V22" s="772"/>
      <c r="W22" s="773"/>
      <c r="X22" s="1809"/>
      <c r="Y22" s="3284"/>
      <c r="Z22" s="1810"/>
      <c r="AA22" s="1807">
        <v>1</v>
      </c>
      <c r="AB22" s="1807">
        <v>1</v>
      </c>
      <c r="AC22" s="1807">
        <v>1</v>
      </c>
    </row>
    <row r="23" spans="1:29" ht="15">
      <c r="A23" s="403"/>
      <c r="B23" s="450" t="s">
        <v>2741</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6"/>
      <c r="M23" s="1127"/>
      <c r="N23" s="1127"/>
      <c r="O23" s="1135"/>
      <c r="P23" s="3284"/>
      <c r="Q23" s="1806" t="str">
        <f t="shared" ref="Q23:Q37" si="8">B23</f>
        <v>区域土地利用方向</v>
      </c>
      <c r="R23" s="772" t="s">
        <v>17</v>
      </c>
      <c r="S23" s="773">
        <f>F23</f>
        <v>100</v>
      </c>
      <c r="T23" s="772" t="s">
        <v>17</v>
      </c>
      <c r="U23" s="773">
        <f>H23</f>
        <v>100</v>
      </c>
      <c r="V23" s="772" t="s">
        <v>17</v>
      </c>
      <c r="W23" s="773">
        <f>J23</f>
        <v>100</v>
      </c>
      <c r="X23" s="1809"/>
      <c r="Y23" s="3284"/>
      <c r="Z23" s="1810" t="str">
        <f>Q23</f>
        <v>区域土地利用方向</v>
      </c>
      <c r="AA23" s="1807">
        <f t="shared" si="3"/>
        <v>1</v>
      </c>
      <c r="AB23" s="1807">
        <f t="shared" si="4"/>
        <v>1</v>
      </c>
      <c r="AC23" s="1807">
        <f t="shared" si="5"/>
        <v>1</v>
      </c>
    </row>
    <row r="24" spans="1:29" ht="15">
      <c r="A24" s="403"/>
      <c r="B24" s="455"/>
      <c r="C24" s="615"/>
      <c r="D24" s="447"/>
      <c r="E24" s="2597"/>
      <c r="F24" s="447"/>
      <c r="G24" s="2596"/>
      <c r="H24" s="447"/>
      <c r="I24" s="2596"/>
      <c r="J24" s="447"/>
      <c r="K24" s="805"/>
      <c r="L24" s="1136"/>
      <c r="M24" s="1127"/>
      <c r="N24" s="1127"/>
      <c r="O24" s="1135"/>
      <c r="P24" s="3284"/>
      <c r="Q24" s="1806"/>
      <c r="R24" s="772"/>
      <c r="S24" s="773"/>
      <c r="T24" s="772"/>
      <c r="U24" s="773"/>
      <c r="V24" s="772"/>
      <c r="W24" s="773"/>
      <c r="X24" s="1809"/>
      <c r="Y24" s="3284"/>
      <c r="Z24" s="1810"/>
      <c r="AA24" s="1807"/>
      <c r="AB24" s="1807"/>
      <c r="AC24" s="1807"/>
    </row>
    <row r="25" spans="1:29" ht="99.75">
      <c r="A25" s="403"/>
      <c r="B25" s="1380" t="s">
        <v>2742</v>
      </c>
      <c r="C25" s="2656" t="str">
        <f>估价对象房地状况!C20</f>
        <v>区域自然环境：南馆公园、工人体育馆；人文环境：保利艺术博物馆、自来水博物馆；综合评价环境状况较好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6"/>
      <c r="M25" s="1127"/>
      <c r="N25" s="1127"/>
      <c r="O25" s="1135"/>
      <c r="P25" s="3284"/>
      <c r="Q25" s="1806" t="str">
        <f t="shared" si="8"/>
        <v>自然及人文环境状况</v>
      </c>
      <c r="R25" s="772" t="s">
        <v>17</v>
      </c>
      <c r="S25" s="773">
        <f>F25</f>
        <v>100</v>
      </c>
      <c r="T25" s="772" t="s">
        <v>17</v>
      </c>
      <c r="U25" s="773">
        <f>H25</f>
        <v>100</v>
      </c>
      <c r="V25" s="772" t="s">
        <v>17</v>
      </c>
      <c r="W25" s="773">
        <f>J25</f>
        <v>100</v>
      </c>
      <c r="X25" s="1809"/>
      <c r="Y25" s="3284"/>
      <c r="Z25" s="1810" t="str">
        <f>Q25</f>
        <v>自然及人文环境状况</v>
      </c>
      <c r="AA25" s="1807">
        <f t="shared" si="3"/>
        <v>1</v>
      </c>
      <c r="AB25" s="1807">
        <f t="shared" si="4"/>
        <v>1</v>
      </c>
      <c r="AC25" s="1807">
        <f t="shared" si="5"/>
        <v>1</v>
      </c>
    </row>
    <row r="26" spans="1:29" ht="15">
      <c r="A26" s="403"/>
      <c r="B26" s="455"/>
      <c r="C26" s="446"/>
      <c r="D26" s="447"/>
      <c r="E26" s="2603"/>
      <c r="F26" s="447"/>
      <c r="G26" s="2603"/>
      <c r="H26" s="447"/>
      <c r="I26" s="446"/>
      <c r="J26" s="447"/>
      <c r="K26" s="671"/>
      <c r="L26" s="1136"/>
      <c r="M26" s="1127"/>
      <c r="N26" s="1127"/>
      <c r="O26" s="1135"/>
      <c r="P26" s="3284"/>
      <c r="Q26" s="1806"/>
      <c r="R26" s="772"/>
      <c r="S26" s="773"/>
      <c r="T26" s="772"/>
      <c r="U26" s="773"/>
      <c r="V26" s="772"/>
      <c r="W26" s="773"/>
      <c r="X26" s="1809"/>
      <c r="Y26" s="3284"/>
      <c r="Z26" s="1810"/>
      <c r="AA26" s="1807">
        <v>1</v>
      </c>
      <c r="AB26" s="1807">
        <v>1</v>
      </c>
      <c r="AC26" s="1807">
        <v>1</v>
      </c>
    </row>
    <row r="27" spans="1:29" s="116" customFormat="1" ht="71.25">
      <c r="A27" s="648"/>
      <c r="B27" s="1380" t="s">
        <v>2647</v>
      </c>
      <c r="C27" s="2599" t="str">
        <f>估价对象房地状况!C21</f>
        <v>周边有银行、购物场所、餐饮等配套设施，公共服务设施状况较好。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8"/>
      <c r="M27" s="1129"/>
      <c r="N27" s="1129"/>
      <c r="O27" s="1130"/>
      <c r="P27" s="3284"/>
      <c r="Q27" s="1791" t="str">
        <f t="shared" si="8"/>
        <v>公共配套设施</v>
      </c>
      <c r="R27" s="768" t="s">
        <v>17</v>
      </c>
      <c r="S27" s="769">
        <f>F27</f>
        <v>100</v>
      </c>
      <c r="T27" s="768" t="s">
        <v>17</v>
      </c>
      <c r="U27" s="769">
        <f>H27</f>
        <v>100</v>
      </c>
      <c r="V27" s="768" t="s">
        <v>17</v>
      </c>
      <c r="W27" s="769">
        <f>J27</f>
        <v>100</v>
      </c>
      <c r="X27" s="770"/>
      <c r="Y27" s="3284"/>
      <c r="Z27" s="55" t="str">
        <f>Q27</f>
        <v>公共配套设施</v>
      </c>
      <c r="AA27" s="1807">
        <f>D27/F27</f>
        <v>1</v>
      </c>
      <c r="AB27" s="1807">
        <f>D27/H27</f>
        <v>1</v>
      </c>
      <c r="AC27" s="1807">
        <f>D27/J27</f>
        <v>1</v>
      </c>
    </row>
    <row r="28" spans="1:29" s="116" customFormat="1" ht="15">
      <c r="A28" s="648"/>
      <c r="B28" s="455"/>
      <c r="C28" s="2688"/>
      <c r="D28" s="447"/>
      <c r="E28" s="2603"/>
      <c r="F28" s="447"/>
      <c r="G28" s="2603"/>
      <c r="H28" s="447"/>
      <c r="I28" s="446"/>
      <c r="J28" s="447"/>
      <c r="K28" s="671"/>
      <c r="L28" s="1128"/>
      <c r="M28" s="1129"/>
      <c r="N28" s="1129"/>
      <c r="O28" s="1130"/>
      <c r="P28" s="3284"/>
      <c r="Q28" s="1791"/>
      <c r="R28" s="768"/>
      <c r="S28" s="769"/>
      <c r="T28" s="768"/>
      <c r="U28" s="769"/>
      <c r="V28" s="768"/>
      <c r="W28" s="769"/>
      <c r="X28" s="770"/>
      <c r="Y28" s="3284"/>
      <c r="Z28" s="55"/>
      <c r="AA28" s="1807">
        <v>1</v>
      </c>
      <c r="AB28" s="1807">
        <v>1</v>
      </c>
      <c r="AC28" s="1807">
        <v>1</v>
      </c>
    </row>
    <row r="29" spans="1:29" s="116" customFormat="1" ht="15">
      <c r="A29" s="648"/>
      <c r="B29" s="1380" t="s">
        <v>2648</v>
      </c>
      <c r="C29" s="2599"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8"/>
      <c r="M29" s="1129"/>
      <c r="N29" s="1129"/>
      <c r="O29" s="1130"/>
      <c r="P29" s="3284"/>
      <c r="Q29" s="1791" t="str">
        <f t="shared" ref="Q29" si="9">B29</f>
        <v>基础设施水平</v>
      </c>
      <c r="R29" s="768" t="s">
        <v>17</v>
      </c>
      <c r="S29" s="769">
        <f>F29</f>
        <v>100</v>
      </c>
      <c r="T29" s="768" t="s">
        <v>17</v>
      </c>
      <c r="U29" s="769">
        <f>H29</f>
        <v>100</v>
      </c>
      <c r="V29" s="768" t="s">
        <v>17</v>
      </c>
      <c r="W29" s="769">
        <f>J29</f>
        <v>100</v>
      </c>
      <c r="X29" s="770"/>
      <c r="Y29" s="3284"/>
      <c r="Z29" s="55" t="str">
        <f>Q29</f>
        <v>基础设施水平</v>
      </c>
      <c r="AA29" s="1807">
        <f>D29/F29</f>
        <v>1</v>
      </c>
      <c r="AB29" s="1807">
        <f>D29/H29</f>
        <v>1</v>
      </c>
      <c r="AC29" s="1807">
        <f>D29/J29</f>
        <v>1</v>
      </c>
    </row>
    <row r="30" spans="1:29" s="116" customFormat="1" ht="15">
      <c r="A30" s="648"/>
      <c r="B30" s="455"/>
      <c r="C30" s="2688"/>
      <c r="D30" s="447"/>
      <c r="E30" s="2689"/>
      <c r="F30" s="447"/>
      <c r="G30" s="2689"/>
      <c r="H30" s="447"/>
      <c r="I30" s="2689"/>
      <c r="J30" s="447"/>
      <c r="K30" s="671"/>
      <c r="L30" s="1128"/>
      <c r="M30" s="1129"/>
      <c r="N30" s="1129"/>
      <c r="O30" s="1130"/>
      <c r="P30" s="3284"/>
      <c r="Q30" s="1791"/>
      <c r="R30" s="768"/>
      <c r="S30" s="769"/>
      <c r="T30" s="768"/>
      <c r="U30" s="769"/>
      <c r="V30" s="768"/>
      <c r="W30" s="769"/>
      <c r="X30" s="770"/>
      <c r="Y30" s="3284"/>
      <c r="Z30" s="55"/>
      <c r="AA30" s="1807">
        <v>1</v>
      </c>
      <c r="AB30" s="1807">
        <v>1</v>
      </c>
      <c r="AC30" s="1807">
        <v>1</v>
      </c>
    </row>
    <row r="31" spans="1:29" ht="15">
      <c r="A31" s="427"/>
      <c r="B31" s="455" t="s">
        <v>2649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284"/>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284"/>
      <c r="Z31" s="1810" t="str">
        <f t="shared" ref="Z31:Z45" si="13">Q31</f>
        <v>临街状况</v>
      </c>
      <c r="AA31" s="1807">
        <f t="shared" si="3"/>
        <v>1</v>
      </c>
      <c r="AB31" s="1807">
        <f t="shared" si="4"/>
        <v>1</v>
      </c>
      <c r="AC31" s="1807">
        <f t="shared" si="5"/>
        <v>1</v>
      </c>
    </row>
    <row r="32" spans="1:29" ht="27">
      <c r="A32" s="427"/>
      <c r="B32" s="1380" t="s">
        <v>2684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84"/>
      <c r="Q32" s="1806" t="str">
        <f t="shared" si="8"/>
        <v>毗邻道路的类型与等级</v>
      </c>
      <c r="R32" s="772" t="s">
        <v>17</v>
      </c>
      <c r="S32" s="773">
        <f t="shared" si="10"/>
        <v>100</v>
      </c>
      <c r="T32" s="772" t="s">
        <v>17</v>
      </c>
      <c r="U32" s="773">
        <f t="shared" si="11"/>
        <v>100</v>
      </c>
      <c r="V32" s="772" t="s">
        <v>17</v>
      </c>
      <c r="W32" s="773">
        <f t="shared" si="12"/>
        <v>100</v>
      </c>
      <c r="X32" s="1809"/>
      <c r="Y32" s="3284"/>
      <c r="Z32" s="1810" t="str">
        <f t="shared" si="13"/>
        <v>毗邻道路的类型与等级</v>
      </c>
      <c r="AA32" s="1807">
        <f t="shared" si="3"/>
        <v>1</v>
      </c>
      <c r="AB32" s="1807">
        <f t="shared" si="4"/>
        <v>1</v>
      </c>
      <c r="AC32" s="1807">
        <f t="shared" si="5"/>
        <v>1</v>
      </c>
    </row>
    <row r="33" spans="1:29" ht="15">
      <c r="A33" s="427"/>
      <c r="B33" s="455"/>
      <c r="C33" s="446"/>
      <c r="D33" s="447"/>
      <c r="E33" s="2603"/>
      <c r="F33" s="447"/>
      <c r="G33" s="2603"/>
      <c r="H33" s="447"/>
      <c r="I33" s="446"/>
      <c r="J33" s="447"/>
      <c r="K33" s="612"/>
      <c r="L33" s="1136"/>
      <c r="M33" s="1127"/>
      <c r="N33" s="1127"/>
      <c r="O33" s="1135"/>
      <c r="P33" s="3284"/>
      <c r="Q33" s="1806"/>
      <c r="R33" s="772"/>
      <c r="S33" s="773"/>
      <c r="T33" s="772"/>
      <c r="U33" s="773"/>
      <c r="V33" s="772"/>
      <c r="W33" s="773"/>
      <c r="X33" s="1809"/>
      <c r="Y33" s="3284"/>
      <c r="Z33" s="1810"/>
      <c r="AA33" s="1807">
        <v>1</v>
      </c>
      <c r="AB33" s="1807">
        <v>1</v>
      </c>
      <c r="AC33" s="1807">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84"/>
      <c r="Q34" s="1806" t="str">
        <f t="shared" si="8"/>
        <v>土地级别</v>
      </c>
      <c r="R34" s="772" t="s">
        <v>17</v>
      </c>
      <c r="S34" s="773">
        <f t="shared" si="10"/>
        <v>100</v>
      </c>
      <c r="T34" s="772" t="s">
        <v>17</v>
      </c>
      <c r="U34" s="773">
        <f t="shared" si="11"/>
        <v>100</v>
      </c>
      <c r="V34" s="772" t="s">
        <v>17</v>
      </c>
      <c r="W34" s="773">
        <f t="shared" si="12"/>
        <v>100</v>
      </c>
      <c r="X34" s="1809"/>
      <c r="Y34" s="3284"/>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84"/>
      <c r="Q35" s="1806">
        <f t="shared" si="8"/>
        <v>111</v>
      </c>
      <c r="R35" s="772" t="s">
        <v>17</v>
      </c>
      <c r="S35" s="773">
        <f t="shared" si="10"/>
        <v>100</v>
      </c>
      <c r="T35" s="772" t="s">
        <v>17</v>
      </c>
      <c r="U35" s="773">
        <f t="shared" si="11"/>
        <v>100</v>
      </c>
      <c r="V35" s="772" t="s">
        <v>17</v>
      </c>
      <c r="W35" s="773">
        <f t="shared" si="12"/>
        <v>100</v>
      </c>
      <c r="X35" s="1809"/>
      <c r="Y35" s="3284"/>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44" t="s">
        <v>2558</v>
      </c>
      <c r="Q36" s="1806">
        <f t="shared" si="8"/>
        <v>111</v>
      </c>
      <c r="R36" s="772" t="s">
        <v>17</v>
      </c>
      <c r="S36" s="773">
        <f t="shared" si="10"/>
        <v>100</v>
      </c>
      <c r="T36" s="772" t="s">
        <v>17</v>
      </c>
      <c r="U36" s="773">
        <f t="shared" si="11"/>
        <v>100</v>
      </c>
      <c r="V36" s="772" t="s">
        <v>17</v>
      </c>
      <c r="W36" s="773">
        <f t="shared" si="12"/>
        <v>100</v>
      </c>
      <c r="X36" s="1809"/>
      <c r="Y36" s="3288" t="s">
        <v>2558</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88"/>
      <c r="Q37" s="1806">
        <f t="shared" si="8"/>
        <v>111</v>
      </c>
      <c r="R37" s="775" t="s">
        <v>17</v>
      </c>
      <c r="S37" s="776">
        <f t="shared" si="10"/>
        <v>100</v>
      </c>
      <c r="T37" s="775" t="s">
        <v>17</v>
      </c>
      <c r="U37" s="776">
        <f t="shared" si="11"/>
        <v>100</v>
      </c>
      <c r="V37" s="775" t="s">
        <v>17</v>
      </c>
      <c r="W37" s="776">
        <f t="shared" si="12"/>
        <v>100</v>
      </c>
      <c r="X37" s="777"/>
      <c r="Y37" s="3288"/>
      <c r="Z37" s="778">
        <f t="shared" si="13"/>
        <v>111</v>
      </c>
      <c r="AA37" s="1807">
        <f t="shared" si="3"/>
        <v>1</v>
      </c>
      <c r="AB37" s="1807">
        <f t="shared" si="4"/>
        <v>1</v>
      </c>
      <c r="AC37" s="1807">
        <f t="shared" si="5"/>
        <v>1</v>
      </c>
    </row>
    <row r="38" spans="1:29" ht="15">
      <c r="A38" s="471" t="s">
        <v>2556</v>
      </c>
      <c r="B38" s="455" t="s">
        <v>2744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6"/>
      <c r="M38" s="1127"/>
      <c r="N38" s="1127"/>
      <c r="O38" s="1135"/>
      <c r="P38" s="3288"/>
      <c r="Q38" s="1806" t="str">
        <f>B38</f>
        <v>宗地面积</v>
      </c>
      <c r="R38" s="772" t="s">
        <v>17</v>
      </c>
      <c r="S38" s="773" t="e">
        <f t="shared" si="10"/>
        <v>#N/A</v>
      </c>
      <c r="T38" s="772" t="s">
        <v>17</v>
      </c>
      <c r="U38" s="773" t="e">
        <f t="shared" si="11"/>
        <v>#N/A</v>
      </c>
      <c r="V38" s="772" t="s">
        <v>17</v>
      </c>
      <c r="W38" s="773" t="e">
        <f t="shared" si="12"/>
        <v>#N/A</v>
      </c>
      <c r="X38" s="1809"/>
      <c r="Y38" s="3288"/>
      <c r="Z38" s="1810" t="str">
        <f t="shared" si="13"/>
        <v>宗地面积</v>
      </c>
      <c r="AA38" s="1807" t="e">
        <f t="shared" si="3"/>
        <v>#N/A</v>
      </c>
      <c r="AB38" s="1807" t="e">
        <f t="shared" si="4"/>
        <v>#N/A</v>
      </c>
      <c r="AC38" s="1807" t="e">
        <f t="shared" si="5"/>
        <v>#N/A</v>
      </c>
    </row>
    <row r="39" spans="1:29" ht="15">
      <c r="A39" s="471"/>
      <c r="B39" s="421" t="s">
        <v>2745</v>
      </c>
      <c r="C39" s="2605"/>
      <c r="D39" s="434">
        <v>100</v>
      </c>
      <c r="E39" s="2605"/>
      <c r="F39" s="434">
        <f>SUMIF(119:119,E39,120:120)-SUMIF(119:119,C39,120:120)+100</f>
        <v>100</v>
      </c>
      <c r="G39" s="2605"/>
      <c r="H39" s="434">
        <f>SUMIF(119:119,G39,120:120)-SUMIF(119:119,C39,120:120)+100</f>
        <v>100</v>
      </c>
      <c r="I39" s="2605"/>
      <c r="J39" s="434">
        <f>SUMIF(119:119,I39,120:120)-SUMIF(119:119,C39,120:120)+100</f>
        <v>100</v>
      </c>
      <c r="K39" s="611"/>
      <c r="L39" s="1136"/>
      <c r="M39" s="1127"/>
      <c r="N39" s="1127"/>
      <c r="O39" s="1135"/>
      <c r="P39" s="3288"/>
      <c r="Q39" s="1806" t="str">
        <f t="shared" ref="Q39:Q45" si="14">B39</f>
        <v>宗地形状</v>
      </c>
      <c r="R39" s="772" t="s">
        <v>17</v>
      </c>
      <c r="S39" s="773">
        <f t="shared" si="10"/>
        <v>100</v>
      </c>
      <c r="T39" s="772" t="s">
        <v>17</v>
      </c>
      <c r="U39" s="773">
        <f t="shared" si="11"/>
        <v>100</v>
      </c>
      <c r="V39" s="772" t="s">
        <v>17</v>
      </c>
      <c r="W39" s="773">
        <f t="shared" si="12"/>
        <v>100</v>
      </c>
      <c r="X39" s="1809"/>
      <c r="Y39" s="3288"/>
      <c r="Z39" s="1810" t="str">
        <f t="shared" si="13"/>
        <v>宗地形状</v>
      </c>
      <c r="AA39" s="1807">
        <f t="shared" si="3"/>
        <v>1</v>
      </c>
      <c r="AB39" s="1807">
        <f t="shared" si="4"/>
        <v>1</v>
      </c>
      <c r="AC39" s="1807">
        <f t="shared" si="5"/>
        <v>1</v>
      </c>
    </row>
    <row r="40" spans="1:29" ht="15">
      <c r="A40" s="471"/>
      <c r="B40" s="421" t="s">
        <v>2746</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6"/>
      <c r="M40" s="1127"/>
      <c r="N40" s="1127"/>
      <c r="O40" s="1135"/>
      <c r="P40" s="3288"/>
      <c r="Q40" s="1806" t="str">
        <f t="shared" si="14"/>
        <v>临街宽度及深度</v>
      </c>
      <c r="R40" s="772" t="s">
        <v>17</v>
      </c>
      <c r="S40" s="773">
        <f t="shared" si="10"/>
        <v>100</v>
      </c>
      <c r="T40" s="772" t="s">
        <v>17</v>
      </c>
      <c r="U40" s="773">
        <f t="shared" si="11"/>
        <v>100</v>
      </c>
      <c r="V40" s="772" t="s">
        <v>17</v>
      </c>
      <c r="W40" s="773">
        <f t="shared" si="12"/>
        <v>100</v>
      </c>
      <c r="X40" s="1809"/>
      <c r="Y40" s="3288"/>
      <c r="Z40" s="1810" t="str">
        <f t="shared" si="13"/>
        <v>临街宽度及深度</v>
      </c>
      <c r="AA40" s="1807">
        <f t="shared" si="3"/>
        <v>1</v>
      </c>
      <c r="AB40" s="1807">
        <f t="shared" si="4"/>
        <v>1</v>
      </c>
      <c r="AC40" s="1807">
        <f t="shared" si="5"/>
        <v>1</v>
      </c>
    </row>
    <row r="41" spans="1:29" s="116" customFormat="1" ht="15">
      <c r="A41" s="472"/>
      <c r="B41" s="421" t="s">
        <v>2747</v>
      </c>
      <c r="C41" s="2690"/>
      <c r="D41" s="135">
        <v>100</v>
      </c>
      <c r="E41" s="2690"/>
      <c r="F41" s="434">
        <f>SUMIF(123:123,E41,124:124)-SUMIF(123:123,C41,124:124)+100</f>
        <v>100</v>
      </c>
      <c r="G41" s="2690"/>
      <c r="H41" s="434">
        <f>SUMIF(123:123,G41,124:124)-SUMIF(123:123,C41,124:124)+100</f>
        <v>100</v>
      </c>
      <c r="I41" s="2690"/>
      <c r="J41" s="434">
        <f>SUMIF(123:123,I41,124:124)-SUMIF(123:123,C41,124:124)+100</f>
        <v>100</v>
      </c>
      <c r="K41" s="611"/>
      <c r="L41" s="1128"/>
      <c r="M41" s="1129"/>
      <c r="N41" s="1129"/>
      <c r="O41" s="1130"/>
      <c r="P41" s="3288"/>
      <c r="Q41" s="1806" t="str">
        <f t="shared" si="14"/>
        <v>宗地开发程度</v>
      </c>
      <c r="R41" s="768" t="s">
        <v>17</v>
      </c>
      <c r="S41" s="769">
        <f t="shared" si="10"/>
        <v>100</v>
      </c>
      <c r="T41" s="768" t="s">
        <v>17</v>
      </c>
      <c r="U41" s="769">
        <f t="shared" si="11"/>
        <v>100</v>
      </c>
      <c r="V41" s="768" t="s">
        <v>17</v>
      </c>
      <c r="W41" s="769">
        <f t="shared" si="12"/>
        <v>100</v>
      </c>
      <c r="X41" s="770"/>
      <c r="Y41" s="3288"/>
      <c r="Z41" s="55" t="str">
        <f t="shared" si="13"/>
        <v>宗地开发程度</v>
      </c>
      <c r="AA41" s="771">
        <f t="shared" si="3"/>
        <v>1</v>
      </c>
      <c r="AB41" s="771">
        <f t="shared" si="4"/>
        <v>1</v>
      </c>
      <c r="AC41" s="771">
        <f t="shared" si="5"/>
        <v>1</v>
      </c>
    </row>
    <row r="42" spans="1:29" ht="15">
      <c r="A42" s="471"/>
      <c r="B42" s="421" t="s">
        <v>2748</v>
      </c>
      <c r="C42" s="2605"/>
      <c r="D42" s="434">
        <v>100</v>
      </c>
      <c r="E42" s="2605"/>
      <c r="F42" s="434">
        <f>SUMIF(125:125,E42,126:126)-SUMIF(125:125,C42,126:126)+100</f>
        <v>100</v>
      </c>
      <c r="G42" s="2605"/>
      <c r="H42" s="434">
        <f>SUMIF(125:125,G42,126:126)-SUMIF(125:125,C42,126:126)+100</f>
        <v>100</v>
      </c>
      <c r="I42" s="2605"/>
      <c r="J42" s="434">
        <f>SUMIF(125:125,I42,126:126)-SUMIF(125:125,C42,126:126)+100</f>
        <v>100</v>
      </c>
      <c r="K42" s="611"/>
      <c r="L42" s="1136"/>
      <c r="M42" s="1127"/>
      <c r="N42" s="1127"/>
      <c r="O42" s="1135"/>
      <c r="P42" s="3288" t="s">
        <v>2558</v>
      </c>
      <c r="Q42" s="1806" t="str">
        <f t="shared" si="14"/>
        <v>工程地质条件</v>
      </c>
      <c r="R42" s="772" t="s">
        <v>17</v>
      </c>
      <c r="S42" s="773">
        <f t="shared" si="10"/>
        <v>100</v>
      </c>
      <c r="T42" s="772" t="s">
        <v>17</v>
      </c>
      <c r="U42" s="773">
        <f t="shared" si="11"/>
        <v>100</v>
      </c>
      <c r="V42" s="772" t="s">
        <v>17</v>
      </c>
      <c r="W42" s="773">
        <f t="shared" si="12"/>
        <v>100</v>
      </c>
      <c r="X42" s="1809"/>
      <c r="Y42" s="3288" t="s">
        <v>2558</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88"/>
      <c r="Q43" s="1806">
        <f t="shared" si="14"/>
        <v>111</v>
      </c>
      <c r="R43" s="772" t="s">
        <v>17</v>
      </c>
      <c r="S43" s="773">
        <f t="shared" si="10"/>
        <v>100</v>
      </c>
      <c r="T43" s="772" t="s">
        <v>17</v>
      </c>
      <c r="U43" s="773">
        <f t="shared" si="11"/>
        <v>100</v>
      </c>
      <c r="V43" s="772" t="s">
        <v>17</v>
      </c>
      <c r="W43" s="773">
        <f t="shared" si="12"/>
        <v>100</v>
      </c>
      <c r="X43" s="1809"/>
      <c r="Y43" s="3288"/>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88"/>
      <c r="Q44" s="1806">
        <f t="shared" si="14"/>
        <v>111</v>
      </c>
      <c r="R44" s="772" t="s">
        <v>17</v>
      </c>
      <c r="S44" s="773">
        <f t="shared" si="10"/>
        <v>100</v>
      </c>
      <c r="T44" s="772" t="s">
        <v>17</v>
      </c>
      <c r="U44" s="773">
        <f t="shared" si="11"/>
        <v>100</v>
      </c>
      <c r="V44" s="772" t="s">
        <v>17</v>
      </c>
      <c r="W44" s="773">
        <f t="shared" si="12"/>
        <v>100</v>
      </c>
      <c r="X44" s="1809"/>
      <c r="Y44" s="3288"/>
      <c r="Z44" s="1810">
        <f t="shared" si="13"/>
        <v>111</v>
      </c>
      <c r="AA44" s="1807">
        <f t="shared" si="3"/>
        <v>1</v>
      </c>
      <c r="AB44" s="1807">
        <f t="shared" si="4"/>
        <v>1</v>
      </c>
      <c r="AC44" s="1807">
        <f t="shared" si="5"/>
        <v>1</v>
      </c>
    </row>
    <row r="45" spans="1:29" s="470" customFormat="1" ht="15.75" thickBot="1">
      <c r="A45" s="467"/>
      <c r="B45" s="1383">
        <v>111</v>
      </c>
      <c r="C45" s="2691"/>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88"/>
      <c r="Q45" s="1806">
        <f t="shared" si="14"/>
        <v>111</v>
      </c>
      <c r="R45" s="775" t="s">
        <v>17</v>
      </c>
      <c r="S45" s="776">
        <f t="shared" si="10"/>
        <v>100</v>
      </c>
      <c r="T45" s="775" t="s">
        <v>17</v>
      </c>
      <c r="U45" s="776">
        <f t="shared" si="11"/>
        <v>100</v>
      </c>
      <c r="V45" s="775" t="s">
        <v>17</v>
      </c>
      <c r="W45" s="776">
        <f t="shared" si="12"/>
        <v>100</v>
      </c>
      <c r="X45" s="777"/>
      <c r="Y45" s="3288"/>
      <c r="Z45" s="778">
        <f t="shared" si="13"/>
        <v>111</v>
      </c>
      <c r="AA45" s="1807">
        <f t="shared" si="3"/>
        <v>1</v>
      </c>
      <c r="AB45" s="1807">
        <f t="shared" si="4"/>
        <v>1</v>
      </c>
      <c r="AC45" s="1807">
        <f t="shared" si="5"/>
        <v>1</v>
      </c>
    </row>
    <row r="46" spans="1:29" ht="15">
      <c r="A46" s="478" t="s">
        <v>2713</v>
      </c>
      <c r="B46" s="2692" t="s">
        <v>2749</v>
      </c>
      <c r="C46" s="681" t="s">
        <v>1</v>
      </c>
      <c r="D46" s="480"/>
      <c r="E46" s="481"/>
      <c r="F46" s="482"/>
      <c r="G46" s="483"/>
      <c r="H46" s="484"/>
      <c r="I46" s="481"/>
      <c r="J46" s="484"/>
      <c r="K46" s="781"/>
      <c r="L46" s="1139"/>
      <c r="M46" s="1140"/>
      <c r="N46" s="1127"/>
      <c r="O46" s="1140"/>
      <c r="P46" s="3290" t="str">
        <f>A46</f>
        <v>成交单价</v>
      </c>
      <c r="Q46" s="3290"/>
      <c r="R46" s="3278">
        <f>E46</f>
        <v>0</v>
      </c>
      <c r="S46" s="3278"/>
      <c r="T46" s="3278">
        <f>G46</f>
        <v>0</v>
      </c>
      <c r="U46" s="3278"/>
      <c r="V46" s="3278">
        <f>I46</f>
        <v>0</v>
      </c>
      <c r="W46" s="3278"/>
      <c r="X46" s="757"/>
      <c r="Y46" s="779"/>
      <c r="Z46" s="757"/>
      <c r="AA46" s="757"/>
      <c r="AB46" s="757"/>
      <c r="AC46" s="757"/>
    </row>
    <row r="47" spans="1:29" ht="15.75" thickBot="1">
      <c r="A47" s="485" t="s">
        <v>2662</v>
      </c>
      <c r="B47" s="682"/>
      <c r="C47" s="489" t="e">
        <f>R48</f>
        <v>#DIV/0!</v>
      </c>
      <c r="D47" s="488"/>
      <c r="E47" s="489" t="e">
        <f>R47</f>
        <v>#DIV/0!</v>
      </c>
      <c r="F47" s="490"/>
      <c r="G47" s="487" t="e">
        <f>T47</f>
        <v>#DIV/0!</v>
      </c>
      <c r="H47" s="488"/>
      <c r="I47" s="489" t="e">
        <f>V47</f>
        <v>#DIV/0!</v>
      </c>
      <c r="J47" s="488"/>
      <c r="K47" s="782"/>
      <c r="L47" s="1139"/>
      <c r="M47" s="1140"/>
      <c r="N47" s="1140"/>
      <c r="O47" s="1140"/>
      <c r="P47" s="3290" t="str">
        <f>A47</f>
        <v>比较价值（元/平方米）</v>
      </c>
      <c r="Q47" s="3290"/>
      <c r="R47" s="3351" t="e">
        <f>ROUND(PRODUCT(R46,AA7:AA45),0)</f>
        <v>#DIV/0!</v>
      </c>
      <c r="S47" s="3351"/>
      <c r="T47" s="3351" t="e">
        <f>ROUND(PRODUCT(T46,AB7:AB45),0)</f>
        <v>#DIV/0!</v>
      </c>
      <c r="U47" s="3351"/>
      <c r="V47" s="3351" t="e">
        <f>ROUND(PRODUCT(V46,AC7:AC45),0)</f>
        <v>#DIV/0!</v>
      </c>
      <c r="W47" s="3351"/>
      <c r="X47" s="757"/>
      <c r="Y47" s="757"/>
      <c r="Z47" s="757"/>
      <c r="AA47" s="757"/>
      <c r="AB47" s="757"/>
      <c r="AC47" s="757"/>
    </row>
    <row r="48" spans="1:29" ht="15.75" thickBot="1">
      <c r="A48" s="491" t="s">
        <v>2750</v>
      </c>
      <c r="B48" s="492"/>
      <c r="C48" s="493" t="e">
        <f>R48</f>
        <v>#DIV/0!</v>
      </c>
      <c r="D48" s="493"/>
      <c r="E48" s="493"/>
      <c r="F48" s="493"/>
      <c r="G48" s="493"/>
      <c r="H48" s="493"/>
      <c r="I48" s="493"/>
      <c r="J48" s="493"/>
      <c r="K48" s="783"/>
      <c r="L48" s="1139"/>
      <c r="M48" s="1140"/>
      <c r="N48" s="1140"/>
      <c r="O48" s="1140"/>
      <c r="P48" s="3341" t="str">
        <f>A48</f>
        <v>估价对象XX用房的比较价值（楼面单价，元/平方米）</v>
      </c>
      <c r="Q48" s="3342"/>
      <c r="R48" s="3352" t="e">
        <f>ROUND(AVERAGE(R47:V47),0)</f>
        <v>#DIV/0!</v>
      </c>
      <c r="S48" s="3352"/>
      <c r="T48" s="3352"/>
      <c r="U48" s="3352"/>
      <c r="V48" s="3352"/>
      <c r="W48" s="3352"/>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2664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40"/>
      <c r="N51" s="1140"/>
      <c r="O51" s="1140"/>
    </row>
    <row r="52" spans="1:15" ht="13.5" customHeight="1">
      <c r="A52" s="1140"/>
      <c r="B52" s="1140"/>
      <c r="C52" s="496" t="s">
        <v>2665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40"/>
      <c r="N52" s="1140"/>
      <c r="O52" s="1140"/>
    </row>
    <row r="53" spans="1:15" s="501" customFormat="1" ht="13.5" customHeight="1">
      <c r="A53" s="1141"/>
      <c r="B53" s="1141"/>
      <c r="C53" s="496" t="s">
        <v>2666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4"/>
      <c r="L53" s="1145"/>
      <c r="M53" s="1141"/>
      <c r="N53" s="1141"/>
      <c r="O53" s="1141"/>
    </row>
    <row r="54" spans="1:15" s="501" customFormat="1" ht="15" thickBot="1">
      <c r="A54" s="1141"/>
      <c r="B54" s="1142"/>
      <c r="C54" s="760"/>
      <c r="D54" s="758"/>
      <c r="E54" s="758"/>
      <c r="F54" s="758"/>
      <c r="G54" s="758"/>
      <c r="H54" s="758"/>
      <c r="I54" s="758"/>
      <c r="J54" s="758"/>
      <c r="K54" s="1144"/>
      <c r="L54" s="1145"/>
      <c r="M54" s="1141"/>
      <c r="N54" s="1141"/>
      <c r="O54" s="1141"/>
    </row>
    <row r="55" spans="1:15" ht="27" customHeight="1">
      <c r="A55" s="683" t="s">
        <v>2751</v>
      </c>
      <c r="B55" s="684" t="s">
        <v>2752</v>
      </c>
      <c r="C55" s="2693" t="s">
        <v>2753</v>
      </c>
      <c r="D55" s="2694" t="s">
        <v>2754</v>
      </c>
      <c r="E55" s="685" t="s">
        <v>2755</v>
      </c>
      <c r="F55" s="1103" t="s">
        <v>2756</v>
      </c>
      <c r="G55" s="3265" t="s">
        <v>2757</v>
      </c>
      <c r="H55" s="3353"/>
      <c r="I55" s="143" t="s">
        <v>2758</v>
      </c>
      <c r="J55" s="2695">
        <f>项目基本情况!F35</f>
        <v>0</v>
      </c>
      <c r="K55" s="2696" t="s">
        <v>2759</v>
      </c>
      <c r="L55" s="1102"/>
      <c r="M55" s="1140"/>
      <c r="N55" s="1140"/>
      <c r="O55" s="1140"/>
    </row>
    <row r="56" spans="1:15" s="691" customFormat="1">
      <c r="A56" s="687" t="s">
        <v>2760</v>
      </c>
      <c r="B56" s="688" t="e">
        <f>C48</f>
        <v>#DIV/0!</v>
      </c>
      <c r="C56" s="689">
        <v>1</v>
      </c>
      <c r="D56" s="1159">
        <v>1</v>
      </c>
      <c r="E56" s="689">
        <f>'数据-汇总表'!E8+'数据-汇总表'!E9</f>
        <v>40781.420000000006</v>
      </c>
      <c r="F56" s="1099" t="e">
        <f t="shared" ref="F56:F65" si="15">ROUND(B56*E56/10000,0)</f>
        <v>#DIV/0!</v>
      </c>
      <c r="G56" s="3261"/>
      <c r="H56" s="3290"/>
      <c r="I56" s="1104">
        <v>1</v>
      </c>
      <c r="J56" s="1107">
        <v>1</v>
      </c>
      <c r="K56" s="1141"/>
      <c r="L56" s="937"/>
      <c r="M56" s="937"/>
      <c r="N56" s="937"/>
      <c r="O56" s="937"/>
    </row>
    <row r="57" spans="1:15" s="691" customFormat="1">
      <c r="A57" s="692" t="s">
        <v>2761</v>
      </c>
      <c r="B57" s="261" t="e">
        <f>ROUND($C$48*C57*D57,0)</f>
        <v>#DIV/0!</v>
      </c>
      <c r="C57" s="199">
        <f t="shared" ref="C57:C65" si="16">IF($C$55="北京市系数",I57,J57)</f>
        <v>0</v>
      </c>
      <c r="D57" s="1160">
        <v>0.25</v>
      </c>
      <c r="E57" s="693"/>
      <c r="F57" s="1099" t="e">
        <f t="shared" si="15"/>
        <v>#DIV/0!</v>
      </c>
      <c r="G57" s="3354" t="s">
        <v>2762</v>
      </c>
      <c r="H57" s="1100">
        <f>项目基本情况!B37</f>
        <v>0</v>
      </c>
      <c r="I57" s="1104">
        <f>SUMIF(修正!A45:A56,H57,修正!B45:B56)</f>
        <v>0</v>
      </c>
      <c r="J57" s="1108"/>
      <c r="K57" s="1140"/>
      <c r="L57" s="937"/>
      <c r="M57" s="937"/>
      <c r="N57" s="937"/>
      <c r="O57" s="937"/>
    </row>
    <row r="58" spans="1:15" s="691" customFormat="1">
      <c r="A58" s="692" t="s">
        <v>2763</v>
      </c>
      <c r="B58" s="261" t="e">
        <f t="shared" ref="B58:B65" si="17">ROUND($C$48*C58*D58,0)</f>
        <v>#DIV/0!</v>
      </c>
      <c r="C58" s="199">
        <f t="shared" si="16"/>
        <v>0</v>
      </c>
      <c r="D58" s="1160">
        <v>0.25</v>
      </c>
      <c r="E58" s="693"/>
      <c r="F58" s="1099" t="e">
        <f t="shared" si="15"/>
        <v>#DIV/0!</v>
      </c>
      <c r="G58" s="3354"/>
      <c r="H58" s="1100">
        <f>项目基本情况!B37</f>
        <v>0</v>
      </c>
      <c r="I58" s="1104">
        <f>SUMIF(修正!A45:A56,H58,修正!C45:C56)</f>
        <v>0</v>
      </c>
      <c r="J58" s="1108"/>
      <c r="K58" s="1141"/>
      <c r="L58" s="937"/>
      <c r="M58" s="937"/>
      <c r="N58" s="937"/>
      <c r="O58" s="937"/>
    </row>
    <row r="59" spans="1:15" s="691" customFormat="1">
      <c r="A59" s="692" t="s">
        <v>2764</v>
      </c>
      <c r="B59" s="261" t="e">
        <f t="shared" si="17"/>
        <v>#DIV/0!</v>
      </c>
      <c r="C59" s="199">
        <f t="shared" si="16"/>
        <v>0</v>
      </c>
      <c r="D59" s="1160">
        <v>0.25</v>
      </c>
      <c r="E59" s="693"/>
      <c r="F59" s="1099" t="e">
        <f t="shared" si="15"/>
        <v>#DIV/0!</v>
      </c>
      <c r="G59" s="3354"/>
      <c r="H59" s="1100">
        <f>项目基本情况!B37</f>
        <v>0</v>
      </c>
      <c r="I59" s="1104">
        <f>SUMIF(修正!A45:A56,H59,修正!D45:D56)</f>
        <v>0</v>
      </c>
      <c r="J59" s="1108"/>
      <c r="K59" s="1140"/>
      <c r="L59" s="937"/>
      <c r="M59" s="937"/>
      <c r="N59" s="937"/>
      <c r="O59" s="937"/>
    </row>
    <row r="60" spans="1:15" s="691" customFormat="1">
      <c r="A60" s="692" t="s">
        <v>2765</v>
      </c>
      <c r="B60" s="261" t="e">
        <f t="shared" si="17"/>
        <v>#DIV/0!</v>
      </c>
      <c r="C60" s="199">
        <f t="shared" si="16"/>
        <v>0</v>
      </c>
      <c r="D60" s="1160">
        <v>0.25</v>
      </c>
      <c r="E60" s="693"/>
      <c r="F60" s="1099" t="e">
        <f t="shared" si="15"/>
        <v>#DIV/0!</v>
      </c>
      <c r="G60" s="3354"/>
      <c r="H60" s="1100">
        <f>项目基本情况!B37</f>
        <v>0</v>
      </c>
      <c r="I60" s="1104">
        <f>SUMIF(修正!A45:A56,H60,修正!E45:E56)</f>
        <v>0</v>
      </c>
      <c r="J60" s="1108"/>
      <c r="K60" s="1141"/>
      <c r="L60" s="937"/>
      <c r="M60" s="937"/>
      <c r="N60" s="937"/>
      <c r="O60" s="937"/>
    </row>
    <row r="61" spans="1:15" s="691" customFormat="1">
      <c r="A61" s="692" t="s">
        <v>2766</v>
      </c>
      <c r="B61" s="261" t="e">
        <f t="shared" si="17"/>
        <v>#DIV/0!</v>
      </c>
      <c r="C61" s="199">
        <f t="shared" si="16"/>
        <v>0.3</v>
      </c>
      <c r="D61" s="1160">
        <v>0.25</v>
      </c>
      <c r="E61" s="260">
        <f>'数据-汇总表'!E11</f>
        <v>0</v>
      </c>
      <c r="F61" s="1099" t="e">
        <f t="shared" si="15"/>
        <v>#DIV/0!</v>
      </c>
      <c r="G61" s="2697" t="s">
        <v>2767</v>
      </c>
      <c r="H61" s="1100" t="str">
        <f>项目基本情况!C37</f>
        <v>二级</v>
      </c>
      <c r="I61" s="1104">
        <f>SUMIF(修正!A45:A56,H61,修正!F45:F56)</f>
        <v>0.3</v>
      </c>
      <c r="J61" s="1108"/>
      <c r="K61" s="1140"/>
      <c r="L61" s="937"/>
      <c r="M61" s="937"/>
      <c r="N61" s="937"/>
      <c r="O61" s="937"/>
    </row>
    <row r="62" spans="1:15" s="691" customFormat="1">
      <c r="A62" s="692" t="s">
        <v>2768</v>
      </c>
      <c r="B62" s="261" t="e">
        <f t="shared" si="17"/>
        <v>#DIV/0!</v>
      </c>
      <c r="C62" s="199">
        <f t="shared" si="16"/>
        <v>0.3</v>
      </c>
      <c r="D62" s="1160">
        <v>0.25</v>
      </c>
      <c r="E62" s="260">
        <f>'数据-汇总表'!E12</f>
        <v>0</v>
      </c>
      <c r="F62" s="1099" t="e">
        <f t="shared" si="15"/>
        <v>#DIV/0!</v>
      </c>
      <c r="G62" s="1105" t="s">
        <v>2769</v>
      </c>
      <c r="H62" s="1100" t="str">
        <f>IF(G62="商业",项目基本情况!B37,IF(G62="办公",项目基本情况!C37,IF(G62="住宅",项目基本情况!D37,项目基本情况!E37)))</f>
        <v>二级</v>
      </c>
      <c r="I62" s="1104">
        <f>SUMIF(修正!A45:A56,H62,修正!G45:G56)</f>
        <v>0.3</v>
      </c>
      <c r="J62" s="1108"/>
      <c r="K62" s="1141"/>
      <c r="L62" s="937"/>
      <c r="M62" s="937"/>
      <c r="N62" s="937"/>
      <c r="O62" s="937"/>
    </row>
    <row r="63" spans="1:15" s="691" customFormat="1">
      <c r="A63" s="692" t="s">
        <v>2770</v>
      </c>
      <c r="B63" s="261" t="e">
        <f t="shared" si="17"/>
        <v>#DIV/0!</v>
      </c>
      <c r="C63" s="199">
        <f t="shared" si="16"/>
        <v>0</v>
      </c>
      <c r="D63" s="1160">
        <v>0.25</v>
      </c>
      <c r="E63" s="260">
        <f>'数据-汇总表'!E13</f>
        <v>0</v>
      </c>
      <c r="F63" s="1099" t="e">
        <f t="shared" si="15"/>
        <v>#DIV/0!</v>
      </c>
      <c r="G63" s="1105" t="s">
        <v>2771</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2772</v>
      </c>
      <c r="B64" s="261" t="e">
        <f t="shared" si="17"/>
        <v>#DIV/0!</v>
      </c>
      <c r="C64" s="199">
        <f t="shared" si="16"/>
        <v>0</v>
      </c>
      <c r="D64" s="1160">
        <v>0.25</v>
      </c>
      <c r="E64" s="260">
        <f>'数据-汇总表'!E14</f>
        <v>0</v>
      </c>
      <c r="F64" s="1099" t="e">
        <f t="shared" si="15"/>
        <v>#DIV/0!</v>
      </c>
      <c r="G64" s="2697" t="s">
        <v>2762</v>
      </c>
      <c r="H64" s="1100">
        <f>项目基本情况!B37</f>
        <v>0</v>
      </c>
      <c r="I64" s="1104">
        <f>SUMIF(修正!A45:A56,H64,修正!H45:H56)</f>
        <v>0</v>
      </c>
      <c r="J64" s="1108"/>
      <c r="K64" s="1141"/>
      <c r="L64" s="937"/>
      <c r="M64" s="937"/>
      <c r="N64" s="937"/>
      <c r="O64" s="937"/>
    </row>
    <row r="65" spans="1:17" s="691" customFormat="1" ht="15" thickBot="1">
      <c r="A65" s="692" t="s">
        <v>2773</v>
      </c>
      <c r="B65" s="261" t="e">
        <f t="shared" si="17"/>
        <v>#DIV/0!</v>
      </c>
      <c r="C65" s="199">
        <f t="shared" si="16"/>
        <v>0.25</v>
      </c>
      <c r="D65" s="1160">
        <v>0.25</v>
      </c>
      <c r="E65" s="260">
        <f>'数据-汇总表'!E15</f>
        <v>7705.92</v>
      </c>
      <c r="F65" s="1099" t="e">
        <f t="shared" si="15"/>
        <v>#DIV/0!</v>
      </c>
      <c r="G65" s="2698" t="s">
        <v>2767</v>
      </c>
      <c r="H65" s="1110" t="str">
        <f>项目基本情况!C37</f>
        <v>二级</v>
      </c>
      <c r="I65" s="1106">
        <f>SUMIF(修正!A45:A56,H65,修正!H45:H56)</f>
        <v>0.25</v>
      </c>
      <c r="J65" s="1109"/>
      <c r="K65" s="1140"/>
      <c r="L65" s="937"/>
      <c r="M65" s="937"/>
      <c r="N65" s="937"/>
      <c r="O65" s="937"/>
    </row>
    <row r="66" spans="1:17" s="691" customFormat="1" ht="13.5" thickBot="1">
      <c r="A66" s="694" t="s">
        <v>2774</v>
      </c>
      <c r="B66" s="695" t="s">
        <v>28</v>
      </c>
      <c r="C66" s="695" t="s">
        <v>29</v>
      </c>
      <c r="D66" s="695" t="s">
        <v>1029</v>
      </c>
      <c r="E66" s="695">
        <f>IF(B46="楼面地价",SUM(E56:E65),'数据-汇总表'!D3)</f>
        <v>48487.340000000004</v>
      </c>
      <c r="F66" s="696" t="e">
        <f>IF(B46="楼面地价",SUM(F56:F65),ROUND(C48*E66/10000,0))</f>
        <v>#DIV/0!</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2667</v>
      </c>
      <c r="B69" s="757"/>
      <c r="C69" s="762"/>
      <c r="D69" s="762"/>
      <c r="E69" s="762"/>
      <c r="F69" s="763"/>
      <c r="G69" s="763"/>
      <c r="H69" s="762"/>
      <c r="I69" s="762"/>
      <c r="J69" s="1155"/>
      <c r="K69" s="1156"/>
      <c r="L69" s="1157"/>
      <c r="M69" s="1155"/>
      <c r="N69" s="1155"/>
      <c r="O69" s="1155"/>
      <c r="P69" s="502"/>
      <c r="Q69" s="503"/>
    </row>
    <row r="70" spans="1:17" s="507" customFormat="1" ht="15">
      <c r="A70" s="2699" t="s">
        <v>2775</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6"/>
    </row>
    <row r="71" spans="1:17" s="116" customFormat="1" ht="30" customHeight="1">
      <c r="A71" s="2700" t="s">
        <v>2776</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3"/>
      <c r="N71" s="594"/>
      <c r="O71" s="1564"/>
      <c r="P71" s="503"/>
    </row>
    <row r="72" spans="1:17" s="116" customFormat="1" ht="15.75" thickBot="1">
      <c r="A72" s="514" t="s">
        <v>2578</v>
      </c>
      <c r="B72" s="515"/>
      <c r="C72" s="516"/>
      <c r="D72" s="517"/>
      <c r="E72" s="517"/>
      <c r="F72" s="517"/>
      <c r="G72" s="517"/>
      <c r="H72" s="517"/>
      <c r="I72" s="517"/>
      <c r="J72" s="517"/>
      <c r="K72" s="517"/>
      <c r="L72" s="517"/>
      <c r="M72" s="518"/>
      <c r="N72" s="517"/>
      <c r="O72" s="1158"/>
      <c r="P72" s="503"/>
      <c r="Q72" s="503"/>
    </row>
    <row r="73" spans="1:17" s="116" customFormat="1" ht="15">
      <c r="A73" s="520" t="s">
        <v>2543</v>
      </c>
      <c r="B73" s="509"/>
      <c r="C73" s="521" t="s">
        <v>2645</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2581</v>
      </c>
      <c r="B75" s="527" t="s">
        <v>2547</v>
      </c>
      <c r="C75" s="529"/>
      <c r="D75" s="529"/>
      <c r="E75" s="529"/>
      <c r="F75" s="529"/>
      <c r="G75" s="529"/>
      <c r="H75" s="529"/>
      <c r="I75" s="529"/>
      <c r="J75" s="529"/>
      <c r="K75" s="530"/>
      <c r="L75" s="531"/>
      <c r="M75" s="532"/>
      <c r="N75" s="1148"/>
      <c r="O75" s="1148"/>
      <c r="P75" s="45"/>
      <c r="Q75" s="503"/>
    </row>
    <row r="76" spans="1:17" ht="15.75" thickBot="1">
      <c r="A76" s="533"/>
      <c r="B76" s="534"/>
      <c r="C76" s="535"/>
      <c r="D76" s="535"/>
      <c r="E76" s="535"/>
      <c r="F76" s="535"/>
      <c r="G76" s="535"/>
      <c r="H76" s="535"/>
      <c r="I76" s="535"/>
      <c r="J76" s="535"/>
      <c r="K76" s="535"/>
      <c r="L76" s="535"/>
      <c r="M76" s="536"/>
      <c r="N76" s="1149"/>
      <c r="O76" s="1149"/>
      <c r="P76" s="45"/>
      <c r="Q76" s="503"/>
    </row>
    <row r="77" spans="1:17" ht="27.75" thickTop="1">
      <c r="A77" s="533"/>
      <c r="B77" s="537" t="s">
        <v>2550</v>
      </c>
      <c r="C77" s="538"/>
      <c r="D77" s="538"/>
      <c r="E77" s="538"/>
      <c r="F77" s="538"/>
      <c r="G77" s="538"/>
      <c r="H77" s="538"/>
      <c r="I77" s="538"/>
      <c r="J77" s="538"/>
      <c r="K77" s="539"/>
      <c r="L77" s="540"/>
      <c r="M77" s="541"/>
      <c r="N77" s="1148"/>
      <c r="O77" s="1148"/>
      <c r="P77" s="45"/>
      <c r="Q77" s="503"/>
    </row>
    <row r="78" spans="1:17" ht="15.75" thickBot="1">
      <c r="A78" s="533"/>
      <c r="B78" s="542"/>
      <c r="C78" s="543"/>
      <c r="D78" s="543"/>
      <c r="E78" s="543"/>
      <c r="F78" s="543"/>
      <c r="G78" s="543"/>
      <c r="H78" s="543"/>
      <c r="I78" s="543"/>
      <c r="J78" s="543"/>
      <c r="K78" s="543"/>
      <c r="L78" s="543"/>
      <c r="M78" s="544"/>
      <c r="N78" s="1149"/>
      <c r="O78" s="1149"/>
      <c r="P78" s="45"/>
      <c r="Q78" s="503"/>
    </row>
    <row r="79" spans="1:17" ht="15.75" thickTop="1">
      <c r="A79" s="533"/>
      <c r="B79" s="545" t="s">
        <v>2551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9"/>
      <c r="O79" s="1149"/>
      <c r="P79" s="45"/>
      <c r="Q79" s="503"/>
    </row>
    <row r="80" spans="1:17" ht="15">
      <c r="A80" s="533"/>
      <c r="B80" s="547"/>
      <c r="C80" s="548"/>
      <c r="D80" s="548"/>
      <c r="E80" s="548"/>
      <c r="F80" s="548"/>
      <c r="G80" s="548"/>
      <c r="H80" s="548"/>
      <c r="I80" s="548"/>
      <c r="J80" s="548"/>
      <c r="K80" s="549"/>
      <c r="L80" s="550"/>
      <c r="M80" s="551"/>
      <c r="N80" s="1148"/>
      <c r="O80" s="1148"/>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9"/>
      <c r="O81" s="1149"/>
      <c r="P81" s="45"/>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2552</v>
      </c>
      <c r="B88" s="527" t="s">
        <v>2589</v>
      </c>
      <c r="C88" s="572" t="s">
        <v>2590</v>
      </c>
      <c r="D88" s="572" t="s">
        <v>2591</v>
      </c>
      <c r="E88" s="572" t="s">
        <v>2592</v>
      </c>
      <c r="F88" s="572" t="s">
        <v>2593</v>
      </c>
      <c r="G88" s="572" t="s">
        <v>2594</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5"/>
      <c r="Q89" s="503"/>
    </row>
    <row r="90" spans="1:17" ht="15.75" thickTop="1">
      <c r="A90" s="533"/>
      <c r="B90" s="537" t="s">
        <v>2777</v>
      </c>
      <c r="C90" s="577" t="s">
        <v>2590</v>
      </c>
      <c r="D90" s="577" t="s">
        <v>2591</v>
      </c>
      <c r="E90" s="577" t="s">
        <v>2592</v>
      </c>
      <c r="F90" s="577" t="s">
        <v>2593</v>
      </c>
      <c r="G90" s="577" t="s">
        <v>2594</v>
      </c>
      <c r="H90" s="538"/>
      <c r="I90" s="538"/>
      <c r="J90" s="538"/>
      <c r="K90" s="539"/>
      <c r="L90" s="540"/>
      <c r="M90" s="541"/>
      <c r="N90" s="1148"/>
      <c r="O90" s="1148"/>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9"/>
      <c r="O91" s="1149"/>
      <c r="P91" s="45"/>
      <c r="Q91" s="503"/>
    </row>
    <row r="92" spans="1:17" ht="15.75" thickTop="1">
      <c r="A92" s="533"/>
      <c r="B92" s="537" t="s">
        <v>2690</v>
      </c>
      <c r="C92" s="577" t="s">
        <v>2590</v>
      </c>
      <c r="D92" s="577" t="s">
        <v>2591</v>
      </c>
      <c r="E92" s="577" t="s">
        <v>2592</v>
      </c>
      <c r="F92" s="577" t="s">
        <v>2593</v>
      </c>
      <c r="G92" s="577" t="s">
        <v>2594</v>
      </c>
      <c r="H92" s="538"/>
      <c r="I92" s="538"/>
      <c r="J92" s="538"/>
      <c r="K92" s="539"/>
      <c r="L92" s="540"/>
      <c r="M92" s="541"/>
      <c r="N92" s="1148"/>
      <c r="O92" s="1148"/>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9"/>
      <c r="O93" s="1149"/>
      <c r="P93" s="45"/>
      <c r="Q93" s="503"/>
    </row>
    <row r="94" spans="1:17" ht="15.75" thickTop="1">
      <c r="A94" s="533"/>
      <c r="B94" s="537" t="s">
        <v>2595</v>
      </c>
      <c r="C94" s="577" t="s">
        <v>2590</v>
      </c>
      <c r="D94" s="577" t="s">
        <v>2591</v>
      </c>
      <c r="E94" s="577" t="s">
        <v>2592</v>
      </c>
      <c r="F94" s="577" t="s">
        <v>2593</v>
      </c>
      <c r="G94" s="577" t="s">
        <v>2594</v>
      </c>
      <c r="H94" s="538"/>
      <c r="I94" s="538"/>
      <c r="J94" s="538"/>
      <c r="K94" s="539"/>
      <c r="L94" s="540"/>
      <c r="M94" s="541"/>
      <c r="N94" s="1148"/>
      <c r="O94" s="1148"/>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9"/>
      <c r="O95" s="1149"/>
      <c r="P95" s="45"/>
      <c r="Q95" s="503"/>
    </row>
    <row r="96" spans="1:17" s="116" customFormat="1" ht="15.75" thickTop="1">
      <c r="A96" s="578"/>
      <c r="B96" s="537" t="s">
        <v>2778</v>
      </c>
      <c r="C96" s="577" t="s">
        <v>2590</v>
      </c>
      <c r="D96" s="577" t="s">
        <v>2591</v>
      </c>
      <c r="E96" s="577" t="s">
        <v>2592</v>
      </c>
      <c r="F96" s="577" t="s">
        <v>2593</v>
      </c>
      <c r="G96" s="577" t="s">
        <v>2594</v>
      </c>
      <c r="H96" s="577"/>
      <c r="I96" s="577"/>
      <c r="J96" s="577"/>
      <c r="K96" s="577"/>
      <c r="L96" s="697"/>
      <c r="M96" s="621"/>
      <c r="N96" s="1147"/>
      <c r="O96" s="1147"/>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9"/>
      <c r="O97" s="1149"/>
      <c r="P97" s="45"/>
      <c r="Q97" s="503"/>
    </row>
    <row r="98" spans="1:17" s="116" customFormat="1" ht="27.75" thickTop="1">
      <c r="A98" s="578"/>
      <c r="B98" s="537" t="s">
        <v>2779</v>
      </c>
      <c r="C98" s="572" t="s">
        <v>2590</v>
      </c>
      <c r="D98" s="572" t="s">
        <v>2591</v>
      </c>
      <c r="E98" s="572" t="s">
        <v>2592</v>
      </c>
      <c r="F98" s="572" t="s">
        <v>2593</v>
      </c>
      <c r="G98" s="572" t="s">
        <v>2594</v>
      </c>
      <c r="H98" s="577"/>
      <c r="I98" s="577"/>
      <c r="J98" s="577"/>
      <c r="K98" s="577"/>
      <c r="L98" s="577"/>
      <c r="M98" s="621"/>
      <c r="N98" s="1147"/>
      <c r="O98" s="1147"/>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9"/>
      <c r="O99" s="1149"/>
      <c r="P99" s="45"/>
      <c r="Q99" s="503"/>
    </row>
    <row r="100" spans="1:17" s="470" customFormat="1" ht="15.75" thickTop="1">
      <c r="A100" s="552"/>
      <c r="B100" s="537" t="s">
        <v>2647</v>
      </c>
      <c r="C100" s="572" t="s">
        <v>2590</v>
      </c>
      <c r="D100" s="572" t="s">
        <v>2591</v>
      </c>
      <c r="E100" s="572" t="s">
        <v>2592</v>
      </c>
      <c r="F100" s="572" t="s">
        <v>2593</v>
      </c>
      <c r="G100" s="572" t="s">
        <v>2594</v>
      </c>
      <c r="H100" s="599"/>
      <c r="I100" s="599"/>
      <c r="J100" s="599"/>
      <c r="K100" s="599"/>
      <c r="L100" s="600"/>
      <c r="M100" s="601"/>
      <c r="N100" s="1150"/>
      <c r="O100" s="1150"/>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0"/>
      <c r="O101" s="1150"/>
      <c r="P101" s="557"/>
      <c r="Q101" s="558"/>
    </row>
    <row r="102" spans="1:17" s="470" customFormat="1" ht="15.75" thickTop="1">
      <c r="A102" s="552"/>
      <c r="B102" s="545" t="s">
        <v>2648</v>
      </c>
      <c r="C102" s="659" t="s">
        <v>2668</v>
      </c>
      <c r="D102" s="659" t="s">
        <v>2669</v>
      </c>
      <c r="E102" s="659" t="s">
        <v>2670</v>
      </c>
      <c r="F102" s="659" t="s">
        <v>2671</v>
      </c>
      <c r="G102" s="659" t="s">
        <v>2672</v>
      </c>
      <c r="H102" s="599"/>
      <c r="I102" s="599"/>
      <c r="J102" s="599"/>
      <c r="K102" s="599"/>
      <c r="L102" s="599"/>
      <c r="M102" s="1381"/>
      <c r="N102" s="1150"/>
      <c r="O102" s="1150"/>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0"/>
      <c r="O103" s="1150"/>
      <c r="P103" s="557"/>
      <c r="Q103" s="558"/>
    </row>
    <row r="104" spans="1:17" ht="15.75" thickTop="1">
      <c r="A104" s="533"/>
      <c r="B104" s="537" t="str">
        <f>B31</f>
        <v>临街状况</v>
      </c>
      <c r="C104" s="538" t="s">
        <v>2780</v>
      </c>
      <c r="D104" s="538" t="s">
        <v>2781</v>
      </c>
      <c r="E104" s="538" t="s">
        <v>2782</v>
      </c>
      <c r="F104" s="538" t="s">
        <v>2783</v>
      </c>
      <c r="G104" s="538"/>
      <c r="H104" s="538"/>
      <c r="I104" s="538"/>
      <c r="J104" s="538"/>
      <c r="K104" s="539"/>
      <c r="L104" s="540"/>
      <c r="M104" s="541"/>
      <c r="N104" s="1148"/>
      <c r="O104" s="1148"/>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9"/>
      <c r="O105" s="1149"/>
      <c r="P105" s="45"/>
      <c r="Q105" s="503"/>
    </row>
    <row r="106" spans="1:17" ht="27.75" thickTop="1">
      <c r="A106" s="533"/>
      <c r="B106" s="537" t="s">
        <v>2684</v>
      </c>
      <c r="C106" s="553"/>
      <c r="D106" s="553"/>
      <c r="E106" s="553"/>
      <c r="F106" s="553"/>
      <c r="G106" s="553"/>
      <c r="H106" s="582"/>
      <c r="I106" s="582"/>
      <c r="J106" s="582"/>
      <c r="K106" s="583"/>
      <c r="L106" s="584"/>
      <c r="M106" s="585"/>
      <c r="N106" s="1148"/>
      <c r="O106" s="1148"/>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5"/>
      <c r="Q107" s="503"/>
    </row>
    <row r="108" spans="1:17" ht="15.75" thickTop="1">
      <c r="A108" s="533"/>
      <c r="B108" s="537" t="s">
        <v>2743</v>
      </c>
      <c r="C108" s="582"/>
      <c r="D108" s="582"/>
      <c r="E108" s="582"/>
      <c r="F108" s="582"/>
      <c r="G108" s="582"/>
      <c r="H108" s="582"/>
      <c r="I108" s="582"/>
      <c r="J108" s="582"/>
      <c r="K108" s="583"/>
      <c r="L108" s="584"/>
      <c r="M108" s="585"/>
      <c r="N108" s="1148"/>
      <c r="O108" s="1148"/>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5"/>
      <c r="Q109" s="503"/>
    </row>
    <row r="110" spans="1:17" ht="15.75" thickTop="1">
      <c r="A110" s="533"/>
      <c r="B110" s="545">
        <f>B35</f>
        <v>111</v>
      </c>
      <c r="C110" s="553"/>
      <c r="D110" s="553"/>
      <c r="E110" s="553"/>
      <c r="F110" s="553"/>
      <c r="G110" s="586"/>
      <c r="H110" s="586"/>
      <c r="I110" s="586"/>
      <c r="J110" s="586"/>
      <c r="K110" s="587"/>
      <c r="L110" s="588"/>
      <c r="M110" s="589"/>
      <c r="N110" s="1148"/>
      <c r="O110" s="1148"/>
      <c r="P110" s="45"/>
      <c r="Q110" s="503"/>
    </row>
    <row r="111" spans="1:17" ht="15.75" thickBot="1">
      <c r="A111" s="533"/>
      <c r="B111" s="568"/>
      <c r="C111" s="559"/>
      <c r="D111" s="559"/>
      <c r="E111" s="559"/>
      <c r="F111" s="559"/>
      <c r="G111" s="590"/>
      <c r="H111" s="590"/>
      <c r="I111" s="590"/>
      <c r="J111" s="590"/>
      <c r="K111" s="590"/>
      <c r="L111" s="590"/>
      <c r="M111" s="591"/>
      <c r="N111" s="1149"/>
      <c r="O111" s="1149"/>
      <c r="P111" s="45"/>
      <c r="Q111" s="503"/>
    </row>
    <row r="112" spans="1:17" ht="15" thickTop="1">
      <c r="A112" s="674"/>
      <c r="B112" s="537">
        <f>B36</f>
        <v>111</v>
      </c>
      <c r="C112" s="522"/>
      <c r="D112" s="522"/>
      <c r="E112" s="522"/>
      <c r="F112" s="522"/>
      <c r="G112" s="582"/>
      <c r="H112" s="582"/>
      <c r="I112" s="582"/>
      <c r="J112" s="582"/>
      <c r="K112" s="583"/>
      <c r="L112" s="584"/>
      <c r="M112" s="585"/>
      <c r="N112" s="1148"/>
      <c r="O112" s="1148"/>
      <c r="P112" s="45"/>
      <c r="Q112" s="503"/>
    </row>
    <row r="113" spans="1:17" ht="15.75" thickBot="1">
      <c r="A113" s="533"/>
      <c r="B113" s="542"/>
      <c r="C113" s="569"/>
      <c r="D113" s="569"/>
      <c r="E113" s="569"/>
      <c r="F113" s="569"/>
      <c r="G113" s="535"/>
      <c r="H113" s="535"/>
      <c r="I113" s="535"/>
      <c r="J113" s="535"/>
      <c r="K113" s="535"/>
      <c r="L113" s="535"/>
      <c r="M113" s="536"/>
      <c r="N113" s="1149"/>
      <c r="O113" s="1149"/>
      <c r="P113" s="45"/>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c r="A116" s="526" t="s">
        <v>2556</v>
      </c>
      <c r="B116" s="527" t="s">
        <v>2784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5"/>
      <c r="Q116" s="503"/>
    </row>
    <row r="117" spans="1:17" ht="15">
      <c r="A117" s="533"/>
      <c r="B117" s="545"/>
      <c r="C117" s="594"/>
      <c r="D117" s="594"/>
      <c r="E117" s="594"/>
      <c r="F117" s="594"/>
      <c r="G117" s="594"/>
      <c r="H117" s="594"/>
      <c r="I117" s="594"/>
      <c r="J117" s="595"/>
      <c r="K117" s="595"/>
      <c r="L117" s="596"/>
      <c r="M117" s="597"/>
      <c r="N117" s="1148"/>
      <c r="O117" s="1148"/>
      <c r="P117" s="45"/>
      <c r="Q117" s="503"/>
    </row>
    <row r="118" spans="1:17" ht="15.75" thickBot="1">
      <c r="A118" s="533"/>
      <c r="B118" s="542"/>
      <c r="C118" s="569"/>
      <c r="D118" s="590"/>
      <c r="E118" s="590"/>
      <c r="F118" s="590"/>
      <c r="G118" s="590"/>
      <c r="H118" s="590"/>
      <c r="I118" s="590"/>
      <c r="J118" s="590"/>
      <c r="K118" s="590"/>
      <c r="L118" s="590"/>
      <c r="M118" s="591"/>
      <c r="N118" s="1149"/>
      <c r="O118" s="1149"/>
      <c r="P118" s="45"/>
      <c r="Q118" s="503"/>
    </row>
    <row r="119" spans="1:17" ht="15" thickTop="1">
      <c r="A119" s="598"/>
      <c r="B119" s="537" t="s">
        <v>2785</v>
      </c>
      <c r="C119" s="582"/>
      <c r="D119" s="582"/>
      <c r="E119" s="582"/>
      <c r="F119" s="582"/>
      <c r="G119" s="582"/>
      <c r="H119" s="582"/>
      <c r="I119" s="582"/>
      <c r="J119" s="582"/>
      <c r="K119" s="583"/>
      <c r="L119" s="584"/>
      <c r="M119" s="585"/>
      <c r="N119" s="1148"/>
      <c r="O119" s="1148"/>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9"/>
      <c r="O120" s="1149"/>
      <c r="P120" s="45"/>
      <c r="Q120" s="503"/>
    </row>
    <row r="121" spans="1:17" ht="15" thickTop="1">
      <c r="A121" s="598"/>
      <c r="B121" s="537" t="s">
        <v>2786</v>
      </c>
      <c r="C121" s="553"/>
      <c r="D121" s="553"/>
      <c r="E121" s="553"/>
      <c r="F121" s="582"/>
      <c r="G121" s="582"/>
      <c r="H121" s="582"/>
      <c r="I121" s="582"/>
      <c r="J121" s="582"/>
      <c r="K121" s="583"/>
      <c r="L121" s="584"/>
      <c r="M121" s="585"/>
      <c r="N121" s="1148"/>
      <c r="O121" s="1148"/>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9"/>
      <c r="O122" s="1149"/>
      <c r="P122" s="45"/>
      <c r="Q122" s="503"/>
    </row>
    <row r="123" spans="1:17" s="470" customFormat="1" ht="15" thickTop="1">
      <c r="A123" s="592"/>
      <c r="B123" s="537" t="s">
        <v>2787</v>
      </c>
      <c r="C123" s="553"/>
      <c r="D123" s="553"/>
      <c r="E123" s="553"/>
      <c r="F123" s="553"/>
      <c r="G123" s="553"/>
      <c r="H123" s="582"/>
      <c r="I123" s="582"/>
      <c r="J123" s="582"/>
      <c r="K123" s="583"/>
      <c r="L123" s="584"/>
      <c r="M123" s="585"/>
      <c r="N123" s="1150"/>
      <c r="O123" s="1150"/>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0"/>
      <c r="O124" s="1150"/>
      <c r="P124" s="557"/>
      <c r="Q124" s="558"/>
    </row>
    <row r="125" spans="1:17" ht="15" thickTop="1">
      <c r="A125" s="598"/>
      <c r="B125" s="537" t="s">
        <v>2788</v>
      </c>
      <c r="C125" s="553"/>
      <c r="D125" s="553"/>
      <c r="E125" s="582"/>
      <c r="F125" s="582"/>
      <c r="G125" s="582"/>
      <c r="H125" s="582"/>
      <c r="I125" s="582"/>
      <c r="J125" s="582"/>
      <c r="K125" s="583"/>
      <c r="L125" s="584"/>
      <c r="M125" s="585"/>
      <c r="N125" s="1148"/>
      <c r="O125" s="1148"/>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9"/>
      <c r="O126" s="1149"/>
      <c r="P126" s="45"/>
      <c r="Q126" s="503"/>
    </row>
    <row r="127" spans="1:17" ht="15" thickTop="1">
      <c r="A127" s="598"/>
      <c r="B127" s="537">
        <f>B43</f>
        <v>111</v>
      </c>
      <c r="C127" s="553"/>
      <c r="D127" s="553"/>
      <c r="E127" s="553"/>
      <c r="F127" s="553"/>
      <c r="G127" s="553"/>
      <c r="H127" s="582"/>
      <c r="I127" s="582"/>
      <c r="J127" s="582"/>
      <c r="K127" s="583"/>
      <c r="L127" s="584"/>
      <c r="M127" s="585"/>
      <c r="N127" s="1148"/>
      <c r="O127" s="1148"/>
      <c r="P127" s="45"/>
      <c r="Q127" s="503"/>
    </row>
    <row r="128" spans="1:17" ht="15.75" thickBot="1">
      <c r="A128" s="533"/>
      <c r="B128" s="542"/>
      <c r="C128" s="559"/>
      <c r="D128" s="559"/>
      <c r="E128" s="559"/>
      <c r="F128" s="559"/>
      <c r="G128" s="535"/>
      <c r="H128" s="535"/>
      <c r="I128" s="535"/>
      <c r="J128" s="535"/>
      <c r="K128" s="535"/>
      <c r="L128" s="535"/>
      <c r="M128" s="536"/>
      <c r="N128" s="1149"/>
      <c r="O128" s="1149"/>
      <c r="P128" s="45"/>
      <c r="Q128" s="503"/>
    </row>
    <row r="129" spans="1:17" ht="15" thickTop="1">
      <c r="A129" s="598"/>
      <c r="B129" s="537">
        <f>B44</f>
        <v>111</v>
      </c>
      <c r="C129" s="522"/>
      <c r="D129" s="522"/>
      <c r="E129" s="522"/>
      <c r="F129" s="522"/>
      <c r="G129" s="582"/>
      <c r="H129" s="582"/>
      <c r="I129" s="582"/>
      <c r="J129" s="582"/>
      <c r="K129" s="583"/>
      <c r="L129" s="584"/>
      <c r="M129" s="585"/>
      <c r="N129" s="1148"/>
      <c r="O129" s="1148"/>
      <c r="P129" s="45"/>
      <c r="Q129" s="503"/>
    </row>
    <row r="130" spans="1:17" ht="15.75" thickBot="1">
      <c r="A130" s="533"/>
      <c r="B130" s="542"/>
      <c r="C130" s="569"/>
      <c r="D130" s="569"/>
      <c r="E130" s="569"/>
      <c r="F130" s="569"/>
      <c r="G130" s="535"/>
      <c r="H130" s="535"/>
      <c r="I130" s="535"/>
      <c r="J130" s="535"/>
      <c r="K130" s="535"/>
      <c r="L130" s="535"/>
      <c r="M130" s="536"/>
      <c r="N130" s="1149"/>
      <c r="O130" s="1149"/>
      <c r="P130" s="45"/>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2737</v>
      </c>
      <c r="B1" s="394"/>
      <c r="C1" s="395" t="s">
        <v>2789</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2320</v>
      </c>
      <c r="B2" s="670"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7" customFormat="1" ht="28.5" customHeight="1" thickBot="1">
      <c r="A3" s="246" t="s">
        <v>2322</v>
      </c>
      <c r="B3" s="608" t="e">
        <f>ROUND(IF(D3="",B2*10000/'数据-汇总表'!E3,B2*10000/D3),0)</f>
        <v>#DIV/0!</v>
      </c>
      <c r="C3" s="246" t="s">
        <v>2739</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0" t="s">
        <v>2638</v>
      </c>
      <c r="B4" s="401"/>
      <c r="C4" s="3265" t="s">
        <v>2639</v>
      </c>
      <c r="D4" s="3266"/>
      <c r="E4" s="3267" t="s">
        <v>2640</v>
      </c>
      <c r="F4" s="3268"/>
      <c r="G4" s="3265" t="s">
        <v>2641</v>
      </c>
      <c r="H4" s="3266"/>
      <c r="I4" s="3265" t="s">
        <v>2642</v>
      </c>
      <c r="J4" s="3266"/>
      <c r="K4" s="609" t="s">
        <v>2643</v>
      </c>
      <c r="L4" s="1126"/>
      <c r="M4" s="1127"/>
      <c r="N4" s="1127"/>
      <c r="O4" s="1127"/>
      <c r="P4" s="3337" t="s">
        <v>2644</v>
      </c>
      <c r="Q4" s="3338"/>
      <c r="R4" s="3327" t="s">
        <v>2640</v>
      </c>
      <c r="S4" s="3328"/>
      <c r="T4" s="3327" t="s">
        <v>2641</v>
      </c>
      <c r="U4" s="3328"/>
      <c r="V4" s="3278" t="s">
        <v>2642</v>
      </c>
      <c r="W4" s="3278"/>
      <c r="X4" s="1809"/>
      <c r="Y4" s="3327" t="s">
        <v>2644</v>
      </c>
      <c r="Z4" s="3328"/>
      <c r="AA4" s="3326" t="s">
        <v>2640</v>
      </c>
      <c r="AB4" s="3245" t="s">
        <v>2641</v>
      </c>
      <c r="AC4" s="3326" t="s">
        <v>2642</v>
      </c>
    </row>
    <row r="5" spans="1:29" ht="15">
      <c r="A5" s="403"/>
      <c r="B5" s="404"/>
      <c r="C5" s="3331" t="s">
        <v>2535</v>
      </c>
      <c r="D5" s="3332"/>
      <c r="E5" s="3329" t="s">
        <v>2536</v>
      </c>
      <c r="F5" s="3330"/>
      <c r="G5" s="3331" t="s">
        <v>2537</v>
      </c>
      <c r="H5" s="3332"/>
      <c r="I5" s="3331" t="s">
        <v>2538</v>
      </c>
      <c r="J5" s="3332"/>
      <c r="K5" s="609"/>
      <c r="L5" s="1126"/>
      <c r="M5" s="1127"/>
      <c r="N5" s="1127"/>
      <c r="O5" s="1127"/>
      <c r="P5" s="3339"/>
      <c r="Q5" s="3272"/>
      <c r="R5" s="3251"/>
      <c r="S5" s="3252"/>
      <c r="T5" s="3251"/>
      <c r="U5" s="3252"/>
      <c r="V5" s="3278"/>
      <c r="W5" s="3278"/>
      <c r="X5" s="1809"/>
      <c r="Y5" s="3251"/>
      <c r="Z5" s="3252"/>
      <c r="AA5" s="3245"/>
      <c r="AB5" s="3245"/>
      <c r="AC5" s="3245"/>
    </row>
    <row r="6" spans="1:29" ht="15.75" thickBot="1">
      <c r="A6" s="405"/>
      <c r="B6" s="406"/>
      <c r="C6" s="3347" t="s">
        <v>2790</v>
      </c>
      <c r="D6" s="3348"/>
      <c r="E6" s="3349" t="s">
        <v>2790</v>
      </c>
      <c r="F6" s="3350"/>
      <c r="G6" s="3347" t="s">
        <v>2790</v>
      </c>
      <c r="H6" s="3348"/>
      <c r="I6" s="3347" t="s">
        <v>2790</v>
      </c>
      <c r="J6" s="3348"/>
      <c r="K6" s="609" t="s">
        <v>2540</v>
      </c>
      <c r="L6" s="1126"/>
      <c r="M6" s="1127"/>
      <c r="N6" s="1127"/>
      <c r="O6" s="1127"/>
      <c r="P6" s="3340"/>
      <c r="Q6" s="3274"/>
      <c r="R6" s="3251"/>
      <c r="S6" s="3252"/>
      <c r="T6" s="3275"/>
      <c r="U6" s="3276"/>
      <c r="V6" s="3278"/>
      <c r="W6" s="3278"/>
      <c r="X6" s="1809"/>
      <c r="Y6" s="3275"/>
      <c r="Z6" s="3276"/>
      <c r="AA6" s="3246"/>
      <c r="AB6" s="3246"/>
      <c r="AC6" s="3246"/>
    </row>
    <row r="7" spans="1:29" s="116" customFormat="1" ht="15.75" thickBot="1">
      <c r="A7" s="407" t="s">
        <v>2541</v>
      </c>
      <c r="B7" s="408"/>
      <c r="C7" s="409">
        <f>'数据-取费表'!B2</f>
        <v>43165</v>
      </c>
      <c r="D7" s="410">
        <v>100</v>
      </c>
      <c r="E7" s="411"/>
      <c r="F7" s="412">
        <f>SUMIF(65:65,YEAR(E7)&amp;"-"&amp;INT((MONTH(E7)+2)/3),66:66)</f>
        <v>0</v>
      </c>
      <c r="G7" s="2684"/>
      <c r="H7" s="410">
        <f>SUMIF(65:65,YEAR(G7)&amp;"-"&amp;INT((MONTH(G7)+2)/3),66:66)</f>
        <v>0</v>
      </c>
      <c r="I7" s="2684"/>
      <c r="J7" s="410">
        <f>SUMIF(65:65,YEAR(I7)&amp;"-"&amp;INT((MONTH(I7)+2)/3),66:66)</f>
        <v>0</v>
      </c>
      <c r="K7" s="610"/>
      <c r="L7" s="1128"/>
      <c r="M7" s="1129"/>
      <c r="N7" s="1129"/>
      <c r="O7" s="1129"/>
      <c r="P7" s="3247" t="s">
        <v>2542</v>
      </c>
      <c r="Q7" s="3280"/>
      <c r="R7" s="768" t="s">
        <v>17</v>
      </c>
      <c r="S7" s="769">
        <f t="shared" ref="S7:S15" si="0">F7</f>
        <v>0</v>
      </c>
      <c r="T7" s="768" t="s">
        <v>17</v>
      </c>
      <c r="U7" s="769">
        <f t="shared" ref="U7:U15" si="1">H7</f>
        <v>0</v>
      </c>
      <c r="V7" s="768" t="s">
        <v>17</v>
      </c>
      <c r="W7" s="769">
        <f t="shared" ref="W7:W15" si="2">J7</f>
        <v>0</v>
      </c>
      <c r="X7" s="770"/>
      <c r="Y7" s="3247" t="s">
        <v>2542</v>
      </c>
      <c r="Z7" s="3248"/>
      <c r="AA7" s="771" t="e">
        <f>D7/F7</f>
        <v>#DIV/0!</v>
      </c>
      <c r="AB7" s="771" t="e">
        <f>D7/H7</f>
        <v>#DIV/0!</v>
      </c>
      <c r="AC7" s="771" t="e">
        <f>D7/J7</f>
        <v>#DIV/0!</v>
      </c>
    </row>
    <row r="8" spans="1:29" s="116" customFormat="1" ht="15.75" thickBot="1">
      <c r="A8" s="407" t="s">
        <v>2543</v>
      </c>
      <c r="B8" s="408"/>
      <c r="C8" s="413" t="s">
        <v>2544</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47" t="s">
        <v>2545</v>
      </c>
      <c r="Q8" s="3248"/>
      <c r="R8" s="768" t="s">
        <v>17</v>
      </c>
      <c r="S8" s="769">
        <f t="shared" si="0"/>
        <v>0</v>
      </c>
      <c r="T8" s="768" t="s">
        <v>17</v>
      </c>
      <c r="U8" s="769">
        <f t="shared" si="1"/>
        <v>0</v>
      </c>
      <c r="V8" s="768" t="s">
        <v>17</v>
      </c>
      <c r="W8" s="769">
        <f t="shared" si="2"/>
        <v>0</v>
      </c>
      <c r="X8" s="770"/>
      <c r="Y8" s="3247" t="s">
        <v>2545</v>
      </c>
      <c r="Z8" s="3248"/>
      <c r="AA8" s="771" t="e">
        <f t="shared" ref="AA8:AA40" si="3">D8/F8</f>
        <v>#DIV/0!</v>
      </c>
      <c r="AB8" s="771" t="e">
        <f t="shared" ref="AB8:AB40" si="4">D8/H8</f>
        <v>#DIV/0!</v>
      </c>
      <c r="AC8" s="771" t="e">
        <f t="shared" ref="AC8:AC40" si="5">D8/J8</f>
        <v>#DIV/0!</v>
      </c>
    </row>
    <row r="9" spans="1:29" s="116" customFormat="1">
      <c r="A9" s="414" t="s">
        <v>2546</v>
      </c>
      <c r="B9" s="70" t="s">
        <v>2547</v>
      </c>
      <c r="C9" s="2687"/>
      <c r="D9" s="134">
        <v>100</v>
      </c>
      <c r="E9" s="2687"/>
      <c r="F9" s="134">
        <f>SUMIF(70:70,E9,71:71)-SUMIF(70:70,C9,71:71)+100</f>
        <v>100</v>
      </c>
      <c r="G9" s="2687"/>
      <c r="H9" s="134">
        <f>SUMIF(70:70,G9,71:71)-SUMIF(70:70,C9,71:71)+100</f>
        <v>100</v>
      </c>
      <c r="I9" s="2687"/>
      <c r="J9" s="134">
        <f>SUMIF(70:70,I9,71:71)-SUMIF(70:70,C9,71:71)+100</f>
        <v>100</v>
      </c>
      <c r="K9" s="610"/>
      <c r="L9" s="1128"/>
      <c r="M9" s="1129"/>
      <c r="N9" s="1129"/>
      <c r="O9" s="1130"/>
      <c r="P9" s="3290" t="s">
        <v>2548</v>
      </c>
      <c r="Q9" s="1791" t="str">
        <f t="shared" ref="Q9:Q15" si="6">B9</f>
        <v>用途</v>
      </c>
      <c r="R9" s="768" t="s">
        <v>17</v>
      </c>
      <c r="S9" s="769">
        <f t="shared" si="0"/>
        <v>100</v>
      </c>
      <c r="T9" s="768" t="s">
        <v>17</v>
      </c>
      <c r="U9" s="769">
        <f t="shared" si="1"/>
        <v>100</v>
      </c>
      <c r="V9" s="768" t="s">
        <v>17</v>
      </c>
      <c r="W9" s="769">
        <f t="shared" si="2"/>
        <v>100</v>
      </c>
      <c r="X9" s="770"/>
      <c r="Y9" s="3101" t="s">
        <v>2549</v>
      </c>
      <c r="Z9" s="55" t="str">
        <f t="shared" ref="Z9:Z15" si="7">Q9</f>
        <v>用途</v>
      </c>
      <c r="AA9" s="771">
        <f t="shared" si="3"/>
        <v>1</v>
      </c>
      <c r="AB9" s="771">
        <f t="shared" si="4"/>
        <v>1</v>
      </c>
      <c r="AC9" s="771">
        <f t="shared" si="5"/>
        <v>1</v>
      </c>
    </row>
    <row r="10" spans="1:29" s="426" customFormat="1" ht="27">
      <c r="A10" s="420"/>
      <c r="B10" s="421" t="s">
        <v>2550</v>
      </c>
      <c r="C10" s="431"/>
      <c r="D10" s="135">
        <v>100</v>
      </c>
      <c r="E10" s="431"/>
      <c r="F10" s="135">
        <f>ROUND(100/'数据-取费表'!G16,0)</f>
        <v>111</v>
      </c>
      <c r="G10" s="431"/>
      <c r="H10" s="135">
        <f>ROUND(100/'数据-取费表'!G16,0)</f>
        <v>111</v>
      </c>
      <c r="I10" s="431"/>
      <c r="J10" s="135">
        <f>ROUND(100/'数据-取费表'!G16,0)</f>
        <v>111</v>
      </c>
      <c r="K10" s="671"/>
      <c r="L10" s="1131"/>
      <c r="M10" s="1132"/>
      <c r="N10" s="1132"/>
      <c r="O10" s="1133"/>
      <c r="P10" s="3290"/>
      <c r="Q10" s="1791" t="str">
        <f t="shared" si="6"/>
        <v>土地使用年限（年）</v>
      </c>
      <c r="R10" s="768" t="s">
        <v>17</v>
      </c>
      <c r="S10" s="769">
        <f t="shared" si="0"/>
        <v>111</v>
      </c>
      <c r="T10" s="768" t="s">
        <v>17</v>
      </c>
      <c r="U10" s="769">
        <f t="shared" si="1"/>
        <v>111</v>
      </c>
      <c r="V10" s="768" t="s">
        <v>17</v>
      </c>
      <c r="W10" s="769">
        <f t="shared" si="2"/>
        <v>111</v>
      </c>
      <c r="X10" s="770"/>
      <c r="Y10" s="3101"/>
      <c r="Z10" s="55" t="str">
        <f t="shared" si="7"/>
        <v>土地使用年限（年）</v>
      </c>
      <c r="AA10" s="771">
        <f t="shared" si="3"/>
        <v>0.90090090090090091</v>
      </c>
      <c r="AB10" s="771">
        <f t="shared" si="4"/>
        <v>0.90090090090090091</v>
      </c>
      <c r="AC10" s="771">
        <f t="shared" si="5"/>
        <v>0.90090090090090091</v>
      </c>
    </row>
    <row r="11" spans="1:29" ht="15">
      <c r="A11" s="427"/>
      <c r="B11" s="421" t="s">
        <v>2551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90"/>
      <c r="Q11" s="1791" t="str">
        <f t="shared" si="6"/>
        <v>容积率</v>
      </c>
      <c r="R11" s="768" t="s">
        <v>17</v>
      </c>
      <c r="S11" s="769" t="e">
        <f t="shared" si="0"/>
        <v>#N/A</v>
      </c>
      <c r="T11" s="768" t="s">
        <v>17</v>
      </c>
      <c r="U11" s="769" t="e">
        <f t="shared" si="1"/>
        <v>#N/A</v>
      </c>
      <c r="V11" s="768" t="s">
        <v>17</v>
      </c>
      <c r="W11" s="769" t="e">
        <f t="shared" si="2"/>
        <v>#N/A</v>
      </c>
      <c r="X11" s="770"/>
      <c r="Y11" s="3101"/>
      <c r="Z11" s="55" t="str">
        <f t="shared" si="7"/>
        <v>容积率</v>
      </c>
      <c r="AA11" s="771" t="e">
        <f t="shared" si="3"/>
        <v>#N/A</v>
      </c>
      <c r="AB11" s="771" t="e">
        <f t="shared" si="4"/>
        <v>#N/A</v>
      </c>
      <c r="AC11" s="771" t="e">
        <f t="shared" si="5"/>
        <v>#N/A</v>
      </c>
    </row>
    <row r="12" spans="1:29" s="116" customFormat="1" ht="15">
      <c r="A12" s="430"/>
      <c r="B12" s="2592">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90"/>
      <c r="Q12" s="1791">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
      <c r="A13" s="427"/>
      <c r="B13" s="2592">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90"/>
      <c r="Q13" s="1791">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15.75"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90"/>
      <c r="Q14" s="1791">
        <f t="shared" si="6"/>
        <v>111</v>
      </c>
      <c r="R14" s="768" t="s">
        <v>17</v>
      </c>
      <c r="S14" s="769">
        <f t="shared" si="0"/>
        <v>100</v>
      </c>
      <c r="T14" s="768" t="s">
        <v>17</v>
      </c>
      <c r="U14" s="769">
        <f t="shared" si="1"/>
        <v>100</v>
      </c>
      <c r="V14" s="768" t="s">
        <v>17</v>
      </c>
      <c r="W14" s="769">
        <f t="shared" si="2"/>
        <v>100</v>
      </c>
      <c r="X14" s="770"/>
      <c r="Y14" s="3101"/>
      <c r="Z14" s="55">
        <f t="shared" si="7"/>
        <v>111</v>
      </c>
      <c r="AA14" s="771">
        <f t="shared" si="3"/>
        <v>1</v>
      </c>
      <c r="AB14" s="771">
        <f t="shared" si="4"/>
        <v>1</v>
      </c>
      <c r="AC14" s="771">
        <f t="shared" si="5"/>
        <v>1</v>
      </c>
    </row>
    <row r="15" spans="1:29" ht="15">
      <c r="A15" s="439" t="s">
        <v>2552</v>
      </c>
      <c r="B15" s="628" t="s">
        <v>2791</v>
      </c>
      <c r="C15" s="2682">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83" t="s">
        <v>2553</v>
      </c>
      <c r="Q15" s="1806" t="str">
        <f t="shared" si="6"/>
        <v>产业集聚程度</v>
      </c>
      <c r="R15" s="772" t="s">
        <v>17</v>
      </c>
      <c r="S15" s="773">
        <f t="shared" si="0"/>
        <v>100</v>
      </c>
      <c r="T15" s="772" t="s">
        <v>17</v>
      </c>
      <c r="U15" s="773">
        <f t="shared" si="1"/>
        <v>100</v>
      </c>
      <c r="V15" s="772" t="s">
        <v>17</v>
      </c>
      <c r="W15" s="773">
        <f t="shared" si="2"/>
        <v>100</v>
      </c>
      <c r="X15" s="1809"/>
      <c r="Y15" s="3283" t="s">
        <v>2553</v>
      </c>
      <c r="Z15" s="1810" t="str">
        <f t="shared" si="7"/>
        <v>产业集聚程度</v>
      </c>
      <c r="AA15" s="1807">
        <f t="shared" si="3"/>
        <v>1</v>
      </c>
      <c r="AB15" s="1807">
        <f t="shared" si="4"/>
        <v>1</v>
      </c>
      <c r="AC15" s="1807">
        <f t="shared" si="5"/>
        <v>1</v>
      </c>
    </row>
    <row r="16" spans="1:29" ht="15">
      <c r="A16" s="427"/>
      <c r="B16" s="629"/>
      <c r="C16" s="446"/>
      <c r="D16" s="447"/>
      <c r="E16" s="2603"/>
      <c r="F16" s="447"/>
      <c r="G16" s="2603"/>
      <c r="H16" s="449"/>
      <c r="I16" s="2603"/>
      <c r="J16" s="447"/>
      <c r="K16" s="671"/>
      <c r="L16" s="1136"/>
      <c r="M16" s="1127"/>
      <c r="N16" s="1127"/>
      <c r="O16" s="1135"/>
      <c r="P16" s="3284"/>
      <c r="Q16" s="1806"/>
      <c r="R16" s="772"/>
      <c r="S16" s="773"/>
      <c r="T16" s="772"/>
      <c r="U16" s="773"/>
      <c r="V16" s="772"/>
      <c r="W16" s="773"/>
      <c r="X16" s="1809"/>
      <c r="Y16" s="3284"/>
      <c r="Z16" s="1810"/>
      <c r="AA16" s="1807">
        <v>1</v>
      </c>
      <c r="AB16" s="1807">
        <v>1</v>
      </c>
      <c r="AC16" s="1807">
        <v>1</v>
      </c>
    </row>
    <row r="17" spans="1:29" ht="15">
      <c r="A17" s="427"/>
      <c r="B17" s="630" t="s">
        <v>2702</v>
      </c>
      <c r="C17" s="2599">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84"/>
      <c r="Q17" s="1806" t="str">
        <f>B17</f>
        <v>交通便捷度</v>
      </c>
      <c r="R17" s="772" t="s">
        <v>17</v>
      </c>
      <c r="S17" s="773">
        <f>F17</f>
        <v>100</v>
      </c>
      <c r="T17" s="772" t="s">
        <v>17</v>
      </c>
      <c r="U17" s="773">
        <f>H17</f>
        <v>100</v>
      </c>
      <c r="V17" s="772" t="s">
        <v>17</v>
      </c>
      <c r="W17" s="773">
        <f>J17</f>
        <v>100</v>
      </c>
      <c r="X17" s="1809"/>
      <c r="Y17" s="3284"/>
      <c r="Z17" s="1810" t="str">
        <f>Q17</f>
        <v>交通便捷度</v>
      </c>
      <c r="AA17" s="1807">
        <f t="shared" si="3"/>
        <v>1</v>
      </c>
      <c r="AB17" s="1807">
        <f t="shared" si="4"/>
        <v>1</v>
      </c>
      <c r="AC17" s="1807">
        <f t="shared" si="5"/>
        <v>1</v>
      </c>
    </row>
    <row r="18" spans="1:29" ht="15">
      <c r="A18" s="427"/>
      <c r="B18" s="631"/>
      <c r="C18" s="446"/>
      <c r="D18" s="447"/>
      <c r="E18" s="2597"/>
      <c r="F18" s="447"/>
      <c r="G18" s="2597"/>
      <c r="H18" s="447"/>
      <c r="I18" s="2596"/>
      <c r="J18" s="447"/>
      <c r="K18" s="671"/>
      <c r="L18" s="1136"/>
      <c r="M18" s="1127"/>
      <c r="N18" s="1127"/>
      <c r="O18" s="1135"/>
      <c r="P18" s="3284"/>
      <c r="Q18" s="1806"/>
      <c r="R18" s="772"/>
      <c r="S18" s="773"/>
      <c r="T18" s="772"/>
      <c r="U18" s="773"/>
      <c r="V18" s="772"/>
      <c r="W18" s="773"/>
      <c r="X18" s="1809"/>
      <c r="Y18" s="3284"/>
      <c r="Z18" s="1810"/>
      <c r="AA18" s="1807">
        <v>1</v>
      </c>
      <c r="AB18" s="1807">
        <v>1</v>
      </c>
      <c r="AC18" s="1807">
        <v>1</v>
      </c>
    </row>
    <row r="19" spans="1:29" ht="15">
      <c r="A19" s="427"/>
      <c r="B19" s="630" t="s">
        <v>2741</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84"/>
      <c r="Q19" s="1806" t="str">
        <f t="shared" ref="Q19:Q33" si="8">B19</f>
        <v>区域土地利用方向</v>
      </c>
      <c r="R19" s="772" t="s">
        <v>17</v>
      </c>
      <c r="S19" s="773">
        <f>F19</f>
        <v>100</v>
      </c>
      <c r="T19" s="772" t="s">
        <v>17</v>
      </c>
      <c r="U19" s="773">
        <f>H19</f>
        <v>100</v>
      </c>
      <c r="V19" s="772" t="s">
        <v>17</v>
      </c>
      <c r="W19" s="773">
        <f>J19</f>
        <v>100</v>
      </c>
      <c r="X19" s="1809"/>
      <c r="Y19" s="3284"/>
      <c r="Z19" s="1810" t="str">
        <f>Q19</f>
        <v>区域土地利用方向</v>
      </c>
      <c r="AA19" s="1807">
        <f t="shared" si="3"/>
        <v>1</v>
      </c>
      <c r="AB19" s="1807">
        <f t="shared" si="4"/>
        <v>1</v>
      </c>
      <c r="AC19" s="1807">
        <f t="shared" si="5"/>
        <v>1</v>
      </c>
    </row>
    <row r="20" spans="1:29" ht="15">
      <c r="A20" s="403"/>
      <c r="B20" s="631"/>
      <c r="C20" s="446"/>
      <c r="D20" s="447"/>
      <c r="E20" s="2597"/>
      <c r="F20" s="447"/>
      <c r="G20" s="2597"/>
      <c r="H20" s="447"/>
      <c r="I20" s="2597"/>
      <c r="J20" s="447"/>
      <c r="K20" s="805"/>
      <c r="L20" s="1136"/>
      <c r="M20" s="1127"/>
      <c r="N20" s="1127"/>
      <c r="O20" s="1135"/>
      <c r="P20" s="3284"/>
      <c r="Q20" s="1806"/>
      <c r="R20" s="772"/>
      <c r="S20" s="773"/>
      <c r="T20" s="772"/>
      <c r="U20" s="773"/>
      <c r="V20" s="772"/>
      <c r="W20" s="773"/>
      <c r="X20" s="1809"/>
      <c r="Y20" s="3284"/>
      <c r="Z20" s="1810"/>
      <c r="AA20" s="1807"/>
      <c r="AB20" s="1807"/>
      <c r="AC20" s="1807"/>
    </row>
    <row r="21" spans="1:29" ht="15">
      <c r="A21" s="403"/>
      <c r="B21" s="630" t="s">
        <v>2792</v>
      </c>
      <c r="C21" s="2599">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84"/>
      <c r="Q21" s="1806" t="str">
        <f t="shared" si="8"/>
        <v>环境状况</v>
      </c>
      <c r="R21" s="772" t="s">
        <v>17</v>
      </c>
      <c r="S21" s="773">
        <f>F21</f>
        <v>100</v>
      </c>
      <c r="T21" s="772" t="s">
        <v>17</v>
      </c>
      <c r="U21" s="773">
        <f>H21</f>
        <v>100</v>
      </c>
      <c r="V21" s="772" t="s">
        <v>17</v>
      </c>
      <c r="W21" s="773">
        <f>J21</f>
        <v>100</v>
      </c>
      <c r="X21" s="1809"/>
      <c r="Y21" s="3284"/>
      <c r="Z21" s="1810" t="str">
        <f>Q21</f>
        <v>环境状况</v>
      </c>
      <c r="AA21" s="1807">
        <f t="shared" si="3"/>
        <v>1</v>
      </c>
      <c r="AB21" s="1807">
        <f t="shared" si="4"/>
        <v>1</v>
      </c>
      <c r="AC21" s="1807">
        <f t="shared" si="5"/>
        <v>1</v>
      </c>
    </row>
    <row r="22" spans="1:29" ht="15">
      <c r="A22" s="403"/>
      <c r="B22" s="631"/>
      <c r="C22" s="446"/>
      <c r="D22" s="447"/>
      <c r="E22" s="2603"/>
      <c r="F22" s="447"/>
      <c r="G22" s="2603"/>
      <c r="H22" s="447"/>
      <c r="I22" s="446"/>
      <c r="J22" s="447"/>
      <c r="K22" s="671"/>
      <c r="L22" s="1136"/>
      <c r="M22" s="1127"/>
      <c r="N22" s="1127"/>
      <c r="O22" s="1135"/>
      <c r="P22" s="3284"/>
      <c r="Q22" s="1806"/>
      <c r="R22" s="772"/>
      <c r="S22" s="773"/>
      <c r="T22" s="772"/>
      <c r="U22" s="773"/>
      <c r="V22" s="772"/>
      <c r="W22" s="773"/>
      <c r="X22" s="1809"/>
      <c r="Y22" s="3284"/>
      <c r="Z22" s="1810"/>
      <c r="AA22" s="1807">
        <v>1</v>
      </c>
      <c r="AB22" s="1807">
        <v>1</v>
      </c>
      <c r="AC22" s="1807">
        <v>1</v>
      </c>
    </row>
    <row r="23" spans="1:29" s="116" customFormat="1" ht="15">
      <c r="A23" s="648"/>
      <c r="B23" s="632" t="s">
        <v>2647</v>
      </c>
      <c r="C23" s="2599">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84"/>
      <c r="Q23" s="1791" t="str">
        <f t="shared" si="8"/>
        <v>公共配套设施</v>
      </c>
      <c r="R23" s="768" t="s">
        <v>17</v>
      </c>
      <c r="S23" s="769">
        <f>F23</f>
        <v>100</v>
      </c>
      <c r="T23" s="768" t="s">
        <v>17</v>
      </c>
      <c r="U23" s="769">
        <f>H23</f>
        <v>100</v>
      </c>
      <c r="V23" s="768" t="s">
        <v>17</v>
      </c>
      <c r="W23" s="769">
        <f>J23</f>
        <v>100</v>
      </c>
      <c r="X23" s="770"/>
      <c r="Y23" s="3284"/>
      <c r="Z23" s="55" t="str">
        <f>Q23</f>
        <v>公共配套设施</v>
      </c>
      <c r="AA23" s="1807">
        <f>D23/F23</f>
        <v>1</v>
      </c>
      <c r="AB23" s="1807">
        <f>D23/H23</f>
        <v>1</v>
      </c>
      <c r="AC23" s="1807">
        <f>D23/J23</f>
        <v>1</v>
      </c>
    </row>
    <row r="24" spans="1:29" s="116" customFormat="1" ht="15">
      <c r="A24" s="648"/>
      <c r="B24" s="631"/>
      <c r="C24" s="2688"/>
      <c r="D24" s="447"/>
      <c r="E24" s="2603"/>
      <c r="F24" s="447"/>
      <c r="G24" s="2603"/>
      <c r="H24" s="447"/>
      <c r="I24" s="446"/>
      <c r="J24" s="447"/>
      <c r="K24" s="671"/>
      <c r="L24" s="1128"/>
      <c r="M24" s="1129"/>
      <c r="N24" s="1129"/>
      <c r="O24" s="1130"/>
      <c r="P24" s="3284"/>
      <c r="Q24" s="1791"/>
      <c r="R24" s="768"/>
      <c r="S24" s="769"/>
      <c r="T24" s="768"/>
      <c r="U24" s="769"/>
      <c r="V24" s="768"/>
      <c r="W24" s="769"/>
      <c r="X24" s="770"/>
      <c r="Y24" s="3284"/>
      <c r="Z24" s="55"/>
      <c r="AA24" s="771">
        <v>1</v>
      </c>
      <c r="AB24" s="771">
        <v>1</v>
      </c>
      <c r="AC24" s="771">
        <v>1</v>
      </c>
    </row>
    <row r="25" spans="1:29" s="116" customFormat="1" ht="15">
      <c r="A25" s="648"/>
      <c r="B25" s="632" t="s">
        <v>2648</v>
      </c>
      <c r="C25" s="2599">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84"/>
      <c r="Q25" s="1791" t="str">
        <f t="shared" ref="Q25" si="9">B25</f>
        <v>基础设施水平</v>
      </c>
      <c r="R25" s="768" t="s">
        <v>17</v>
      </c>
      <c r="S25" s="769">
        <f>F25</f>
        <v>100</v>
      </c>
      <c r="T25" s="768" t="s">
        <v>17</v>
      </c>
      <c r="U25" s="769">
        <f>H25</f>
        <v>100</v>
      </c>
      <c r="V25" s="768" t="s">
        <v>17</v>
      </c>
      <c r="W25" s="769">
        <f>J25</f>
        <v>100</v>
      </c>
      <c r="X25" s="770"/>
      <c r="Y25" s="3284"/>
      <c r="Z25" s="55" t="str">
        <f>Q25</f>
        <v>基础设施水平</v>
      </c>
      <c r="AA25" s="1807">
        <f>D25/F25</f>
        <v>1</v>
      </c>
      <c r="AB25" s="1807">
        <f>D25/H25</f>
        <v>1</v>
      </c>
      <c r="AC25" s="1807">
        <f>D25/J25</f>
        <v>1</v>
      </c>
    </row>
    <row r="26" spans="1:29" s="116" customFormat="1" ht="15">
      <c r="A26" s="648"/>
      <c r="B26" s="631"/>
      <c r="C26" s="2688"/>
      <c r="D26" s="447"/>
      <c r="E26" s="2689"/>
      <c r="F26" s="447"/>
      <c r="G26" s="2689"/>
      <c r="H26" s="447"/>
      <c r="I26" s="2689"/>
      <c r="J26" s="447"/>
      <c r="K26" s="671"/>
      <c r="L26" s="1128"/>
      <c r="M26" s="1129"/>
      <c r="N26" s="1129"/>
      <c r="O26" s="1130"/>
      <c r="P26" s="3284"/>
      <c r="Q26" s="1791"/>
      <c r="R26" s="768"/>
      <c r="S26" s="769"/>
      <c r="T26" s="768"/>
      <c r="U26" s="769"/>
      <c r="V26" s="768"/>
      <c r="W26" s="769"/>
      <c r="X26" s="770"/>
      <c r="Y26" s="3284"/>
      <c r="Z26" s="55"/>
      <c r="AA26" s="771">
        <v>1</v>
      </c>
      <c r="AB26" s="771">
        <v>1</v>
      </c>
      <c r="AC26" s="771">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84"/>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284"/>
      <c r="Z27" s="1810" t="str">
        <f t="shared" ref="Z27:Z40" si="13">Q27</f>
        <v>临街状况</v>
      </c>
      <c r="AA27" s="1807">
        <f t="shared" si="3"/>
        <v>1</v>
      </c>
      <c r="AB27" s="1807">
        <f t="shared" si="4"/>
        <v>1</v>
      </c>
      <c r="AC27" s="1807">
        <f t="shared" si="5"/>
        <v>1</v>
      </c>
    </row>
    <row r="28" spans="1:29" ht="27">
      <c r="A28" s="427"/>
      <c r="B28" s="632" t="s">
        <v>2684</v>
      </c>
      <c r="C28" s="270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84"/>
      <c r="Q28" s="1806" t="str">
        <f t="shared" si="8"/>
        <v>毗邻道路的类型与等级</v>
      </c>
      <c r="R28" s="772" t="s">
        <v>17</v>
      </c>
      <c r="S28" s="773">
        <f t="shared" si="10"/>
        <v>100</v>
      </c>
      <c r="T28" s="772" t="s">
        <v>17</v>
      </c>
      <c r="U28" s="773">
        <f t="shared" si="11"/>
        <v>100</v>
      </c>
      <c r="V28" s="772" t="s">
        <v>17</v>
      </c>
      <c r="W28" s="773">
        <f t="shared" si="12"/>
        <v>100</v>
      </c>
      <c r="X28" s="1809"/>
      <c r="Y28" s="3284"/>
      <c r="Z28" s="1810" t="str">
        <f t="shared" si="13"/>
        <v>毗邻道路的类型与等级</v>
      </c>
      <c r="AA28" s="1807">
        <f t="shared" si="3"/>
        <v>1</v>
      </c>
      <c r="AB28" s="1807">
        <f t="shared" si="4"/>
        <v>1</v>
      </c>
      <c r="AC28" s="1807">
        <f t="shared" si="5"/>
        <v>1</v>
      </c>
    </row>
    <row r="29" spans="1:29" ht="15">
      <c r="A29" s="427"/>
      <c r="B29" s="631"/>
      <c r="C29" s="446"/>
      <c r="D29" s="447"/>
      <c r="E29" s="2603"/>
      <c r="F29" s="447"/>
      <c r="G29" s="2603"/>
      <c r="H29" s="447"/>
      <c r="I29" s="2603"/>
      <c r="J29" s="447"/>
      <c r="K29" s="612"/>
      <c r="L29" s="1136"/>
      <c r="M29" s="1127"/>
      <c r="N29" s="1127"/>
      <c r="O29" s="1135"/>
      <c r="P29" s="3284"/>
      <c r="Q29" s="1806"/>
      <c r="R29" s="772"/>
      <c r="S29" s="773"/>
      <c r="T29" s="772"/>
      <c r="U29" s="773"/>
      <c r="V29" s="772"/>
      <c r="W29" s="773"/>
      <c r="X29" s="1809"/>
      <c r="Y29" s="3284"/>
      <c r="Z29" s="1810"/>
      <c r="AA29" s="1807">
        <v>1</v>
      </c>
      <c r="AB29" s="1807">
        <v>1</v>
      </c>
      <c r="AC29" s="1807">
        <v>1</v>
      </c>
    </row>
    <row r="30" spans="1:29" ht="15">
      <c r="A30" s="427"/>
      <c r="B30" s="653" t="s">
        <v>2743</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84"/>
      <c r="Q30" s="1806" t="str">
        <f t="shared" si="8"/>
        <v>土地级别</v>
      </c>
      <c r="R30" s="772" t="s">
        <v>17</v>
      </c>
      <c r="S30" s="773">
        <f t="shared" si="10"/>
        <v>100</v>
      </c>
      <c r="T30" s="772" t="s">
        <v>17</v>
      </c>
      <c r="U30" s="773">
        <f t="shared" si="11"/>
        <v>100</v>
      </c>
      <c r="V30" s="772" t="s">
        <v>17</v>
      </c>
      <c r="W30" s="773">
        <f t="shared" si="12"/>
        <v>100</v>
      </c>
      <c r="X30" s="1809"/>
      <c r="Y30" s="3284"/>
      <c r="Z30" s="1810" t="str">
        <f t="shared" si="13"/>
        <v>土地级别</v>
      </c>
      <c r="AA30" s="1807">
        <f t="shared" si="3"/>
        <v>1</v>
      </c>
      <c r="AB30" s="1807">
        <f t="shared" si="4"/>
        <v>1</v>
      </c>
      <c r="AC30" s="1807">
        <f t="shared" si="5"/>
        <v>1</v>
      </c>
    </row>
    <row r="31" spans="1:29" ht="15">
      <c r="A31" s="403"/>
      <c r="B31" s="266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84"/>
      <c r="Q31" s="1806">
        <f t="shared" si="8"/>
        <v>111</v>
      </c>
      <c r="R31" s="772" t="s">
        <v>17</v>
      </c>
      <c r="S31" s="773">
        <f t="shared" si="10"/>
        <v>100</v>
      </c>
      <c r="T31" s="772" t="s">
        <v>17</v>
      </c>
      <c r="U31" s="773">
        <f t="shared" si="11"/>
        <v>100</v>
      </c>
      <c r="V31" s="772" t="s">
        <v>17</v>
      </c>
      <c r="W31" s="773">
        <f t="shared" si="12"/>
        <v>100</v>
      </c>
      <c r="X31" s="1809"/>
      <c r="Y31" s="3284"/>
      <c r="Z31" s="1810">
        <f t="shared" si="13"/>
        <v>111</v>
      </c>
      <c r="AA31" s="1807">
        <f t="shared" si="3"/>
        <v>1</v>
      </c>
      <c r="AB31" s="1807">
        <f t="shared" si="4"/>
        <v>1</v>
      </c>
      <c r="AC31" s="1807">
        <f t="shared" si="5"/>
        <v>1</v>
      </c>
    </row>
    <row r="32" spans="1:29" ht="15">
      <c r="A32" s="674"/>
      <c r="B32" s="270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44" t="s">
        <v>2558</v>
      </c>
      <c r="Q32" s="1806">
        <f t="shared" si="8"/>
        <v>111</v>
      </c>
      <c r="R32" s="772" t="s">
        <v>17</v>
      </c>
      <c r="S32" s="773">
        <f t="shared" si="10"/>
        <v>100</v>
      </c>
      <c r="T32" s="772" t="s">
        <v>17</v>
      </c>
      <c r="U32" s="773">
        <f t="shared" si="11"/>
        <v>100</v>
      </c>
      <c r="V32" s="772" t="s">
        <v>17</v>
      </c>
      <c r="W32" s="773">
        <f t="shared" si="12"/>
        <v>100</v>
      </c>
      <c r="X32" s="1809"/>
      <c r="Y32" s="3288" t="s">
        <v>2558</v>
      </c>
      <c r="Z32" s="1810">
        <f t="shared" si="13"/>
        <v>111</v>
      </c>
      <c r="AA32" s="1807">
        <f t="shared" si="3"/>
        <v>1</v>
      </c>
      <c r="AB32" s="1807">
        <f t="shared" si="4"/>
        <v>1</v>
      </c>
      <c r="AC32" s="1807">
        <f t="shared" si="5"/>
        <v>1</v>
      </c>
    </row>
    <row r="33" spans="1:29" s="470" customFormat="1" ht="15.75" thickBot="1">
      <c r="A33" s="675"/>
      <c r="B33" s="270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88"/>
      <c r="Q33" s="1806">
        <f t="shared" si="8"/>
        <v>111</v>
      </c>
      <c r="R33" s="775" t="s">
        <v>17</v>
      </c>
      <c r="S33" s="776">
        <f t="shared" si="10"/>
        <v>100</v>
      </c>
      <c r="T33" s="775" t="s">
        <v>17</v>
      </c>
      <c r="U33" s="776">
        <f t="shared" si="11"/>
        <v>100</v>
      </c>
      <c r="V33" s="775" t="s">
        <v>17</v>
      </c>
      <c r="W33" s="776">
        <f t="shared" si="12"/>
        <v>100</v>
      </c>
      <c r="X33" s="777"/>
      <c r="Y33" s="3288"/>
      <c r="Z33" s="778">
        <f t="shared" si="13"/>
        <v>111</v>
      </c>
      <c r="AA33" s="1807">
        <f t="shared" si="3"/>
        <v>1</v>
      </c>
      <c r="AB33" s="1807">
        <f t="shared" si="4"/>
        <v>1</v>
      </c>
      <c r="AC33" s="1807">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88"/>
      <c r="Q34" s="1806" t="str">
        <f>B34</f>
        <v>宗地面积</v>
      </c>
      <c r="R34" s="772" t="s">
        <v>17</v>
      </c>
      <c r="S34" s="773" t="e">
        <f t="shared" si="10"/>
        <v>#N/A</v>
      </c>
      <c r="T34" s="772" t="s">
        <v>17</v>
      </c>
      <c r="U34" s="773" t="e">
        <f t="shared" si="11"/>
        <v>#N/A</v>
      </c>
      <c r="V34" s="772" t="s">
        <v>17</v>
      </c>
      <c r="W34" s="773" t="e">
        <f t="shared" si="12"/>
        <v>#N/A</v>
      </c>
      <c r="X34" s="1809"/>
      <c r="Y34" s="3288"/>
      <c r="Z34" s="1810" t="str">
        <f t="shared" si="13"/>
        <v>宗地面积</v>
      </c>
      <c r="AA34" s="1807" t="e">
        <f t="shared" si="3"/>
        <v>#N/A</v>
      </c>
      <c r="AB34" s="1807" t="e">
        <f t="shared" si="4"/>
        <v>#N/A</v>
      </c>
      <c r="AC34" s="1807" t="e">
        <f t="shared" si="5"/>
        <v>#N/A</v>
      </c>
    </row>
    <row r="35" spans="1:29" ht="15">
      <c r="A35" s="471"/>
      <c r="B35" s="421" t="s">
        <v>2745</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6"/>
      <c r="M35" s="1127"/>
      <c r="N35" s="1127"/>
      <c r="O35" s="1135"/>
      <c r="P35" s="3288"/>
      <c r="Q35" s="1806" t="str">
        <f t="shared" ref="Q35:Q40" si="14">B35</f>
        <v>宗地形状</v>
      </c>
      <c r="R35" s="772" t="s">
        <v>17</v>
      </c>
      <c r="S35" s="773">
        <f t="shared" si="10"/>
        <v>100</v>
      </c>
      <c r="T35" s="772" t="s">
        <v>17</v>
      </c>
      <c r="U35" s="773">
        <f t="shared" si="11"/>
        <v>100</v>
      </c>
      <c r="V35" s="772" t="s">
        <v>17</v>
      </c>
      <c r="W35" s="773">
        <f t="shared" si="12"/>
        <v>100</v>
      </c>
      <c r="X35" s="1809"/>
      <c r="Y35" s="3288"/>
      <c r="Z35" s="1810" t="str">
        <f t="shared" si="13"/>
        <v>宗地形状</v>
      </c>
      <c r="AA35" s="1807">
        <f t="shared" si="3"/>
        <v>1</v>
      </c>
      <c r="AB35" s="1807">
        <f t="shared" si="4"/>
        <v>1</v>
      </c>
      <c r="AC35" s="1807">
        <f t="shared" si="5"/>
        <v>1</v>
      </c>
    </row>
    <row r="36" spans="1:29" s="116" customFormat="1" ht="15">
      <c r="A36" s="472"/>
      <c r="B36" s="421" t="s">
        <v>2747</v>
      </c>
      <c r="C36" s="2690"/>
      <c r="D36" s="135">
        <v>100</v>
      </c>
      <c r="E36" s="2690"/>
      <c r="F36" s="434">
        <f>SUMIF(112:112,E36,113:113)-SUMIF(112:112,C36,113:113)+100</f>
        <v>100</v>
      </c>
      <c r="G36" s="2690"/>
      <c r="H36" s="434">
        <f>SUMIF(112:112,G36,113:113)-SUMIF(112:112,C36,113:113)+100</f>
        <v>100</v>
      </c>
      <c r="I36" s="2690"/>
      <c r="J36" s="434">
        <f>SUMIF(112:112,I36,113:113)-SUMIF(112:112,C36,113:113)+100</f>
        <v>100</v>
      </c>
      <c r="K36" s="611"/>
      <c r="L36" s="1128"/>
      <c r="M36" s="1129"/>
      <c r="N36" s="1129"/>
      <c r="O36" s="1130"/>
      <c r="P36" s="3288"/>
      <c r="Q36" s="1806" t="str">
        <f t="shared" si="14"/>
        <v>宗地开发程度</v>
      </c>
      <c r="R36" s="768" t="s">
        <v>17</v>
      </c>
      <c r="S36" s="769">
        <f t="shared" si="10"/>
        <v>100</v>
      </c>
      <c r="T36" s="768" t="s">
        <v>17</v>
      </c>
      <c r="U36" s="769">
        <f t="shared" si="11"/>
        <v>100</v>
      </c>
      <c r="V36" s="768" t="s">
        <v>17</v>
      </c>
      <c r="W36" s="769">
        <f t="shared" si="12"/>
        <v>100</v>
      </c>
      <c r="X36" s="770"/>
      <c r="Y36" s="3288"/>
      <c r="Z36" s="55" t="str">
        <f t="shared" si="13"/>
        <v>宗地开发程度</v>
      </c>
      <c r="AA36" s="771">
        <f t="shared" si="3"/>
        <v>1</v>
      </c>
      <c r="AB36" s="771">
        <f t="shared" si="4"/>
        <v>1</v>
      </c>
      <c r="AC36" s="771">
        <f t="shared" si="5"/>
        <v>1</v>
      </c>
    </row>
    <row r="37" spans="1:29" ht="15">
      <c r="A37" s="471"/>
      <c r="B37" s="421" t="s">
        <v>2748</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6"/>
      <c r="M37" s="1127"/>
      <c r="N37" s="1127"/>
      <c r="O37" s="1135"/>
      <c r="P37" s="3288" t="s">
        <v>2558</v>
      </c>
      <c r="Q37" s="1806" t="str">
        <f t="shared" si="14"/>
        <v>工程地质条件</v>
      </c>
      <c r="R37" s="772" t="s">
        <v>17</v>
      </c>
      <c r="S37" s="773">
        <f t="shared" si="10"/>
        <v>100</v>
      </c>
      <c r="T37" s="772" t="s">
        <v>17</v>
      </c>
      <c r="U37" s="773">
        <f t="shared" si="11"/>
        <v>100</v>
      </c>
      <c r="V37" s="772" t="s">
        <v>17</v>
      </c>
      <c r="W37" s="773">
        <f t="shared" si="12"/>
        <v>100</v>
      </c>
      <c r="X37" s="1809"/>
      <c r="Y37" s="3288" t="s">
        <v>2558</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88"/>
      <c r="Q38" s="1806">
        <f t="shared" si="14"/>
        <v>111</v>
      </c>
      <c r="R38" s="772" t="s">
        <v>17</v>
      </c>
      <c r="S38" s="773">
        <f t="shared" si="10"/>
        <v>100</v>
      </c>
      <c r="T38" s="772" t="s">
        <v>17</v>
      </c>
      <c r="U38" s="773">
        <f t="shared" si="11"/>
        <v>100</v>
      </c>
      <c r="V38" s="772" t="s">
        <v>17</v>
      </c>
      <c r="W38" s="773">
        <f t="shared" si="12"/>
        <v>100</v>
      </c>
      <c r="X38" s="1809"/>
      <c r="Y38" s="3288"/>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88"/>
      <c r="Q39" s="1806">
        <f t="shared" si="14"/>
        <v>111</v>
      </c>
      <c r="R39" s="772" t="s">
        <v>17</v>
      </c>
      <c r="S39" s="773">
        <f t="shared" si="10"/>
        <v>100</v>
      </c>
      <c r="T39" s="772" t="s">
        <v>17</v>
      </c>
      <c r="U39" s="773">
        <f t="shared" si="11"/>
        <v>100</v>
      </c>
      <c r="V39" s="772" t="s">
        <v>17</v>
      </c>
      <c r="W39" s="773">
        <f t="shared" si="12"/>
        <v>100</v>
      </c>
      <c r="X39" s="1809"/>
      <c r="Y39" s="3288"/>
      <c r="Z39" s="1810">
        <f t="shared" si="13"/>
        <v>111</v>
      </c>
      <c r="AA39" s="1807">
        <f t="shared" si="3"/>
        <v>1</v>
      </c>
      <c r="AB39" s="1807">
        <f t="shared" si="4"/>
        <v>1</v>
      </c>
      <c r="AC39" s="1807">
        <f t="shared" si="5"/>
        <v>1</v>
      </c>
    </row>
    <row r="40" spans="1:29" s="470" customFormat="1" ht="15.75" thickBot="1">
      <c r="A40" s="467"/>
      <c r="B40" s="1383">
        <v>111</v>
      </c>
      <c r="C40" s="2691"/>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88"/>
      <c r="Q40" s="1806">
        <f t="shared" si="14"/>
        <v>111</v>
      </c>
      <c r="R40" s="775" t="s">
        <v>17</v>
      </c>
      <c r="S40" s="776">
        <f t="shared" si="10"/>
        <v>100</v>
      </c>
      <c r="T40" s="775" t="s">
        <v>17</v>
      </c>
      <c r="U40" s="776">
        <f t="shared" si="11"/>
        <v>100</v>
      </c>
      <c r="V40" s="775" t="s">
        <v>17</v>
      </c>
      <c r="W40" s="776">
        <f t="shared" si="12"/>
        <v>100</v>
      </c>
      <c r="X40" s="777"/>
      <c r="Y40" s="3288"/>
      <c r="Z40" s="778">
        <f t="shared" si="13"/>
        <v>111</v>
      </c>
      <c r="AA40" s="1807">
        <f t="shared" si="3"/>
        <v>1</v>
      </c>
      <c r="AB40" s="1807">
        <f t="shared" si="4"/>
        <v>1</v>
      </c>
      <c r="AC40" s="1807">
        <f t="shared" si="5"/>
        <v>1</v>
      </c>
    </row>
    <row r="41" spans="1:29" ht="15">
      <c r="A41" s="478" t="s">
        <v>2713</v>
      </c>
      <c r="B41" s="2692" t="s">
        <v>2793</v>
      </c>
      <c r="C41" s="681" t="s">
        <v>1</v>
      </c>
      <c r="D41" s="480"/>
      <c r="E41" s="481"/>
      <c r="F41" s="482"/>
      <c r="G41" s="483"/>
      <c r="H41" s="484"/>
      <c r="I41" s="481"/>
      <c r="J41" s="484"/>
      <c r="K41" s="781"/>
      <c r="L41" s="1139"/>
      <c r="M41" s="1127"/>
      <c r="N41" s="1127"/>
      <c r="O41" s="1140"/>
      <c r="P41" s="3290" t="str">
        <f>A41</f>
        <v>成交单价</v>
      </c>
      <c r="Q41" s="3290"/>
      <c r="R41" s="3278">
        <f>E41</f>
        <v>0</v>
      </c>
      <c r="S41" s="3278"/>
      <c r="T41" s="3278">
        <f>G41</f>
        <v>0</v>
      </c>
      <c r="U41" s="3278"/>
      <c r="V41" s="3278">
        <f>I41</f>
        <v>0</v>
      </c>
      <c r="W41" s="3278"/>
      <c r="X41" s="757"/>
      <c r="Y41" s="779"/>
      <c r="Z41" s="757"/>
      <c r="AA41" s="757"/>
      <c r="AB41" s="757"/>
      <c r="AC41" s="757"/>
    </row>
    <row r="42" spans="1:29" ht="15.75" thickBot="1">
      <c r="A42" s="485" t="s">
        <v>2662</v>
      </c>
      <c r="B42" s="682"/>
      <c r="C42" s="489" t="e">
        <f>R43</f>
        <v>#DIV/0!</v>
      </c>
      <c r="D42" s="488"/>
      <c r="E42" s="489" t="e">
        <f>R42</f>
        <v>#DIV/0!</v>
      </c>
      <c r="F42" s="490"/>
      <c r="G42" s="487" t="e">
        <f>T42</f>
        <v>#DIV/0!</v>
      </c>
      <c r="H42" s="488"/>
      <c r="I42" s="489" t="e">
        <f>V42</f>
        <v>#DIV/0!</v>
      </c>
      <c r="J42" s="488"/>
      <c r="K42" s="782"/>
      <c r="L42" s="1139"/>
      <c r="M42" s="1127"/>
      <c r="N42" s="1127"/>
      <c r="O42" s="1140"/>
      <c r="P42" s="3290" t="str">
        <f>A42</f>
        <v>比较价值（元/平方米）</v>
      </c>
      <c r="Q42" s="3290"/>
      <c r="R42" s="3351" t="e">
        <f>ROUND(PRODUCT(R41,AA7:AA40),0)</f>
        <v>#DIV/0!</v>
      </c>
      <c r="S42" s="3351"/>
      <c r="T42" s="3351" t="e">
        <f>ROUND(PRODUCT(T41,AB7:AB40),0)</f>
        <v>#DIV/0!</v>
      </c>
      <c r="U42" s="3351"/>
      <c r="V42" s="3351" t="e">
        <f>ROUND(PRODUCT(V41,AC7:AC40),0)</f>
        <v>#DIV/0!</v>
      </c>
      <c r="W42" s="3351"/>
      <c r="X42" s="757"/>
      <c r="Y42" s="757"/>
      <c r="Z42" s="757"/>
      <c r="AA42" s="757"/>
      <c r="AB42" s="757"/>
      <c r="AC42" s="757"/>
    </row>
    <row r="43" spans="1:29" ht="15.75" thickBot="1">
      <c r="A43" s="491" t="s">
        <v>2663</v>
      </c>
      <c r="B43" s="492"/>
      <c r="C43" s="493" t="e">
        <f>R43</f>
        <v>#DIV/0!</v>
      </c>
      <c r="D43" s="493"/>
      <c r="E43" s="493"/>
      <c r="F43" s="493"/>
      <c r="G43" s="493"/>
      <c r="H43" s="493"/>
      <c r="I43" s="493"/>
      <c r="J43" s="493"/>
      <c r="K43" s="783"/>
      <c r="L43" s="1139"/>
      <c r="M43" s="1127"/>
      <c r="N43" s="1127"/>
      <c r="O43" s="1140"/>
      <c r="P43" s="3341" t="str">
        <f>A43</f>
        <v>估价对象XX用房的比较价值（楼面单价，元/平方米）</v>
      </c>
      <c r="Q43" s="3342"/>
      <c r="R43" s="3352" t="e">
        <f>ROUND(AVERAGE(R42:V42),0)</f>
        <v>#DIV/0!</v>
      </c>
      <c r="S43" s="3352"/>
      <c r="T43" s="3352"/>
      <c r="U43" s="3352"/>
      <c r="V43" s="3352"/>
      <c r="W43" s="3352"/>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0"/>
      <c r="D49" s="758"/>
      <c r="E49" s="758"/>
      <c r="F49" s="758"/>
      <c r="G49" s="758"/>
      <c r="H49" s="758"/>
      <c r="I49" s="758"/>
      <c r="J49" s="758"/>
      <c r="K49" s="1144"/>
      <c r="L49" s="1145"/>
      <c r="M49" s="1141"/>
      <c r="N49" s="1141"/>
      <c r="O49" s="1141"/>
    </row>
    <row r="50" spans="1:17" ht="27">
      <c r="A50" s="683" t="s">
        <v>2751</v>
      </c>
      <c r="B50" s="684" t="s">
        <v>2752</v>
      </c>
      <c r="C50" s="2693" t="s">
        <v>2753</v>
      </c>
      <c r="D50" s="2694" t="s">
        <v>2754</v>
      </c>
      <c r="E50" s="685" t="s">
        <v>2755</v>
      </c>
      <c r="F50" s="686" t="s">
        <v>2756</v>
      </c>
      <c r="G50" s="3265" t="s">
        <v>2757</v>
      </c>
      <c r="H50" s="3353"/>
      <c r="I50" s="1810" t="s">
        <v>2794</v>
      </c>
      <c r="J50" s="1810">
        <f>项目基本情况!F35</f>
        <v>0</v>
      </c>
      <c r="K50" s="2696" t="s">
        <v>2759</v>
      </c>
      <c r="L50" s="1102"/>
      <c r="M50" s="1140"/>
      <c r="N50" s="1140"/>
      <c r="O50" s="1140"/>
    </row>
    <row r="51" spans="1:17" s="691" customFormat="1">
      <c r="A51" s="687" t="s">
        <v>2760</v>
      </c>
      <c r="B51" s="688" t="e">
        <f>C43</f>
        <v>#DIV/0!</v>
      </c>
      <c r="C51" s="689">
        <v>1</v>
      </c>
      <c r="D51" s="1159">
        <v>1</v>
      </c>
      <c r="E51" s="689">
        <f>'数据-汇总表'!E8+'数据-汇总表'!E9</f>
        <v>40781.420000000006</v>
      </c>
      <c r="F51" s="690" t="e">
        <f t="shared" ref="F51:F60" si="15">ROUND(B51*E51/10000,0)</f>
        <v>#DIV/0!</v>
      </c>
      <c r="G51" s="3261"/>
      <c r="H51" s="3290"/>
      <c r="I51" s="938">
        <v>1</v>
      </c>
      <c r="J51" s="938">
        <v>1</v>
      </c>
      <c r="K51" s="1141"/>
      <c r="L51" s="937"/>
      <c r="M51" s="937"/>
      <c r="N51" s="937"/>
      <c r="O51" s="937"/>
    </row>
    <row r="52" spans="1:17" s="691" customFormat="1">
      <c r="A52" s="692" t="s">
        <v>2761</v>
      </c>
      <c r="B52" s="261" t="e">
        <f>ROUND($C$43*C52*D52,0)</f>
        <v>#DIV/0!</v>
      </c>
      <c r="C52" s="199">
        <f t="shared" ref="C52:C60" si="16">IF($C$50="北京市系数",I52,J52)</f>
        <v>0</v>
      </c>
      <c r="D52" s="1160">
        <v>0.25</v>
      </c>
      <c r="E52" s="693"/>
      <c r="F52" s="690" t="e">
        <f t="shared" si="15"/>
        <v>#DIV/0!</v>
      </c>
      <c r="G52" s="3354" t="s">
        <v>2762</v>
      </c>
      <c r="H52" s="1100">
        <f>项目基本情况!B37</f>
        <v>0</v>
      </c>
      <c r="I52" s="938">
        <f>SUMIF(修正!A45:A56,H52,修正!B45:B56)</f>
        <v>0</v>
      </c>
      <c r="J52" s="939"/>
      <c r="K52" s="1140"/>
      <c r="L52" s="937"/>
      <c r="M52" s="937"/>
      <c r="N52" s="937"/>
      <c r="O52" s="937"/>
    </row>
    <row r="53" spans="1:17" s="691" customFormat="1">
      <c r="A53" s="692" t="s">
        <v>2763</v>
      </c>
      <c r="B53" s="261" t="e">
        <f t="shared" ref="B53:B60" si="17">ROUND($C$43*C53*D53,0)</f>
        <v>#DIV/0!</v>
      </c>
      <c r="C53" s="199">
        <f t="shared" si="16"/>
        <v>0</v>
      </c>
      <c r="D53" s="1160">
        <v>0.25</v>
      </c>
      <c r="E53" s="693"/>
      <c r="F53" s="690" t="e">
        <f t="shared" si="15"/>
        <v>#DIV/0!</v>
      </c>
      <c r="G53" s="3354"/>
      <c r="H53" s="1100">
        <f>项目基本情况!B37</f>
        <v>0</v>
      </c>
      <c r="I53" s="938">
        <f>SUMIF(修正!A45:A56,H53,修正!C45:C56)</f>
        <v>0</v>
      </c>
      <c r="J53" s="939"/>
      <c r="K53" s="1141"/>
      <c r="L53" s="937"/>
      <c r="M53" s="937"/>
      <c r="N53" s="937"/>
      <c r="O53" s="937"/>
    </row>
    <row r="54" spans="1:17" s="691" customFormat="1">
      <c r="A54" s="692" t="s">
        <v>2764</v>
      </c>
      <c r="B54" s="261" t="e">
        <f t="shared" si="17"/>
        <v>#DIV/0!</v>
      </c>
      <c r="C54" s="199">
        <f t="shared" si="16"/>
        <v>0</v>
      </c>
      <c r="D54" s="1160">
        <v>0.25</v>
      </c>
      <c r="E54" s="693"/>
      <c r="F54" s="690" t="e">
        <f t="shared" si="15"/>
        <v>#DIV/0!</v>
      </c>
      <c r="G54" s="3354"/>
      <c r="H54" s="1100">
        <f>项目基本情况!B37</f>
        <v>0</v>
      </c>
      <c r="I54" s="938">
        <f>SUMIF(修正!A45:A56,H54,修正!D45:D56)</f>
        <v>0</v>
      </c>
      <c r="J54" s="939"/>
      <c r="K54" s="1140"/>
      <c r="L54" s="937"/>
      <c r="M54" s="937"/>
      <c r="N54" s="937"/>
      <c r="O54" s="937"/>
    </row>
    <row r="55" spans="1:17" s="691" customFormat="1">
      <c r="A55" s="692" t="s">
        <v>2765</v>
      </c>
      <c r="B55" s="261" t="e">
        <f t="shared" si="17"/>
        <v>#DIV/0!</v>
      </c>
      <c r="C55" s="199">
        <f t="shared" si="16"/>
        <v>0</v>
      </c>
      <c r="D55" s="1160">
        <v>0.25</v>
      </c>
      <c r="E55" s="693"/>
      <c r="F55" s="690" t="e">
        <f t="shared" si="15"/>
        <v>#DIV/0!</v>
      </c>
      <c r="G55" s="3354"/>
      <c r="H55" s="1100">
        <f>项目基本情况!B37</f>
        <v>0</v>
      </c>
      <c r="I55" s="938">
        <f>SUMIF(修正!A45:A56,H55,修正!E45:E56)</f>
        <v>0</v>
      </c>
      <c r="J55" s="939"/>
      <c r="K55" s="1141"/>
      <c r="L55" s="937"/>
      <c r="M55" s="937"/>
      <c r="N55" s="937"/>
      <c r="O55" s="937"/>
    </row>
    <row r="56" spans="1:17" s="691" customFormat="1">
      <c r="A56" s="692" t="s">
        <v>2766</v>
      </c>
      <c r="B56" s="261" t="e">
        <f t="shared" si="17"/>
        <v>#DIV/0!</v>
      </c>
      <c r="C56" s="199">
        <f t="shared" si="16"/>
        <v>0.3</v>
      </c>
      <c r="D56" s="1160">
        <v>0.25</v>
      </c>
      <c r="E56" s="260">
        <f>'数据-汇总表'!E11</f>
        <v>0</v>
      </c>
      <c r="F56" s="690" t="e">
        <f t="shared" si="15"/>
        <v>#DIV/0!</v>
      </c>
      <c r="G56" s="2697" t="s">
        <v>2767</v>
      </c>
      <c r="H56" s="1100" t="str">
        <f>项目基本情况!C37</f>
        <v>二级</v>
      </c>
      <c r="I56" s="938">
        <f>SUMIF(修正!A45:A56,H56,修正!F45:F56)</f>
        <v>0.3</v>
      </c>
      <c r="J56" s="939"/>
      <c r="K56" s="1140"/>
      <c r="L56" s="937"/>
      <c r="M56" s="937"/>
      <c r="N56" s="937"/>
      <c r="O56" s="937"/>
    </row>
    <row r="57" spans="1:17" s="691" customFormat="1">
      <c r="A57" s="692" t="s">
        <v>2768</v>
      </c>
      <c r="B57" s="261" t="e">
        <f t="shared" si="17"/>
        <v>#DIV/0!</v>
      </c>
      <c r="C57" s="199">
        <f t="shared" si="16"/>
        <v>0.3</v>
      </c>
      <c r="D57" s="1160">
        <v>0.25</v>
      </c>
      <c r="E57" s="260">
        <f>'数据-汇总表'!E12</f>
        <v>0</v>
      </c>
      <c r="F57" s="690" t="e">
        <f t="shared" si="15"/>
        <v>#DIV/0!</v>
      </c>
      <c r="G57" s="1105" t="s">
        <v>2769</v>
      </c>
      <c r="H57" s="1100" t="str">
        <f>IF(G57="商业",项目基本情况!B37,IF(G57="办公",项目基本情况!C37,IF(G57="住宅",项目基本情况!D37,项目基本情况!E37)))</f>
        <v>二级</v>
      </c>
      <c r="I57" s="938">
        <f>SUMIF(修正!A45:A56,H57,修正!G45:G56)</f>
        <v>0.3</v>
      </c>
      <c r="J57" s="939"/>
      <c r="K57" s="1141"/>
      <c r="L57" s="937"/>
      <c r="M57" s="937"/>
      <c r="N57" s="937"/>
      <c r="O57" s="937"/>
    </row>
    <row r="58" spans="1:17" s="691" customFormat="1">
      <c r="A58" s="692" t="s">
        <v>2770</v>
      </c>
      <c r="B58" s="261" t="e">
        <f t="shared" si="17"/>
        <v>#DIV/0!</v>
      </c>
      <c r="C58" s="199">
        <f t="shared" si="16"/>
        <v>0</v>
      </c>
      <c r="D58" s="1160">
        <v>0.25</v>
      </c>
      <c r="E58" s="260">
        <f>'数据-汇总表'!E13</f>
        <v>0</v>
      </c>
      <c r="F58" s="690" t="e">
        <f t="shared" si="15"/>
        <v>#DIV/0!</v>
      </c>
      <c r="G58" s="1105" t="s">
        <v>2771</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2772</v>
      </c>
      <c r="B59" s="261" t="e">
        <f t="shared" si="17"/>
        <v>#DIV/0!</v>
      </c>
      <c r="C59" s="199">
        <f t="shared" si="16"/>
        <v>0</v>
      </c>
      <c r="D59" s="1160">
        <v>0.25</v>
      </c>
      <c r="E59" s="260">
        <f>'数据-汇总表'!E14</f>
        <v>0</v>
      </c>
      <c r="F59" s="690" t="e">
        <f t="shared" si="15"/>
        <v>#DIV/0!</v>
      </c>
      <c r="G59" s="2697" t="s">
        <v>2762</v>
      </c>
      <c r="H59" s="1100">
        <f>项目基本情况!B37</f>
        <v>0</v>
      </c>
      <c r="I59" s="938">
        <f>SUMIF(修正!A45:A56,H59,修正!H45:H56)</f>
        <v>0</v>
      </c>
      <c r="J59" s="939"/>
      <c r="K59" s="1141"/>
      <c r="L59" s="937"/>
      <c r="M59" s="937"/>
      <c r="N59" s="937"/>
      <c r="O59" s="937"/>
    </row>
    <row r="60" spans="1:17" s="691" customFormat="1" ht="15" thickBot="1">
      <c r="A60" s="692" t="s">
        <v>2773</v>
      </c>
      <c r="B60" s="261" t="e">
        <f t="shared" si="17"/>
        <v>#DIV/0!</v>
      </c>
      <c r="C60" s="199">
        <f t="shared" si="16"/>
        <v>0.25</v>
      </c>
      <c r="D60" s="1160">
        <v>0.25</v>
      </c>
      <c r="E60" s="260">
        <f>'数据-汇总表'!E15</f>
        <v>7705.92</v>
      </c>
      <c r="F60" s="690" t="e">
        <f t="shared" si="15"/>
        <v>#DIV/0!</v>
      </c>
      <c r="G60" s="2698" t="s">
        <v>2767</v>
      </c>
      <c r="H60" s="1110" t="str">
        <f>项目基本情况!C37</f>
        <v>二级</v>
      </c>
      <c r="I60" s="938">
        <f>SUMIF(修正!A45:A56,H60,修正!H45:H56)</f>
        <v>0.25</v>
      </c>
      <c r="J60" s="939"/>
      <c r="K60" s="1140"/>
      <c r="L60" s="937"/>
      <c r="M60" s="937"/>
      <c r="N60" s="937"/>
      <c r="O60" s="937"/>
    </row>
    <row r="61" spans="1:17" s="691" customFormat="1" ht="15" thickBot="1">
      <c r="A61" s="694" t="s">
        <v>2774</v>
      </c>
      <c r="B61" s="695" t="s">
        <v>28</v>
      </c>
      <c r="C61" s="695" t="s">
        <v>29</v>
      </c>
      <c r="D61" s="695" t="s">
        <v>1029</v>
      </c>
      <c r="E61" s="695">
        <f>IF(B41="楼面地价",SUM(E51:E60),'数据-汇总表'!D3)</f>
        <v>8406.27</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2667</v>
      </c>
      <c r="B64" s="757"/>
      <c r="C64" s="762"/>
      <c r="D64" s="762"/>
      <c r="E64" s="762"/>
      <c r="F64" s="763"/>
      <c r="G64" s="763"/>
      <c r="H64" s="762"/>
      <c r="I64" s="762"/>
      <c r="J64" s="762"/>
      <c r="K64" s="764"/>
      <c r="L64" s="765"/>
      <c r="M64" s="762"/>
      <c r="N64" s="762"/>
      <c r="O64" s="1155"/>
      <c r="P64" s="502"/>
      <c r="Q64" s="503"/>
    </row>
    <row r="65" spans="1:17" s="507" customFormat="1" ht="15">
      <c r="A65" s="2699" t="s">
        <v>2775</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6"/>
    </row>
    <row r="66" spans="1:17" s="116" customFormat="1" ht="30.75" customHeight="1">
      <c r="A66" s="2704" t="s">
        <v>2795</v>
      </c>
      <c r="B66" s="331" t="str">
        <f>"北京市平均增长率"&amp;TEXT(基准地价修正!P24,"0.00%")</f>
        <v>北京市平均增长率1.31%</v>
      </c>
      <c r="C66" s="602">
        <v>100</v>
      </c>
      <c r="D66" s="594"/>
      <c r="E66" s="594"/>
      <c r="F66" s="594"/>
      <c r="G66" s="594"/>
      <c r="H66" s="594"/>
      <c r="I66" s="594"/>
      <c r="J66" s="594"/>
      <c r="K66" s="594"/>
      <c r="L66" s="594"/>
      <c r="M66" s="1563"/>
      <c r="N66" s="1563"/>
      <c r="O66" s="1565"/>
      <c r="P66" s="503"/>
    </row>
    <row r="67" spans="1:17" s="116" customFormat="1" ht="15.75" thickBot="1">
      <c r="A67" s="514" t="s">
        <v>2578</v>
      </c>
      <c r="B67" s="515"/>
      <c r="C67" s="516"/>
      <c r="D67" s="517"/>
      <c r="E67" s="517"/>
      <c r="F67" s="517"/>
      <c r="G67" s="517"/>
      <c r="H67" s="517"/>
      <c r="I67" s="517"/>
      <c r="J67" s="517"/>
      <c r="K67" s="517"/>
      <c r="L67" s="517"/>
      <c r="M67" s="518"/>
      <c r="N67" s="518"/>
      <c r="O67" s="519"/>
      <c r="P67" s="503"/>
      <c r="Q67" s="503"/>
    </row>
    <row r="68" spans="1:17" s="116" customFormat="1" ht="15">
      <c r="A68" s="520" t="s">
        <v>2543</v>
      </c>
      <c r="B68" s="509"/>
      <c r="C68" s="521" t="s">
        <v>2645</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2581</v>
      </c>
      <c r="B70" s="527" t="s">
        <v>2547</v>
      </c>
      <c r="C70" s="529"/>
      <c r="D70" s="529"/>
      <c r="E70" s="529"/>
      <c r="F70" s="529"/>
      <c r="G70" s="529"/>
      <c r="H70" s="529"/>
      <c r="I70" s="529"/>
      <c r="J70" s="529"/>
      <c r="K70" s="530"/>
      <c r="L70" s="531"/>
      <c r="M70" s="532"/>
      <c r="N70" s="1148"/>
      <c r="O70" s="1148"/>
      <c r="P70" s="45"/>
      <c r="Q70" s="503"/>
    </row>
    <row r="71" spans="1:17" ht="15.75" thickBot="1">
      <c r="A71" s="533"/>
      <c r="B71" s="534"/>
      <c r="C71" s="535"/>
      <c r="D71" s="535"/>
      <c r="E71" s="535"/>
      <c r="F71" s="535"/>
      <c r="G71" s="535"/>
      <c r="H71" s="535"/>
      <c r="I71" s="535"/>
      <c r="J71" s="535"/>
      <c r="K71" s="535"/>
      <c r="L71" s="535"/>
      <c r="M71" s="536"/>
      <c r="N71" s="1149"/>
      <c r="O71" s="1149"/>
      <c r="P71" s="45"/>
      <c r="Q71" s="503"/>
    </row>
    <row r="72" spans="1:17" ht="27.75" thickTop="1">
      <c r="A72" s="533"/>
      <c r="B72" s="537" t="s">
        <v>2550</v>
      </c>
      <c r="C72" s="538"/>
      <c r="D72" s="538"/>
      <c r="E72" s="538"/>
      <c r="F72" s="538"/>
      <c r="G72" s="538"/>
      <c r="H72" s="538"/>
      <c r="I72" s="538"/>
      <c r="J72" s="538"/>
      <c r="K72" s="539"/>
      <c r="L72" s="540"/>
      <c r="M72" s="541"/>
      <c r="N72" s="1148"/>
      <c r="O72" s="1148"/>
      <c r="P72" s="45"/>
      <c r="Q72" s="503"/>
    </row>
    <row r="73" spans="1:17" ht="15.75" thickBot="1">
      <c r="A73" s="533"/>
      <c r="B73" s="542"/>
      <c r="C73" s="543"/>
      <c r="D73" s="543"/>
      <c r="E73" s="543"/>
      <c r="F73" s="543"/>
      <c r="G73" s="543"/>
      <c r="H73" s="543"/>
      <c r="I73" s="543"/>
      <c r="J73" s="543"/>
      <c r="K73" s="543"/>
      <c r="L73" s="543"/>
      <c r="M73" s="544"/>
      <c r="N73" s="1149"/>
      <c r="O73" s="1149"/>
      <c r="P73" s="45"/>
      <c r="Q73" s="503"/>
    </row>
    <row r="74" spans="1:17" ht="15.7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5"/>
      <c r="Q74" s="503"/>
    </row>
    <row r="75" spans="1:17" ht="15">
      <c r="A75" s="533"/>
      <c r="B75" s="547"/>
      <c r="C75" s="548"/>
      <c r="D75" s="548"/>
      <c r="E75" s="548"/>
      <c r="F75" s="548"/>
      <c r="G75" s="548"/>
      <c r="H75" s="548"/>
      <c r="I75" s="548"/>
      <c r="J75" s="548"/>
      <c r="K75" s="549"/>
      <c r="L75" s="550"/>
      <c r="M75" s="551"/>
      <c r="N75" s="1148"/>
      <c r="O75" s="1148"/>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5"/>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2552</v>
      </c>
      <c r="B83" s="527" t="s">
        <v>2698</v>
      </c>
      <c r="C83" s="572" t="s">
        <v>2590</v>
      </c>
      <c r="D83" s="572" t="s">
        <v>2591</v>
      </c>
      <c r="E83" s="572" t="s">
        <v>2592</v>
      </c>
      <c r="F83" s="572" t="s">
        <v>2593</v>
      </c>
      <c r="G83" s="572" t="s">
        <v>2594</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5"/>
      <c r="Q84" s="503"/>
    </row>
    <row r="85" spans="1:17" ht="15.75" thickTop="1">
      <c r="A85" s="533"/>
      <c r="B85" s="537" t="s">
        <v>2595</v>
      </c>
      <c r="C85" s="577" t="s">
        <v>2590</v>
      </c>
      <c r="D85" s="577" t="s">
        <v>2591</v>
      </c>
      <c r="E85" s="577" t="s">
        <v>2592</v>
      </c>
      <c r="F85" s="577" t="s">
        <v>2593</v>
      </c>
      <c r="G85" s="577" t="s">
        <v>2594</v>
      </c>
      <c r="H85" s="538"/>
      <c r="I85" s="538"/>
      <c r="J85" s="538"/>
      <c r="K85" s="539"/>
      <c r="L85" s="540"/>
      <c r="M85" s="541"/>
      <c r="N85" s="1148"/>
      <c r="O85" s="1148"/>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5"/>
      <c r="Q86" s="503"/>
    </row>
    <row r="87" spans="1:17" s="116" customFormat="1" ht="15.75" thickTop="1">
      <c r="A87" s="578"/>
      <c r="B87" s="537" t="s">
        <v>2778</v>
      </c>
      <c r="C87" s="572" t="s">
        <v>2590</v>
      </c>
      <c r="D87" s="572" t="s">
        <v>2591</v>
      </c>
      <c r="E87" s="572" t="s">
        <v>2592</v>
      </c>
      <c r="F87" s="572" t="s">
        <v>2593</v>
      </c>
      <c r="G87" s="572" t="s">
        <v>2594</v>
      </c>
      <c r="H87" s="577"/>
      <c r="I87" s="577"/>
      <c r="J87" s="577"/>
      <c r="K87" s="577"/>
      <c r="L87" s="697"/>
      <c r="M87" s="621"/>
      <c r="N87" s="1147"/>
      <c r="O87" s="1147"/>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5"/>
      <c r="Q88" s="503"/>
    </row>
    <row r="89" spans="1:17" s="116" customFormat="1" ht="27.75" thickTop="1">
      <c r="A89" s="578"/>
      <c r="B89" s="537" t="s">
        <v>2779</v>
      </c>
      <c r="C89" s="572" t="s">
        <v>2590</v>
      </c>
      <c r="D89" s="572" t="s">
        <v>2591</v>
      </c>
      <c r="E89" s="572" t="s">
        <v>2592</v>
      </c>
      <c r="F89" s="572" t="s">
        <v>2593</v>
      </c>
      <c r="G89" s="572" t="s">
        <v>2594</v>
      </c>
      <c r="H89" s="577"/>
      <c r="I89" s="577"/>
      <c r="J89" s="577"/>
      <c r="K89" s="577"/>
      <c r="L89" s="577"/>
      <c r="M89" s="621"/>
      <c r="N89" s="1147"/>
      <c r="O89" s="1147"/>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5"/>
      <c r="Q90" s="503"/>
    </row>
    <row r="91" spans="1:17" s="470" customFormat="1" ht="15.75" thickTop="1">
      <c r="A91" s="552"/>
      <c r="B91" s="537" t="s">
        <v>2647</v>
      </c>
      <c r="C91" s="572" t="s">
        <v>2590</v>
      </c>
      <c r="D91" s="572" t="s">
        <v>2591</v>
      </c>
      <c r="E91" s="572" t="s">
        <v>2592</v>
      </c>
      <c r="F91" s="572" t="s">
        <v>2593</v>
      </c>
      <c r="G91" s="572" t="s">
        <v>2594</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2796</v>
      </c>
      <c r="C93" s="659" t="s">
        <v>2668</v>
      </c>
      <c r="D93" s="659" t="s">
        <v>2669</v>
      </c>
      <c r="E93" s="659" t="s">
        <v>2670</v>
      </c>
      <c r="F93" s="659" t="s">
        <v>2671</v>
      </c>
      <c r="G93" s="659" t="s">
        <v>2672</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2780</v>
      </c>
      <c r="D95" s="538" t="s">
        <v>2781</v>
      </c>
      <c r="E95" s="538" t="s">
        <v>2782</v>
      </c>
      <c r="F95" s="538" t="s">
        <v>2783</v>
      </c>
      <c r="G95" s="538"/>
      <c r="H95" s="538"/>
      <c r="I95" s="538"/>
      <c r="J95" s="538"/>
      <c r="K95" s="539"/>
      <c r="L95" s="540"/>
      <c r="M95" s="541"/>
      <c r="N95" s="1148"/>
      <c r="O95" s="1148"/>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5"/>
      <c r="Q96" s="503"/>
    </row>
    <row r="97" spans="1:17" ht="27.75" thickTop="1">
      <c r="A97" s="533"/>
      <c r="B97" s="537" t="s">
        <v>2684</v>
      </c>
      <c r="C97" s="553"/>
      <c r="D97" s="553"/>
      <c r="E97" s="553"/>
      <c r="F97" s="553"/>
      <c r="G97" s="553"/>
      <c r="H97" s="582"/>
      <c r="I97" s="582"/>
      <c r="J97" s="582"/>
      <c r="K97" s="583"/>
      <c r="L97" s="584"/>
      <c r="M97" s="585"/>
      <c r="N97" s="1148"/>
      <c r="O97" s="1148"/>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5"/>
      <c r="Q98" s="503"/>
    </row>
    <row r="99" spans="1:17" ht="15.75" thickTop="1">
      <c r="A99" s="533"/>
      <c r="B99" s="537" t="s">
        <v>2743</v>
      </c>
      <c r="C99" s="582"/>
      <c r="D99" s="582"/>
      <c r="E99" s="582"/>
      <c r="F99" s="582"/>
      <c r="G99" s="582"/>
      <c r="H99" s="582"/>
      <c r="I99" s="582"/>
      <c r="J99" s="582"/>
      <c r="K99" s="583"/>
      <c r="L99" s="584"/>
      <c r="M99" s="585"/>
      <c r="N99" s="1148"/>
      <c r="O99" s="1148"/>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5"/>
      <c r="Q100" s="503"/>
    </row>
    <row r="101" spans="1:17" ht="15.75" thickTop="1">
      <c r="A101" s="533"/>
      <c r="B101" s="545">
        <f>B31</f>
        <v>111</v>
      </c>
      <c r="C101" s="553"/>
      <c r="D101" s="553"/>
      <c r="E101" s="553"/>
      <c r="F101" s="553"/>
      <c r="G101" s="586"/>
      <c r="H101" s="586"/>
      <c r="I101" s="586"/>
      <c r="J101" s="586"/>
      <c r="K101" s="587"/>
      <c r="L101" s="588"/>
      <c r="M101" s="589"/>
      <c r="N101" s="1148"/>
      <c r="O101" s="1148"/>
      <c r="P101" s="45"/>
      <c r="Q101" s="503"/>
    </row>
    <row r="102" spans="1:17" ht="15.75" thickBot="1">
      <c r="A102" s="533"/>
      <c r="B102" s="568"/>
      <c r="C102" s="559"/>
      <c r="D102" s="535"/>
      <c r="E102" s="535"/>
      <c r="F102" s="535"/>
      <c r="G102" s="590"/>
      <c r="H102" s="590"/>
      <c r="I102" s="590"/>
      <c r="J102" s="590"/>
      <c r="K102" s="590"/>
      <c r="L102" s="590"/>
      <c r="M102" s="591"/>
      <c r="N102" s="1149"/>
      <c r="O102" s="1149"/>
      <c r="P102" s="45"/>
      <c r="Q102" s="503"/>
    </row>
    <row r="103" spans="1:17" ht="15" thickTop="1">
      <c r="A103" s="674"/>
      <c r="B103" s="537">
        <f>B32</f>
        <v>111</v>
      </c>
      <c r="C103" s="553"/>
      <c r="D103" s="553"/>
      <c r="E103" s="553"/>
      <c r="F103" s="553"/>
      <c r="G103" s="582"/>
      <c r="H103" s="582"/>
      <c r="I103" s="582"/>
      <c r="J103" s="582"/>
      <c r="K103" s="583"/>
      <c r="L103" s="584"/>
      <c r="M103" s="585"/>
      <c r="N103" s="1148"/>
      <c r="O103" s="1148"/>
      <c r="P103" s="45"/>
      <c r="Q103" s="503"/>
    </row>
    <row r="104" spans="1:17" ht="15.75" thickBot="1">
      <c r="A104" s="533"/>
      <c r="B104" s="542"/>
      <c r="C104" s="559"/>
      <c r="D104" s="559"/>
      <c r="E104" s="559"/>
      <c r="F104" s="559"/>
      <c r="G104" s="535"/>
      <c r="H104" s="535"/>
      <c r="I104" s="535"/>
      <c r="J104" s="535"/>
      <c r="K104" s="535"/>
      <c r="L104" s="535"/>
      <c r="M104" s="536"/>
      <c r="N104" s="1149"/>
      <c r="O104" s="1149"/>
      <c r="P104" s="45"/>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5"/>
      <c r="Q107" s="503"/>
    </row>
    <row r="108" spans="1:17" ht="15">
      <c r="A108" s="533"/>
      <c r="B108" s="545"/>
      <c r="C108" s="594"/>
      <c r="D108" s="594"/>
      <c r="E108" s="594"/>
      <c r="F108" s="594"/>
      <c r="G108" s="594"/>
      <c r="H108" s="594"/>
      <c r="I108" s="594"/>
      <c r="J108" s="595"/>
      <c r="K108" s="595"/>
      <c r="L108" s="596"/>
      <c r="M108" s="597"/>
      <c r="N108" s="1148"/>
      <c r="O108" s="1148"/>
      <c r="P108" s="45"/>
      <c r="Q108" s="503"/>
    </row>
    <row r="109" spans="1:17" ht="15.75" thickBot="1">
      <c r="A109" s="533"/>
      <c r="B109" s="542"/>
      <c r="C109" s="569"/>
      <c r="D109" s="590"/>
      <c r="E109" s="590"/>
      <c r="F109" s="590"/>
      <c r="G109" s="590"/>
      <c r="H109" s="590"/>
      <c r="I109" s="590"/>
      <c r="J109" s="590"/>
      <c r="K109" s="590"/>
      <c r="L109" s="590"/>
      <c r="M109" s="591"/>
      <c r="N109" s="1149"/>
      <c r="O109" s="1149"/>
      <c r="P109" s="45"/>
      <c r="Q109" s="503"/>
    </row>
    <row r="110" spans="1:17" ht="15" thickTop="1">
      <c r="A110" s="598"/>
      <c r="B110" s="537" t="s">
        <v>2785</v>
      </c>
      <c r="C110" s="582"/>
      <c r="D110" s="582"/>
      <c r="E110" s="582"/>
      <c r="F110" s="582"/>
      <c r="G110" s="582"/>
      <c r="H110" s="582"/>
      <c r="I110" s="582"/>
      <c r="J110" s="582"/>
      <c r="K110" s="583"/>
      <c r="L110" s="584"/>
      <c r="M110" s="585"/>
      <c r="N110" s="1148"/>
      <c r="O110" s="1148"/>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5"/>
      <c r="Q111" s="503"/>
    </row>
    <row r="112" spans="1:17" s="470" customFormat="1" ht="15" thickTop="1">
      <c r="A112" s="592"/>
      <c r="B112" s="537" t="s">
        <v>2787</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2788</v>
      </c>
      <c r="C114" s="553"/>
      <c r="D114" s="553"/>
      <c r="E114" s="582"/>
      <c r="F114" s="582"/>
      <c r="G114" s="582"/>
      <c r="H114" s="582"/>
      <c r="I114" s="582"/>
      <c r="J114" s="582"/>
      <c r="K114" s="583"/>
      <c r="L114" s="584"/>
      <c r="M114" s="585"/>
      <c r="N114" s="1148"/>
      <c r="O114" s="1148"/>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5"/>
      <c r="Q115" s="503"/>
    </row>
    <row r="116" spans="1:17" ht="15" thickTop="1">
      <c r="A116" s="598"/>
      <c r="B116" s="537">
        <f>B38</f>
        <v>111</v>
      </c>
      <c r="C116" s="553"/>
      <c r="D116" s="553"/>
      <c r="E116" s="553"/>
      <c r="F116" s="553"/>
      <c r="G116" s="553"/>
      <c r="H116" s="582"/>
      <c r="I116" s="582"/>
      <c r="J116" s="582"/>
      <c r="K116" s="583"/>
      <c r="L116" s="584"/>
      <c r="M116" s="585"/>
      <c r="N116" s="1148"/>
      <c r="O116" s="1148"/>
      <c r="P116" s="45"/>
      <c r="Q116" s="503"/>
    </row>
    <row r="117" spans="1:17" ht="15.75" thickBot="1">
      <c r="A117" s="533"/>
      <c r="B117" s="542"/>
      <c r="C117" s="559"/>
      <c r="D117" s="535"/>
      <c r="E117" s="535"/>
      <c r="F117" s="535"/>
      <c r="G117" s="535"/>
      <c r="H117" s="535"/>
      <c r="I117" s="535"/>
      <c r="J117" s="535"/>
      <c r="K117" s="535"/>
      <c r="L117" s="535"/>
      <c r="M117" s="536"/>
      <c r="N117" s="1149"/>
      <c r="O117" s="1149"/>
      <c r="P117" s="45"/>
      <c r="Q117" s="503"/>
    </row>
    <row r="118" spans="1:17" ht="15" thickTop="1">
      <c r="A118" s="598"/>
      <c r="B118" s="537">
        <f>B39</f>
        <v>111</v>
      </c>
      <c r="C118" s="553"/>
      <c r="D118" s="553"/>
      <c r="E118" s="553"/>
      <c r="F118" s="553"/>
      <c r="G118" s="582"/>
      <c r="H118" s="582"/>
      <c r="I118" s="582"/>
      <c r="J118" s="582"/>
      <c r="K118" s="583"/>
      <c r="L118" s="584"/>
      <c r="M118" s="585"/>
      <c r="N118" s="1148"/>
      <c r="O118" s="1148"/>
      <c r="P118" s="45"/>
      <c r="Q118" s="503"/>
    </row>
    <row r="119" spans="1:17" ht="15.75" thickBot="1">
      <c r="A119" s="533"/>
      <c r="B119" s="542"/>
      <c r="C119" s="559"/>
      <c r="D119" s="559"/>
      <c r="E119" s="559"/>
      <c r="F119" s="559"/>
      <c r="G119" s="535"/>
      <c r="H119" s="535"/>
      <c r="I119" s="535"/>
      <c r="J119" s="535"/>
      <c r="K119" s="535"/>
      <c r="L119" s="535"/>
      <c r="M119" s="536"/>
      <c r="N119" s="1149"/>
      <c r="O119" s="1149"/>
      <c r="P119" s="45"/>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4" customWidth="1"/>
    <col min="2" max="2" width="19.25" style="2890" customWidth="1"/>
    <col min="3" max="4" width="12" style="2708"/>
    <col min="5" max="5" width="14.625" style="2708" customWidth="1"/>
    <col min="6" max="8" width="12" style="2708"/>
    <col min="9" max="9" width="12.25" style="2708" bestFit="1" customWidth="1"/>
    <col min="10" max="10" width="12" style="2708"/>
    <col min="11" max="11" width="8.125" style="2776" customWidth="1"/>
    <col min="12" max="12" width="12" style="2708"/>
    <col min="13" max="13" width="8.5" style="2708" customWidth="1"/>
    <col min="14" max="14" width="9.75" style="2708" customWidth="1"/>
    <col min="15" max="25" width="12" style="2708"/>
    <col min="26" max="26" width="9.375" style="2784" customWidth="1"/>
    <col min="27" max="32" width="9.375" style="1368" customWidth="1"/>
    <col min="33" max="36" width="9.375" style="2784" customWidth="1"/>
    <col min="37" max="38" width="9.375" style="2708" customWidth="1"/>
    <col min="39" max="16384" width="12" style="2708"/>
  </cols>
  <sheetData>
    <row r="1" spans="1:36" ht="28.5">
      <c r="A1" s="239" t="s">
        <v>2797</v>
      </c>
      <c r="B1" s="240"/>
      <c r="C1" s="244" t="s">
        <v>2798</v>
      </c>
      <c r="D1" s="387">
        <f>SUM(D29:D30,D33:D39)</f>
        <v>0</v>
      </c>
      <c r="E1" s="2705"/>
      <c r="F1" s="2705"/>
      <c r="G1" s="2705"/>
      <c r="H1" s="2705"/>
      <c r="I1" s="2705"/>
      <c r="J1" s="2705"/>
      <c r="K1" s="1366"/>
      <c r="L1" s="2706" t="s">
        <v>2799</v>
      </c>
      <c r="M1" s="1076">
        <f>SUMPRODUCT((区片价!B5:B9=I2)*(区片价!C3:F3=E2)*(区片价!C5:F9))</f>
        <v>0</v>
      </c>
      <c r="N1" s="1079">
        <f>SUMPRODUCT((因素修正幅度!B5:B9=I2)*(因素修正幅度!C3:F3=E2)*(因素修正幅度!C5:F9))</f>
        <v>0</v>
      </c>
      <c r="O1" s="2707"/>
      <c r="P1" s="2707"/>
      <c r="Q1" s="1366"/>
      <c r="R1" s="1598" t="s">
        <v>2800</v>
      </c>
      <c r="S1" s="1598" t="s">
        <v>2801</v>
      </c>
      <c r="T1" s="1598" t="s">
        <v>2802</v>
      </c>
      <c r="U1" s="1598" t="s">
        <v>2803</v>
      </c>
      <c r="V1" s="1598" t="s">
        <v>2804</v>
      </c>
      <c r="W1" s="1602"/>
      <c r="X1" s="1602"/>
      <c r="Y1" s="1602"/>
      <c r="Z1" s="1602"/>
      <c r="AA1" s="1602"/>
      <c r="AB1" s="1602"/>
      <c r="AC1" s="1603"/>
      <c r="AD1" s="1604"/>
      <c r="AE1" s="1604"/>
      <c r="AF1" s="1604"/>
      <c r="AG1" s="1604"/>
      <c r="AH1" s="1604"/>
      <c r="AI1" s="1604"/>
      <c r="AJ1" s="1605"/>
    </row>
    <row r="2" spans="1:36" ht="15.75">
      <c r="A2" s="244" t="s">
        <v>2805</v>
      </c>
      <c r="B2" s="247" t="e">
        <f>C26</f>
        <v>#DIV/0!</v>
      </c>
      <c r="C2" s="2709" t="s">
        <v>2806</v>
      </c>
      <c r="D2" s="2710" t="s">
        <v>2807</v>
      </c>
      <c r="E2" s="2711"/>
      <c r="F2" s="2710" t="s">
        <v>2808</v>
      </c>
      <c r="G2" s="2712">
        <f>IF(E2="商业",项目基本情况!B37,IF(E2="办公",项目基本情况!C37,IF(E2="住宅",项目基本情况!D37,项目基本情况!E37)))</f>
        <v>0</v>
      </c>
      <c r="H2" s="2710" t="s">
        <v>2809</v>
      </c>
      <c r="I2" s="2712">
        <f>IF(E2="商业",项目基本情况!B38,IF(E2="办公",项目基本情况!C38,IF(E2="住宅",项目基本情况!D38,项目基本情况!E38)))</f>
        <v>0</v>
      </c>
      <c r="J2" s="2713"/>
      <c r="K2" s="1366"/>
      <c r="L2" s="2714" t="s">
        <v>2810</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2811</v>
      </c>
      <c r="B3" s="247" t="e">
        <f>ROUND(B2*10000/D1,0)</f>
        <v>#DIV/0!</v>
      </c>
      <c r="C3" s="2709" t="s">
        <v>2812</v>
      </c>
      <c r="D3" s="2710" t="s">
        <v>2813</v>
      </c>
      <c r="E3" s="2715"/>
      <c r="F3" s="2716" t="s">
        <v>2814</v>
      </c>
      <c r="G3" s="909">
        <f>IF(F3="宗地容积率",'数据-汇总表'!I4,IF(F3="估价对象容积率",'数据-汇总表'!I6,'数据-汇总表'!I7))</f>
        <v>4.8499999999999996</v>
      </c>
      <c r="H3" s="197" t="s">
        <v>2815</v>
      </c>
      <c r="I3" s="940"/>
      <c r="J3" s="2713" t="s">
        <v>2816</v>
      </c>
      <c r="K3" s="1366"/>
      <c r="L3" s="2714" t="s">
        <v>2817</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69"/>
      <c r="B4" s="3370"/>
      <c r="C4" s="3370"/>
      <c r="D4" s="3371"/>
      <c r="E4" s="3371"/>
      <c r="F4" s="3371"/>
      <c r="G4" s="3371"/>
      <c r="H4" s="3371"/>
      <c r="I4" s="3371"/>
      <c r="J4" s="3372"/>
      <c r="K4" s="1366"/>
      <c r="L4" s="2714" t="s">
        <v>2818</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6" customFormat="1" ht="15.75" thickBot="1">
      <c r="A5" s="2717" t="s">
        <v>807</v>
      </c>
      <c r="B5" s="2718" t="s">
        <v>2819</v>
      </c>
      <c r="C5" s="910" t="e">
        <f>ROUND(IF(E2="商业",IF(F16="增加",C6*C7+C16,C6*C7-C16),IF(E2="住宅",IF(F16="增加",C6*C12+C16,C6*C12-C16),IF(F16="增加",C6+C16,C6-C16))),0)</f>
        <v>#DIV/0!</v>
      </c>
      <c r="D5" s="1783">
        <f>ROUND(IF(E2="商业",IF(F16="增加",C6+C16,C6-C16)),0)</f>
        <v>0</v>
      </c>
      <c r="E5" s="2719"/>
      <c r="F5" s="2719"/>
      <c r="G5" s="2720"/>
      <c r="H5" s="2720"/>
      <c r="I5" s="2720"/>
      <c r="J5" s="2721"/>
      <c r="K5" s="2722"/>
      <c r="L5" s="2714" t="s">
        <v>2820</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3"/>
      <c r="AD5" s="2724"/>
      <c r="AE5" s="2724"/>
      <c r="AF5" s="2724"/>
      <c r="AG5" s="2724"/>
      <c r="AH5" s="2724"/>
      <c r="AI5" s="2724"/>
      <c r="AJ5" s="2725"/>
    </row>
    <row r="6" spans="1:36" ht="15.75" thickBot="1">
      <c r="A6" s="2727" t="s">
        <v>2821</v>
      </c>
      <c r="B6" s="2728" t="s">
        <v>2822</v>
      </c>
      <c r="C6" s="911">
        <f>SUMIF(L1:L12,G2,M1:M12)</f>
        <v>0</v>
      </c>
      <c r="D6" s="2729" t="s">
        <v>2823</v>
      </c>
      <c r="E6" s="2730"/>
      <c r="F6" s="2730"/>
      <c r="G6" s="2731"/>
      <c r="H6" s="2731"/>
      <c r="I6" s="2731"/>
      <c r="J6" s="2732"/>
      <c r="K6" s="1838"/>
      <c r="L6" s="2714" t="s">
        <v>2824</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3"/>
      <c r="AD6" s="2724"/>
      <c r="AE6" s="2724"/>
      <c r="AF6" s="2724"/>
      <c r="AG6" s="2724"/>
      <c r="AH6" s="2724"/>
      <c r="AI6" s="2724"/>
      <c r="AJ6" s="2725"/>
    </row>
    <row r="7" spans="1:36" ht="24">
      <c r="A7" s="3355" t="str">
        <f>IF(E2="商业",IF(C8="不临58条商业街","",2),"")</f>
        <v/>
      </c>
      <c r="B7" s="2733" t="s">
        <v>2825</v>
      </c>
      <c r="C7" s="912" t="e">
        <f>IF(C8="不临58条商业街",1,ROUND(1+(1.6*E8+1.2*E9+0.8*E10+0.4*E11)*C9,4))</f>
        <v>#DIV/0!</v>
      </c>
      <c r="D7" s="2734" t="s">
        <v>2826</v>
      </c>
      <c r="E7" s="941"/>
      <c r="F7" s="2735"/>
      <c r="G7" s="2736"/>
      <c r="H7" s="2736"/>
      <c r="I7" s="2736"/>
      <c r="J7" s="2737"/>
      <c r="K7" s="1838"/>
      <c r="L7" s="2714" t="s">
        <v>2827</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2828</v>
      </c>
      <c r="X7" s="1600">
        <f>G2</f>
        <v>0</v>
      </c>
      <c r="Y7" s="1600" t="s">
        <v>2829</v>
      </c>
      <c r="Z7" s="1601">
        <f>G3</f>
        <v>4.8499999999999996</v>
      </c>
      <c r="AA7" s="1602"/>
      <c r="AB7" s="1602"/>
      <c r="AC7" s="1603"/>
      <c r="AD7" s="1604"/>
      <c r="AE7" s="1604"/>
      <c r="AF7" s="1604"/>
      <c r="AG7" s="1604"/>
      <c r="AH7" s="1604"/>
      <c r="AI7" s="1604"/>
      <c r="AJ7" s="1605"/>
    </row>
    <row r="8" spans="1:36" ht="15">
      <c r="A8" s="3356"/>
      <c r="B8" s="197" t="s">
        <v>2830</v>
      </c>
      <c r="C8" s="2738"/>
      <c r="D8" s="913" t="s">
        <v>139</v>
      </c>
      <c r="E8" s="914" t="e">
        <f>ROUND(C11/E7,4)</f>
        <v>#DIV/0!</v>
      </c>
      <c r="F8" s="2739" t="s">
        <v>2831</v>
      </c>
      <c r="G8" s="2740"/>
      <c r="H8" s="2740"/>
      <c r="I8" s="2740"/>
      <c r="J8" s="2741"/>
      <c r="K8" s="1366"/>
      <c r="L8" s="2714" t="s">
        <v>2832</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66" t="s">
        <v>2833</v>
      </c>
      <c r="X8" s="3367"/>
      <c r="Y8" s="1606" t="s">
        <v>2834</v>
      </c>
      <c r="Z8" s="1606" t="s">
        <v>2835</v>
      </c>
      <c r="AA8" s="1606" t="s">
        <v>2836</v>
      </c>
      <c r="AB8" s="1606" t="s">
        <v>2837</v>
      </c>
      <c r="AC8" s="1606" t="s">
        <v>2838</v>
      </c>
      <c r="AD8" s="1606" t="s">
        <v>2839</v>
      </c>
      <c r="AE8" s="1606" t="s">
        <v>2840</v>
      </c>
      <c r="AF8" s="1606" t="s">
        <v>2841</v>
      </c>
      <c r="AG8" s="1606" t="s">
        <v>2842</v>
      </c>
      <c r="AH8" s="1606" t="s">
        <v>2843</v>
      </c>
      <c r="AI8" s="1606" t="s">
        <v>2844</v>
      </c>
      <c r="AJ8" s="1606" t="s">
        <v>2845</v>
      </c>
    </row>
    <row r="9" spans="1:36" ht="15">
      <c r="A9" s="3356"/>
      <c r="B9" s="197" t="s">
        <v>2846</v>
      </c>
      <c r="C9" s="915">
        <f>SUMIF(修正!C59:C119,C8,修正!E59:E119)</f>
        <v>0</v>
      </c>
      <c r="D9" s="199" t="s">
        <v>140</v>
      </c>
      <c r="E9" s="199" t="e">
        <f>ROUND(C11/E7,4)</f>
        <v>#DIV/0!</v>
      </c>
      <c r="F9" s="2739" t="s">
        <v>2847</v>
      </c>
      <c r="G9" s="2740"/>
      <c r="H9" s="2740"/>
      <c r="I9" s="2740"/>
      <c r="J9" s="2741"/>
      <c r="K9" s="1366"/>
      <c r="L9" s="2714" t="s">
        <v>2848</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68" t="s">
        <v>2849</v>
      </c>
      <c r="X9" s="1607" t="s">
        <v>2850</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56"/>
      <c r="B10" s="197" t="s">
        <v>2851</v>
      </c>
      <c r="C10" s="199">
        <f>SUMIF(修正!C59:C119,C8,修正!F59:F119)</f>
        <v>0</v>
      </c>
      <c r="D10" s="199" t="s">
        <v>141</v>
      </c>
      <c r="E10" s="199" t="e">
        <f>ROUND(C11/E7,4)</f>
        <v>#DIV/0!</v>
      </c>
      <c r="F10" s="2739" t="s">
        <v>2852</v>
      </c>
      <c r="G10" s="2740"/>
      <c r="H10" s="2740"/>
      <c r="I10" s="2740"/>
      <c r="J10" s="2741"/>
      <c r="K10" s="1366"/>
      <c r="L10" s="2714" t="s">
        <v>2853</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68"/>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56"/>
      <c r="B11" s="2742" t="s">
        <v>2854</v>
      </c>
      <c r="C11" s="916">
        <f>C10/4</f>
        <v>0</v>
      </c>
      <c r="D11" s="916" t="s">
        <v>142</v>
      </c>
      <c r="E11" s="916" t="e">
        <f>ROUND(C11/E7,4)</f>
        <v>#DIV/0!</v>
      </c>
      <c r="F11" s="2743" t="s">
        <v>2855</v>
      </c>
      <c r="G11" s="2744"/>
      <c r="H11" s="2744"/>
      <c r="I11" s="2744"/>
      <c r="J11" s="2745"/>
      <c r="K11" s="1366"/>
      <c r="L11" s="2714" t="s">
        <v>2856</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68" t="s">
        <v>2857</v>
      </c>
      <c r="X11" s="1610" t="s">
        <v>2858</v>
      </c>
      <c r="Y11" s="1611">
        <f>$G$3</f>
        <v>4.8499999999999996</v>
      </c>
      <c r="Z11" s="1611">
        <f t="shared" ref="Z11:AJ11" si="3">$G$3</f>
        <v>4.8499999999999996</v>
      </c>
      <c r="AA11" s="1611">
        <f t="shared" si="3"/>
        <v>4.8499999999999996</v>
      </c>
      <c r="AB11" s="1611">
        <f t="shared" si="3"/>
        <v>4.8499999999999996</v>
      </c>
      <c r="AC11" s="1611">
        <f t="shared" si="3"/>
        <v>4.8499999999999996</v>
      </c>
      <c r="AD11" s="1611">
        <f t="shared" si="3"/>
        <v>4.8499999999999996</v>
      </c>
      <c r="AE11" s="1611">
        <f t="shared" si="3"/>
        <v>4.8499999999999996</v>
      </c>
      <c r="AF11" s="1611">
        <f t="shared" si="3"/>
        <v>4.8499999999999996</v>
      </c>
      <c r="AG11" s="1611">
        <f t="shared" si="3"/>
        <v>4.8499999999999996</v>
      </c>
      <c r="AH11" s="1611">
        <f t="shared" si="3"/>
        <v>4.8499999999999996</v>
      </c>
      <c r="AI11" s="1611">
        <f t="shared" si="3"/>
        <v>4.8499999999999996</v>
      </c>
      <c r="AJ11" s="1611">
        <f t="shared" si="3"/>
        <v>4.8499999999999996</v>
      </c>
    </row>
    <row r="12" spans="1:36" ht="25.5" thickBot="1">
      <c r="A12" s="3355" t="s">
        <v>2859</v>
      </c>
      <c r="B12" s="2746" t="s">
        <v>2860</v>
      </c>
      <c r="C12" s="912">
        <f>ROUND(C15*D15*E15*F15*G15*H15*I15*J15,4)</f>
        <v>1</v>
      </c>
      <c r="D12" s="2747" t="s">
        <v>2861</v>
      </c>
      <c r="E12" s="2748"/>
      <c r="F12" s="2748"/>
      <c r="G12" s="2749"/>
      <c r="H12" s="2749"/>
      <c r="I12" s="2749"/>
      <c r="J12" s="2750"/>
      <c r="K12" s="1366"/>
      <c r="L12" s="2751" t="s">
        <v>2862</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68"/>
      <c r="X12" s="1612" t="s">
        <v>2863</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73"/>
      <c r="B13" s="2752" t="s">
        <v>2864</v>
      </c>
      <c r="C13" s="2753" t="s">
        <v>2865</v>
      </c>
      <c r="D13" s="1804" t="s">
        <v>2866</v>
      </c>
      <c r="E13" s="1804" t="s">
        <v>2867</v>
      </c>
      <c r="F13" s="30" t="s">
        <v>2868</v>
      </c>
      <c r="G13" s="2754" t="s">
        <v>2869</v>
      </c>
      <c r="H13" s="2754" t="s">
        <v>2869</v>
      </c>
      <c r="I13" s="2754" t="s">
        <v>2869</v>
      </c>
      <c r="J13" s="2755" t="s">
        <v>2869</v>
      </c>
      <c r="K13" s="1366"/>
      <c r="L13" s="1366"/>
      <c r="M13" s="1366"/>
      <c r="N13" s="1366"/>
      <c r="O13" s="1366"/>
      <c r="P13" s="1366"/>
      <c r="Q13" s="1366"/>
      <c r="R13" s="1598">
        <v>12</v>
      </c>
      <c r="S13" s="1599"/>
      <c r="T13" s="1598" t="e">
        <f t="shared" si="0"/>
        <v>#DIV/0!</v>
      </c>
      <c r="U13" s="1599"/>
      <c r="V13" s="1598" t="e">
        <f t="shared" si="1"/>
        <v>#DIV/0!</v>
      </c>
      <c r="W13" s="3368"/>
      <c r="X13" s="1612"/>
      <c r="Y13" s="1609">
        <f>(-0.163*(Y12^2)-0.59*Y12+7617)*(10^(-4))/Y11</f>
        <v>0.15705154639175259</v>
      </c>
      <c r="Z13" s="1609">
        <f t="shared" ref="Z13:AJ13" si="5">(-0.163*(Z12^2)-0.59*Z12+7617)*(10^(-4))/Z11</f>
        <v>0.15705154639175259</v>
      </c>
      <c r="AA13" s="1609">
        <f t="shared" si="5"/>
        <v>0.15705154639175259</v>
      </c>
      <c r="AB13" s="1609">
        <f t="shared" si="5"/>
        <v>0.15705154639175259</v>
      </c>
      <c r="AC13" s="1609">
        <f t="shared" si="5"/>
        <v>0.15705154639175259</v>
      </c>
      <c r="AD13" s="1609">
        <f t="shared" si="5"/>
        <v>0.15705154639175259</v>
      </c>
      <c r="AE13" s="1609">
        <f t="shared" si="5"/>
        <v>0.15705154639175259</v>
      </c>
      <c r="AF13" s="1609">
        <f t="shared" si="5"/>
        <v>0.15705154639175259</v>
      </c>
      <c r="AG13" s="1609">
        <f t="shared" si="5"/>
        <v>0.15705154639175259</v>
      </c>
      <c r="AH13" s="1609">
        <f t="shared" si="5"/>
        <v>0.15705154639175259</v>
      </c>
      <c r="AI13" s="1609">
        <f t="shared" si="5"/>
        <v>0.15705154639175259</v>
      </c>
      <c r="AJ13" s="1609">
        <f t="shared" si="5"/>
        <v>0.15705154639175259</v>
      </c>
    </row>
    <row r="14" spans="1:36" ht="15">
      <c r="A14" s="3373"/>
      <c r="B14" s="2756"/>
      <c r="C14" s="2757"/>
      <c r="D14" s="2758"/>
      <c r="E14" s="2758"/>
      <c r="F14" s="2759"/>
      <c r="G14" s="2760" t="s">
        <v>2870</v>
      </c>
      <c r="H14" s="2761"/>
      <c r="I14" s="2762"/>
      <c r="J14" s="2763"/>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74"/>
      <c r="B15" s="2764" t="s">
        <v>2871</v>
      </c>
      <c r="C15" s="228">
        <f>IF(C14="有",1.1,1)</f>
        <v>1</v>
      </c>
      <c r="D15" s="228">
        <f>IF(D14="有",1.1,1)</f>
        <v>1</v>
      </c>
      <c r="E15" s="228">
        <f>IF(E14="有",1.1,1)</f>
        <v>1</v>
      </c>
      <c r="F15" s="228">
        <f>IF(F14="500米范围内",1.2,IF(F14="500-1000米",1.1,1))</f>
        <v>1</v>
      </c>
      <c r="G15" s="942">
        <v>1</v>
      </c>
      <c r="H15" s="942">
        <v>1</v>
      </c>
      <c r="I15" s="942">
        <v>1</v>
      </c>
      <c r="J15" s="943">
        <v>1</v>
      </c>
      <c r="K15" s="1366"/>
      <c r="L15" s="2765" t="s">
        <v>2807</v>
      </c>
      <c r="M15" s="913" t="s">
        <v>2872</v>
      </c>
      <c r="N15" s="913" t="s">
        <v>2873</v>
      </c>
      <c r="O15" s="913" t="s">
        <v>2874</v>
      </c>
      <c r="P15" s="2766" t="s">
        <v>2875</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55" t="s">
        <v>2876</v>
      </c>
      <c r="B16" s="2733" t="s">
        <v>2877</v>
      </c>
      <c r="C16" s="1797" t="e">
        <f>ROUND(SUM(G17:J17)/C17,0)</f>
        <v>#DIV/0!</v>
      </c>
      <c r="D16" s="2767" t="s">
        <v>2878</v>
      </c>
      <c r="E16" s="2768"/>
      <c r="F16" s="2769"/>
      <c r="G16" s="2770"/>
      <c r="H16" s="2770"/>
      <c r="I16" s="2770"/>
      <c r="J16" s="2771"/>
      <c r="K16" s="1366"/>
      <c r="L16" s="2772" t="s">
        <v>2879</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56"/>
      <c r="B17" s="2773" t="s">
        <v>2880</v>
      </c>
      <c r="C17" s="917">
        <f>SUMPRODUCT((修正!A2:A5=E2)*(修正!B1:M1=G2)*(修正!B2:M5))</f>
        <v>0</v>
      </c>
      <c r="D17" s="2774" t="s">
        <v>2881</v>
      </c>
      <c r="E17" s="916" t="str">
        <f>IF(OR(G2="八级",G2="九级",G2="十级",G2="十一级",G2="十二级"),"五通一平","七通一平")</f>
        <v>七通一平</v>
      </c>
      <c r="F17" s="917" t="s">
        <v>2882</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75" t="s">
        <v>2883</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76"/>
      <c r="AF17" s="2776"/>
      <c r="AG17" s="2708"/>
      <c r="AH17" s="2708"/>
      <c r="AI17" s="2708"/>
      <c r="AJ17" s="2708"/>
    </row>
    <row r="18" spans="1:37" s="2726" customFormat="1" ht="15.75" thickBot="1">
      <c r="A18" s="2777" t="s">
        <v>808</v>
      </c>
      <c r="B18" s="2778" t="s">
        <v>2884</v>
      </c>
      <c r="C18" s="919">
        <f>SUMIF(修正!C18:C39,E3,修正!E18:E39)</f>
        <v>0</v>
      </c>
      <c r="D18" s="2779"/>
      <c r="E18" s="2780"/>
      <c r="F18" s="2781"/>
      <c r="G18" s="2782"/>
      <c r="H18" s="2782"/>
      <c r="I18" s="2782"/>
      <c r="J18" s="2783"/>
      <c r="K18" s="1373"/>
      <c r="O18" s="1371"/>
      <c r="P18" s="1371"/>
      <c r="Q18" s="1372"/>
      <c r="R18" s="1372"/>
      <c r="S18" s="1372"/>
      <c r="T18" s="1367"/>
      <c r="U18" s="1367"/>
      <c r="V18" s="1367"/>
      <c r="W18" s="1366"/>
      <c r="X18" s="1366"/>
      <c r="Y18" s="1366"/>
      <c r="Z18" s="1373"/>
      <c r="AA18" s="1374"/>
      <c r="AB18" s="1374"/>
      <c r="AC18" s="1374"/>
      <c r="AD18" s="1374"/>
      <c r="AE18" s="1368"/>
      <c r="AF18" s="1368"/>
      <c r="AG18" s="2784"/>
      <c r="AH18" s="2784"/>
      <c r="AI18" s="2784"/>
    </row>
    <row r="19" spans="1:37" s="2726" customFormat="1" ht="27.75" thickBot="1">
      <c r="A19" s="2777" t="s">
        <v>809</v>
      </c>
      <c r="B19" s="2778" t="s">
        <v>2885</v>
      </c>
      <c r="C19" s="920" t="e">
        <f>ROUND(IF(H19="按公示增长率计算",SUMPRODUCT((地价!A3:A21=YEAR(G19)&amp;"-"&amp;ROUNDUP(MONTH(G19)/3,0))*(地价!X2:AB2=E2)*(地价!X3:AB21)),IF(H19="地价指数",M20/M19,(1+I19)^O19)),4)</f>
        <v>#DIV/0!</v>
      </c>
      <c r="D19" s="2785" t="s">
        <v>2886</v>
      </c>
      <c r="E19" s="921">
        <v>41640</v>
      </c>
      <c r="F19" s="2785" t="s">
        <v>2887</v>
      </c>
      <c r="G19" s="922">
        <f>'数据-取费表'!B2</f>
        <v>43165</v>
      </c>
      <c r="H19" s="2786" t="s">
        <v>2888</v>
      </c>
      <c r="I19" s="923" t="str">
        <f>IF(H19="季度增幅（自定义）",SUMIF(N21:N24,E2,O21:O24),"")</f>
        <v/>
      </c>
      <c r="J19" s="2783"/>
      <c r="K19" s="1373"/>
      <c r="L19" s="2787" t="s">
        <v>2889</v>
      </c>
      <c r="M19" s="1730">
        <f>ROUND(SUMIF(地价!B2:F2,E2,地价!B21:F21),0)</f>
        <v>0</v>
      </c>
      <c r="N19" s="2788" t="s">
        <v>2890</v>
      </c>
      <c r="O19" s="924">
        <f>ROUNDDOWN(DATEDIF(E19,G19,"M")/3,0)</f>
        <v>16</v>
      </c>
      <c r="P19" s="1370"/>
      <c r="Q19" s="1372"/>
      <c r="R19" s="1372"/>
      <c r="S19" s="1372"/>
      <c r="T19" s="1367"/>
      <c r="U19" s="1367"/>
      <c r="V19" s="1367"/>
      <c r="W19" s="1366"/>
      <c r="X19" s="1366"/>
      <c r="Y19" s="1366"/>
      <c r="Z19" s="1373"/>
      <c r="AA19" s="1374"/>
      <c r="AB19" s="1374"/>
      <c r="AC19" s="1374"/>
      <c r="AD19" s="1374"/>
      <c r="AE19" s="1374"/>
      <c r="AF19" s="2789"/>
      <c r="AG19" s="2790"/>
      <c r="AH19" s="2784"/>
      <c r="AI19" s="2791"/>
      <c r="AJ19" s="2791"/>
      <c r="AK19" s="2791"/>
    </row>
    <row r="20" spans="1:37" s="2726" customFormat="1" ht="27.75" thickBot="1">
      <c r="A20" s="2792" t="s">
        <v>810</v>
      </c>
      <c r="B20" s="2793" t="s">
        <v>2891</v>
      </c>
      <c r="C20" s="925" t="e">
        <f>ROUND(POWER(1+G20,J20-I20)*(POWER(1+G20,I20)-1)/(POWER(1+G20,J20)-1),4)</f>
        <v>#DIV/0!</v>
      </c>
      <c r="D20" s="2794" t="s">
        <v>2892</v>
      </c>
      <c r="E20" s="1764">
        <f ca="1">存贷款利率!D4/100</f>
        <v>4.3499999999999997E-2</v>
      </c>
      <c r="F20" s="2794" t="s">
        <v>2883</v>
      </c>
      <c r="G20" s="930">
        <f>SUMIF(M15:P15,E2,M17:P17)</f>
        <v>0</v>
      </c>
      <c r="H20" s="2794" t="s">
        <v>2893</v>
      </c>
      <c r="I20" s="931" t="e">
        <f>SUMIF('数据-取费表'!C6:C15,E2,'数据-取费表'!F6:F15)/COUNTIF('数据-取费表'!C6:C15,E2)</f>
        <v>#DIV/0!</v>
      </c>
      <c r="J20" s="932">
        <f>IF(E2="住宅",70,IF(E2="商业",40,50))</f>
        <v>50</v>
      </c>
      <c r="K20" s="1373"/>
      <c r="L20" s="2795" t="s">
        <v>2894</v>
      </c>
      <c r="M20" s="1731">
        <f>ROUND(SUMPRODUCT((地价!A4:A21=YEAR(G19)&amp;"-"&amp;ROUNDUP(MONTH(G19)/3,0))*(地价!B2:F2=E2)*(地价!B4:F21)),0)</f>
        <v>0</v>
      </c>
      <c r="N20" s="2796" t="s">
        <v>2895</v>
      </c>
      <c r="O20" s="2797" t="s">
        <v>2896</v>
      </c>
      <c r="P20" s="2798" t="s">
        <v>2897</v>
      </c>
      <c r="R20" s="1372"/>
      <c r="S20" s="1372"/>
      <c r="T20" s="1367"/>
      <c r="U20" s="1367"/>
      <c r="V20" s="1367"/>
      <c r="W20" s="1366"/>
      <c r="X20" s="1366"/>
      <c r="Y20" s="1366"/>
      <c r="Z20" s="1373"/>
      <c r="AA20" s="1374"/>
      <c r="AB20" s="1374"/>
      <c r="AC20" s="1374"/>
      <c r="AD20" s="1374"/>
      <c r="AE20" s="1374"/>
      <c r="AF20" s="1374"/>
    </row>
    <row r="21" spans="1:37" s="2726" customFormat="1" ht="15">
      <c r="A21" s="2799" t="s">
        <v>811</v>
      </c>
      <c r="B21" s="2800" t="s">
        <v>2898</v>
      </c>
      <c r="C21" s="933">
        <f>IF(B21="容积率修正",IF(G3&lt;=10,D22,J22),C23)</f>
        <v>0</v>
      </c>
      <c r="D21" s="2801"/>
      <c r="E21" s="2801"/>
      <c r="F21" s="2801"/>
      <c r="G21" s="2801"/>
      <c r="H21" s="2801"/>
      <c r="I21" s="2801"/>
      <c r="J21" s="2802"/>
      <c r="K21" s="1373"/>
      <c r="N21" s="2803" t="s">
        <v>2899</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26" customFormat="1" ht="14.25">
      <c r="A22" s="2656" t="s">
        <v>2900</v>
      </c>
      <c r="B22" s="2804" t="s">
        <v>2901</v>
      </c>
      <c r="C22" s="1806" t="s">
        <v>2902</v>
      </c>
      <c r="D22" s="1806">
        <f>IF(E22=G22,F22,IF(G3&lt;=10,ROUND(F22+(H22-F22)*(G3-E22)/(G22-E22),4),"——"))</f>
        <v>0</v>
      </c>
      <c r="E22" s="909">
        <f>ROUNDDOWN(G3,1)</f>
        <v>4.8</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4.8999999999999995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3" t="s">
        <v>2903</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6" t="s">
        <v>2904</v>
      </c>
      <c r="B23" s="2805" t="s">
        <v>2905</v>
      </c>
      <c r="C23" s="1009">
        <f>ROUND(IF(G3&gt;1,IF(I3&lt;7,SUMPRODUCT((B93:B98=I3)*(C92:N92=G2)*(C93:N98)),SUMIF(C92:N92,G2,C100:N100)),IF(I3&lt;7,SUMPRODUCT((B102:B107=I3)*(C92:N92=G2)*(C102:N107)),SUMIF(C92:N92,G2,C109:N109))),4)</f>
        <v>0</v>
      </c>
      <c r="D23" s="2761"/>
      <c r="E23" s="2761"/>
      <c r="F23" s="2806"/>
      <c r="G23" s="2807"/>
      <c r="H23" s="2808"/>
      <c r="I23" s="2809"/>
      <c r="J23" s="2810"/>
      <c r="K23" s="1366"/>
      <c r="N23" s="2803" t="s">
        <v>2906</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84"/>
    </row>
    <row r="24" spans="1:37" s="2726" customFormat="1" ht="15.75" thickBot="1">
      <c r="A24" s="2792" t="s">
        <v>812</v>
      </c>
      <c r="B24" s="2778" t="s">
        <v>2907</v>
      </c>
      <c r="C24" s="920">
        <f>SUMIF(A45:A88,E2,B45:B88)</f>
        <v>0</v>
      </c>
      <c r="D24" s="2781"/>
      <c r="E24" s="2811"/>
      <c r="F24" s="2811"/>
      <c r="G24" s="2811"/>
      <c r="H24" s="2811"/>
      <c r="I24" s="2811"/>
      <c r="J24" s="2812"/>
      <c r="K24" s="1373"/>
      <c r="N24" s="2813" t="s">
        <v>2908</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2" t="s">
        <v>813</v>
      </c>
      <c r="B25" s="2814" t="s">
        <v>2909</v>
      </c>
      <c r="C25" s="926"/>
      <c r="D25" s="2736"/>
      <c r="E25" s="2736"/>
      <c r="F25" s="2815"/>
      <c r="G25" s="2736"/>
      <c r="H25" s="2736"/>
      <c r="I25" s="2736"/>
      <c r="J25" s="2737"/>
      <c r="K25" s="1366"/>
      <c r="N25" s="2816" t="s">
        <v>2910</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17"/>
      <c r="B26" s="2804" t="s">
        <v>2911</v>
      </c>
      <c r="C26" s="205" t="e">
        <f>E29+SUM(E33:E39)</f>
        <v>#DIV/0!</v>
      </c>
      <c r="D26" s="2818"/>
      <c r="E26" s="2761"/>
      <c r="F26" s="2819"/>
      <c r="G26" s="2761"/>
      <c r="H26" s="2761"/>
      <c r="I26" s="2761"/>
      <c r="J26" s="2820"/>
      <c r="K26" s="1366"/>
      <c r="R26" s="1372"/>
      <c r="S26" s="1372"/>
      <c r="T26" s="1367"/>
      <c r="U26" s="1367"/>
      <c r="V26" s="1367"/>
      <c r="W26" s="1366"/>
      <c r="X26" s="1366"/>
      <c r="Y26" s="1366"/>
      <c r="Z26" s="1373"/>
      <c r="AA26" s="1374"/>
      <c r="AB26" s="1374"/>
      <c r="AC26" s="1374"/>
      <c r="AD26" s="1374"/>
    </row>
    <row r="27" spans="1:37" ht="15.75" thickBot="1">
      <c r="A27" s="2817"/>
      <c r="B27" s="2821" t="s">
        <v>2912</v>
      </c>
      <c r="C27" s="927" t="e">
        <f>E30+SUM(I33:I39)</f>
        <v>#DIV/0!</v>
      </c>
      <c r="D27" s="2822"/>
      <c r="E27" s="2823"/>
      <c r="F27" s="2824"/>
      <c r="G27" s="2823"/>
      <c r="H27" s="2823"/>
      <c r="I27" s="2823"/>
      <c r="J27" s="2825"/>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26"/>
      <c r="B28" s="2827" t="s">
        <v>2913</v>
      </c>
      <c r="C28" s="2828" t="s">
        <v>2914</v>
      </c>
      <c r="D28" s="2828" t="s">
        <v>2915</v>
      </c>
      <c r="E28" s="2829" t="s">
        <v>2916</v>
      </c>
      <c r="F28" s="2830"/>
      <c r="G28" s="2749"/>
      <c r="H28" s="2749"/>
      <c r="I28" s="2749"/>
      <c r="J28" s="2750"/>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1"/>
      <c r="B29" s="2832" t="s">
        <v>2917</v>
      </c>
      <c r="C29" s="205" t="e">
        <f>ROUND(C5*C18*C19*C20*C21*C24,0)</f>
        <v>#DIV/0!</v>
      </c>
      <c r="D29" s="2833"/>
      <c r="E29" s="938" t="e">
        <f>ROUND(C29*D29/10000,0)</f>
        <v>#DIV/0!</v>
      </c>
      <c r="F29" s="2834" t="s">
        <v>2918</v>
      </c>
      <c r="G29" s="2835"/>
      <c r="H29" s="2835"/>
      <c r="I29" s="2835"/>
      <c r="J29" s="2836"/>
      <c r="K29" s="1366"/>
      <c r="L29" s="1366"/>
      <c r="M29" s="1366"/>
      <c r="N29" s="1366"/>
      <c r="O29" s="1371"/>
      <c r="P29" s="1371"/>
      <c r="Q29" s="1372"/>
      <c r="R29" s="1372"/>
      <c r="S29" s="1372"/>
      <c r="T29" s="1367"/>
      <c r="U29" s="1367"/>
      <c r="V29" s="1367"/>
      <c r="W29" s="1366"/>
      <c r="X29" s="1366"/>
      <c r="Y29" s="1366"/>
      <c r="Z29" s="1373"/>
      <c r="AA29" s="1374"/>
      <c r="AB29" s="1374"/>
      <c r="AC29" s="1374"/>
      <c r="AD29" s="1374"/>
      <c r="AE29" s="2776"/>
      <c r="AF29" s="2776"/>
      <c r="AG29" s="2708"/>
      <c r="AH29" s="2708"/>
      <c r="AI29" s="2708"/>
      <c r="AJ29" s="2708"/>
    </row>
    <row r="30" spans="1:37" ht="25.5" thickBot="1">
      <c r="A30" s="2837"/>
      <c r="B30" s="2838" t="s">
        <v>2919</v>
      </c>
      <c r="C30" s="228" t="e">
        <f>ROUND(IF(E2="工业",C29*M39,C29*M38),0)</f>
        <v>#DIV/0!</v>
      </c>
      <c r="D30" s="2839"/>
      <c r="E30" s="938" t="e">
        <f>ROUND(C30*D30/10000,0)</f>
        <v>#DIV/0!</v>
      </c>
      <c r="F30" s="2840" t="s">
        <v>2920</v>
      </c>
      <c r="G30" s="2841"/>
      <c r="H30" s="2841"/>
      <c r="I30" s="2841"/>
      <c r="J30" s="2842"/>
      <c r="K30" s="1366"/>
      <c r="L30" s="1366"/>
      <c r="M30" s="1366"/>
      <c r="N30" s="1366"/>
      <c r="O30" s="1371"/>
      <c r="P30" s="1371"/>
      <c r="Q30" s="1372"/>
      <c r="R30" s="1372"/>
      <c r="S30" s="1372"/>
      <c r="T30" s="1367"/>
      <c r="U30" s="1367"/>
      <c r="V30" s="1367"/>
      <c r="W30" s="1366"/>
      <c r="X30" s="1366"/>
      <c r="Y30" s="1366"/>
      <c r="Z30" s="1373"/>
      <c r="AA30" s="1374"/>
      <c r="AB30" s="1374"/>
      <c r="AC30" s="1374"/>
      <c r="AD30" s="1374"/>
      <c r="AE30" s="2776"/>
      <c r="AF30" s="2776"/>
      <c r="AG30" s="2708"/>
      <c r="AH30" s="2708"/>
      <c r="AI30" s="2708"/>
      <c r="AJ30" s="2708"/>
    </row>
    <row r="31" spans="1:37" ht="14.25">
      <c r="A31" s="2843"/>
      <c r="B31" s="2844" t="s">
        <v>2921</v>
      </c>
      <c r="C31" s="2845" t="s">
        <v>2922</v>
      </c>
      <c r="D31" s="2749"/>
      <c r="E31" s="2845"/>
      <c r="F31" s="2845"/>
      <c r="G31" s="2747" t="s">
        <v>2923</v>
      </c>
      <c r="H31" s="2749"/>
      <c r="I31" s="2846"/>
      <c r="J31" s="2750"/>
      <c r="K31" s="1366"/>
      <c r="L31" s="1366"/>
      <c r="M31" s="1366"/>
      <c r="N31" s="1366"/>
      <c r="O31" s="1371"/>
      <c r="P31" s="1371"/>
      <c r="Q31" s="1372"/>
      <c r="R31" s="1372"/>
      <c r="S31" s="1372"/>
      <c r="T31" s="1367"/>
      <c r="U31" s="1367"/>
      <c r="V31" s="1367"/>
      <c r="W31" s="1366"/>
      <c r="X31" s="1366"/>
      <c r="Y31" s="1366"/>
      <c r="Z31" s="1373"/>
      <c r="AA31" s="1374"/>
      <c r="AB31" s="1374"/>
      <c r="AC31" s="1374"/>
      <c r="AD31" s="1374"/>
      <c r="AE31" s="2776"/>
      <c r="AF31" s="2776"/>
      <c r="AG31" s="2708"/>
      <c r="AH31" s="2708"/>
      <c r="AI31" s="2708"/>
      <c r="AJ31" s="2708"/>
    </row>
    <row r="32" spans="1:37" ht="24">
      <c r="A32" s="2831"/>
      <c r="B32" s="2847"/>
      <c r="C32" s="500" t="s">
        <v>2914</v>
      </c>
      <c r="D32" s="497" t="s">
        <v>2915</v>
      </c>
      <c r="E32" s="497" t="s">
        <v>2916</v>
      </c>
      <c r="F32" s="387" t="s">
        <v>2924</v>
      </c>
      <c r="G32" s="2848" t="s">
        <v>2914</v>
      </c>
      <c r="H32" s="2848" t="s">
        <v>2915</v>
      </c>
      <c r="I32" s="2848" t="s">
        <v>2916</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76"/>
      <c r="AF32" s="2776"/>
      <c r="AG32" s="2708"/>
      <c r="AH32" s="2708"/>
      <c r="AI32" s="2708"/>
      <c r="AJ32" s="2708"/>
    </row>
    <row r="33" spans="1:37" ht="36" customHeight="1">
      <c r="A33" s="3363" t="s">
        <v>2925</v>
      </c>
      <c r="B33" s="2849" t="s">
        <v>2926</v>
      </c>
      <c r="C33" s="205" t="e">
        <f>ROUND(D5*C19*C20*C24*F33,0)</f>
        <v>#DIV/0!</v>
      </c>
      <c r="D33" s="2833"/>
      <c r="E33" s="199" t="e">
        <f>ROUND(C33*D33/10000,0)</f>
        <v>#DIV/0!</v>
      </c>
      <c r="F33" s="199">
        <f>SUMIF(修正!A45:A56,G2,修正!B45:B56)</f>
        <v>0</v>
      </c>
      <c r="G33" s="199" t="e">
        <f t="shared" ref="G33:G39" si="6">ROUND(IF(E2="工业",C33*$M$39,C33*$M$38),0)</f>
        <v>#DIV/0!</v>
      </c>
      <c r="H33" s="199">
        <f>D33</f>
        <v>0</v>
      </c>
      <c r="I33" s="199" t="e">
        <f>ROUND(G33*H33/10000,0)</f>
        <v>#DIV/0!</v>
      </c>
      <c r="J33" s="285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64"/>
      <c r="B34" s="2753" t="s">
        <v>2927</v>
      </c>
      <c r="C34" s="205" t="e">
        <f>ROUND(D5*C19*C20*C24*F34,0)</f>
        <v>#DIV/0!</v>
      </c>
      <c r="D34" s="2833"/>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64"/>
      <c r="B35" s="2753" t="s">
        <v>2928</v>
      </c>
      <c r="C35" s="205" t="e">
        <f>ROUND(D5*C19*C20*C24*F35,0)</f>
        <v>#DIV/0!</v>
      </c>
      <c r="D35" s="2833"/>
      <c r="E35" s="199" t="e">
        <f t="shared" si="7"/>
        <v>#DIV/0!</v>
      </c>
      <c r="F35" s="199">
        <f>SUMIF(修正!A45:A56,G2,修正!D45:D56)</f>
        <v>0</v>
      </c>
      <c r="G35" s="199" t="e">
        <f t="shared" si="6"/>
        <v>#DIV/0!</v>
      </c>
      <c r="H35" s="199">
        <f t="shared" si="8"/>
        <v>0</v>
      </c>
      <c r="I35" s="199" t="e">
        <f t="shared" si="9"/>
        <v>#DIV/0!</v>
      </c>
      <c r="J35" s="2850"/>
      <c r="K35" s="1366"/>
      <c r="L35" s="1366"/>
      <c r="M35" s="1366"/>
      <c r="N35" s="1366"/>
      <c r="O35" s="1366"/>
      <c r="P35" s="1366"/>
      <c r="Q35" s="1366"/>
      <c r="R35" s="1366"/>
      <c r="S35" s="1366"/>
      <c r="T35" s="1366"/>
      <c r="U35" s="1366"/>
      <c r="V35" s="1366"/>
      <c r="W35" s="1366"/>
      <c r="X35" s="1366"/>
      <c r="Y35" s="1366"/>
      <c r="Z35" s="1367"/>
    </row>
    <row r="36" spans="1:37" ht="13.5" thickBot="1">
      <c r="A36" s="3365"/>
      <c r="B36" s="2753" t="s">
        <v>2929</v>
      </c>
      <c r="C36" s="205" t="e">
        <f>ROUND(D5*C19*C20*C24*F36,0)</f>
        <v>#DIV/0!</v>
      </c>
      <c r="D36" s="2833"/>
      <c r="E36" s="199" t="e">
        <f t="shared" si="7"/>
        <v>#DIV/0!</v>
      </c>
      <c r="F36" s="199">
        <f>SUMIF(修正!A45:A56,G2,修正!E45:E56)</f>
        <v>0</v>
      </c>
      <c r="G36" s="199" t="e">
        <f t="shared" si="6"/>
        <v>#DIV/0!</v>
      </c>
      <c r="H36" s="199">
        <f t="shared" si="8"/>
        <v>0</v>
      </c>
      <c r="I36" s="199" t="e">
        <f t="shared" si="9"/>
        <v>#DIV/0!</v>
      </c>
      <c r="J36" s="2850"/>
      <c r="K36" s="1366"/>
      <c r="L36" s="2707"/>
      <c r="M36" s="2707"/>
      <c r="N36" s="1366"/>
      <c r="O36" s="1366"/>
      <c r="P36" s="1366"/>
      <c r="Q36" s="1366"/>
      <c r="R36" s="1366"/>
      <c r="S36" s="1366"/>
      <c r="T36" s="1366"/>
      <c r="U36" s="1366"/>
      <c r="V36" s="1366"/>
      <c r="W36" s="1366"/>
      <c r="X36" s="1366"/>
      <c r="Y36" s="1366"/>
      <c r="Z36" s="1367"/>
    </row>
    <row r="37" spans="1:37">
      <c r="A37" s="2851"/>
      <c r="B37" s="2753" t="s">
        <v>2930</v>
      </c>
      <c r="C37" s="199" t="e">
        <f>ROUND(C5*C19*C20*C24*F37,0)</f>
        <v>#DIV/0!</v>
      </c>
      <c r="D37" s="2833"/>
      <c r="E37" s="199" t="e">
        <f t="shared" si="7"/>
        <v>#DIV/0!</v>
      </c>
      <c r="F37" s="205">
        <f>SUMIF(修正!A45:A56,G2,修正!F45:F56)</f>
        <v>0</v>
      </c>
      <c r="G37" s="199" t="e">
        <f t="shared" si="6"/>
        <v>#DIV/0!</v>
      </c>
      <c r="H37" s="199">
        <f t="shared" si="8"/>
        <v>0</v>
      </c>
      <c r="I37" s="199" t="e">
        <f t="shared" si="9"/>
        <v>#DIV/0!</v>
      </c>
      <c r="J37" s="2850"/>
      <c r="K37" s="1366"/>
      <c r="L37" s="2852" t="s">
        <v>2931</v>
      </c>
      <c r="M37" s="2853"/>
      <c r="N37" s="1366"/>
      <c r="O37" s="1366"/>
      <c r="P37" s="1366"/>
      <c r="Q37" s="1366"/>
      <c r="R37" s="1366"/>
      <c r="S37" s="1366"/>
      <c r="T37" s="1366"/>
      <c r="U37" s="1366"/>
      <c r="V37" s="1366"/>
      <c r="W37" s="1366"/>
      <c r="X37" s="1366"/>
      <c r="Y37" s="1366"/>
      <c r="Z37" s="1367"/>
    </row>
    <row r="38" spans="1:37">
      <c r="A38" s="2851"/>
      <c r="B38" s="2753" t="s">
        <v>2932</v>
      </c>
      <c r="C38" s="199" t="e">
        <f>ROUND(C5*C19*C20*C24*F38,0)</f>
        <v>#DIV/0!</v>
      </c>
      <c r="D38" s="2833"/>
      <c r="E38" s="199" t="e">
        <f t="shared" si="7"/>
        <v>#DIV/0!</v>
      </c>
      <c r="F38" s="205">
        <f>SUMIF(修正!A45:A56,G2,修正!G45:G56)</f>
        <v>0</v>
      </c>
      <c r="G38" s="199" t="e">
        <f t="shared" si="6"/>
        <v>#DIV/0!</v>
      </c>
      <c r="H38" s="199">
        <f t="shared" si="8"/>
        <v>0</v>
      </c>
      <c r="I38" s="199" t="e">
        <f t="shared" si="9"/>
        <v>#DIV/0!</v>
      </c>
      <c r="J38" s="2850"/>
      <c r="K38" s="1366"/>
      <c r="L38" s="1883" t="s">
        <v>2933</v>
      </c>
      <c r="M38" s="2854">
        <v>0.25</v>
      </c>
      <c r="N38" s="1366"/>
      <c r="O38" s="1366"/>
      <c r="P38" s="1366"/>
      <c r="Q38" s="1366"/>
      <c r="R38" s="1366"/>
      <c r="S38" s="1366"/>
      <c r="T38" s="1366"/>
      <c r="U38" s="1366"/>
      <c r="V38" s="1366"/>
      <c r="W38" s="1366"/>
      <c r="X38" s="1366"/>
      <c r="Y38" s="1366"/>
      <c r="Z38" s="1367"/>
    </row>
    <row r="39" spans="1:37" ht="13.5" thickBot="1">
      <c r="A39" s="2837"/>
      <c r="B39" s="2855" t="s">
        <v>2934</v>
      </c>
      <c r="C39" s="228" t="e">
        <f>ROUND(C5*C19*C20*C24*F39,0)</f>
        <v>#DIV/0!</v>
      </c>
      <c r="D39" s="2839"/>
      <c r="E39" s="228" t="e">
        <f t="shared" si="7"/>
        <v>#DIV/0!</v>
      </c>
      <c r="F39" s="928">
        <f>SUMIF(修正!A45:A56,G2,修正!H45:H56)</f>
        <v>0</v>
      </c>
      <c r="G39" s="228" t="e">
        <f t="shared" si="6"/>
        <v>#DIV/0!</v>
      </c>
      <c r="H39" s="228">
        <f t="shared" si="8"/>
        <v>0</v>
      </c>
      <c r="I39" s="228" t="e">
        <f t="shared" si="9"/>
        <v>#DIV/0!</v>
      </c>
      <c r="J39" s="2856"/>
      <c r="K39" s="1366"/>
      <c r="L39" s="2857" t="s">
        <v>2875</v>
      </c>
      <c r="M39" s="285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59"/>
      <c r="Z41" s="1367"/>
      <c r="AA41" s="1367"/>
      <c r="AB41" s="1367"/>
      <c r="AC41" s="1367"/>
      <c r="AD41" s="1367"/>
      <c r="AE41" s="1367"/>
      <c r="AF41" s="1367"/>
      <c r="AG41" s="1367"/>
      <c r="AH41" s="1367"/>
      <c r="AI41" s="1367"/>
      <c r="AJ41" s="1367"/>
    </row>
    <row r="42" spans="1:37" s="1366" customFormat="1">
      <c r="A42" s="1367"/>
      <c r="B42" s="2859"/>
      <c r="Z42" s="1367"/>
      <c r="AA42" s="1367"/>
      <c r="AB42" s="1367"/>
      <c r="AC42" s="1367"/>
      <c r="AD42" s="1367"/>
      <c r="AE42" s="1367"/>
      <c r="AF42" s="1367"/>
      <c r="AG42" s="1367"/>
      <c r="AH42" s="1367"/>
      <c r="AI42" s="1367"/>
      <c r="AJ42" s="1367"/>
    </row>
    <row r="43" spans="1:37" s="1366" customFormat="1">
      <c r="A43" s="1367"/>
      <c r="B43" s="2859"/>
      <c r="Z43" s="1367"/>
      <c r="AA43" s="1367"/>
      <c r="AB43" s="1367"/>
      <c r="AC43" s="1367"/>
      <c r="AD43" s="1367"/>
      <c r="AE43" s="1367"/>
      <c r="AF43" s="1367"/>
      <c r="AG43" s="1367"/>
      <c r="AH43" s="1367"/>
      <c r="AI43" s="1367"/>
      <c r="AJ43" s="1367"/>
    </row>
    <row r="44" spans="1:37" s="1366" customFormat="1">
      <c r="A44" s="1367"/>
      <c r="B44" s="2859"/>
      <c r="Z44" s="1367"/>
      <c r="AA44" s="1367"/>
      <c r="AB44" s="1367"/>
      <c r="AC44" s="1367"/>
      <c r="AD44" s="1367"/>
      <c r="AE44" s="1367"/>
      <c r="AF44" s="1367"/>
      <c r="AG44" s="1367"/>
      <c r="AH44" s="1367"/>
      <c r="AI44" s="1367"/>
      <c r="AJ44" s="1367"/>
    </row>
    <row r="45" spans="1:37" s="1366" customFormat="1" ht="15.75" thickBot="1">
      <c r="A45" s="2860" t="s">
        <v>2935</v>
      </c>
      <c r="B45" s="2861"/>
      <c r="C45" s="7"/>
      <c r="D45" s="7"/>
      <c r="E45" s="7"/>
      <c r="F45" s="6"/>
      <c r="G45" s="6"/>
      <c r="H45" s="6"/>
      <c r="I45" s="7"/>
      <c r="J45" s="7"/>
      <c r="K45" s="7"/>
      <c r="L45" s="7"/>
      <c r="M45" s="7"/>
      <c r="N45" s="2776"/>
      <c r="Z45" s="1367"/>
      <c r="AA45" s="1367"/>
      <c r="AB45" s="1367"/>
      <c r="AC45" s="1367"/>
      <c r="AD45" s="1367"/>
      <c r="AE45" s="1367"/>
      <c r="AF45" s="1367"/>
      <c r="AG45" s="1367"/>
      <c r="AH45" s="1367"/>
      <c r="AI45" s="1367"/>
      <c r="AJ45" s="1367"/>
    </row>
    <row r="46" spans="1:37" s="1366" customFormat="1" ht="15">
      <c r="A46" s="2862" t="s">
        <v>2936</v>
      </c>
      <c r="B46" s="2863">
        <f>1+E48</f>
        <v>1</v>
      </c>
      <c r="C46" s="2864"/>
      <c r="D46" s="807"/>
      <c r="E46" s="808"/>
      <c r="F46" s="2865"/>
      <c r="G46" s="6"/>
      <c r="H46" s="7"/>
      <c r="I46" s="7"/>
      <c r="J46" s="7"/>
      <c r="K46" s="7"/>
      <c r="L46" s="7"/>
      <c r="M46" s="7"/>
      <c r="N46" s="2776"/>
      <c r="Z46" s="1367"/>
      <c r="AA46" s="1367"/>
      <c r="AB46" s="1367"/>
      <c r="AC46" s="1367"/>
      <c r="AD46" s="1367"/>
      <c r="AE46" s="1367"/>
      <c r="AF46" s="1367"/>
      <c r="AG46" s="1367"/>
      <c r="AH46" s="1367"/>
      <c r="AI46" s="1367"/>
      <c r="AJ46" s="1367"/>
    </row>
    <row r="47" spans="1:37" s="1366" customFormat="1" ht="24.75">
      <c r="A47" s="2866" t="s">
        <v>2937</v>
      </c>
      <c r="B47" s="1805" t="s">
        <v>2938</v>
      </c>
      <c r="C47" s="1805" t="s">
        <v>2939</v>
      </c>
      <c r="D47" s="1805" t="s">
        <v>2940</v>
      </c>
      <c r="E47" s="812" t="s">
        <v>2941</v>
      </c>
      <c r="F47" s="2867" t="s">
        <v>2942</v>
      </c>
      <c r="G47" s="1805" t="s">
        <v>754</v>
      </c>
      <c r="H47" s="2868" t="s">
        <v>2943</v>
      </c>
      <c r="I47" s="1805" t="s">
        <v>2944</v>
      </c>
      <c r="J47" s="602" t="s">
        <v>2590</v>
      </c>
      <c r="K47" s="602" t="s">
        <v>2591</v>
      </c>
      <c r="L47" s="602" t="s">
        <v>2592</v>
      </c>
      <c r="M47" s="602" t="s">
        <v>2593</v>
      </c>
      <c r="N47" s="602" t="s">
        <v>2594</v>
      </c>
      <c r="AA47" s="1367"/>
      <c r="AB47" s="1367"/>
      <c r="AC47" s="1367"/>
      <c r="AD47" s="1367"/>
      <c r="AE47" s="1367"/>
      <c r="AF47" s="1367"/>
      <c r="AG47" s="1367"/>
      <c r="AH47" s="1367"/>
      <c r="AI47" s="1367"/>
      <c r="AJ47" s="1367"/>
      <c r="AK47" s="1367"/>
    </row>
    <row r="48" spans="1:37" s="1366" customFormat="1" ht="24.75">
      <c r="A48" s="2866" t="s">
        <v>2945</v>
      </c>
      <c r="B48" s="2869">
        <f>估价对象房地状况!C4</f>
        <v>0</v>
      </c>
      <c r="C48" s="2758"/>
      <c r="D48" s="1282">
        <f t="shared" ref="D48:D56" si="10">SUMIF($J$47:$N$47,C48,J48:N48)</f>
        <v>0</v>
      </c>
      <c r="E48" s="814">
        <f>ROUND(SUM(D48:D56),4)</f>
        <v>0</v>
      </c>
      <c r="F48" s="2493"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3.75">
      <c r="A49" s="2866" t="s">
        <v>2946</v>
      </c>
      <c r="B49" s="2870" t="str">
        <f>估价对象房地状况!C18</f>
        <v>估价对象周边道路状况、周边有24、106、117路及地铁2号、13号、机场线，综合评价交通便捷度好</v>
      </c>
      <c r="C49" s="2758"/>
      <c r="D49" s="1282">
        <f t="shared" si="10"/>
        <v>0</v>
      </c>
      <c r="E49" s="815"/>
      <c r="F49" s="2493"/>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6" t="s">
        <v>2947</v>
      </c>
      <c r="B50" s="2870">
        <f>估价对象房地状况!C19</f>
        <v>0</v>
      </c>
      <c r="C50" s="2758"/>
      <c r="D50" s="1282">
        <f t="shared" si="10"/>
        <v>0</v>
      </c>
      <c r="E50" s="815"/>
      <c r="F50" s="2493"/>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6" t="s">
        <v>2948</v>
      </c>
      <c r="B51" s="2871" t="s">
        <v>2949</v>
      </c>
      <c r="C51" s="2758"/>
      <c r="D51" s="1282">
        <f t="shared" si="10"/>
        <v>0</v>
      </c>
      <c r="E51" s="815"/>
      <c r="F51" s="2493"/>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6" t="s">
        <v>2950</v>
      </c>
      <c r="B52" s="2870" t="str">
        <f>估价对象房地状况!C24</f>
        <v>快速路——东二环</v>
      </c>
      <c r="C52" s="2758"/>
      <c r="D52" s="1282">
        <f t="shared" si="10"/>
        <v>0</v>
      </c>
      <c r="E52" s="815"/>
      <c r="F52" s="2493"/>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6" t="s">
        <v>2951</v>
      </c>
      <c r="B53" s="2872" t="s">
        <v>2952</v>
      </c>
      <c r="C53" s="2758"/>
      <c r="D53" s="1282">
        <f t="shared" si="10"/>
        <v>0</v>
      </c>
      <c r="E53" s="815"/>
      <c r="F53" s="2493"/>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38.25">
      <c r="A54" s="2873" t="s">
        <v>2953</v>
      </c>
      <c r="B54" s="1721" t="str">
        <f>估价对象房地状况!C21</f>
        <v>周边有银行、购物场所、餐饮等配套设施，公共服务设施状况较好。</v>
      </c>
      <c r="C54" s="2758"/>
      <c r="D54" s="1282">
        <f t="shared" si="10"/>
        <v>0</v>
      </c>
      <c r="E54" s="815"/>
      <c r="F54" s="2493"/>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3" t="s">
        <v>2954</v>
      </c>
      <c r="B55" s="2870" t="str">
        <f>估价对象房地状况!C22</f>
        <v>七通</v>
      </c>
      <c r="C55" s="2758"/>
      <c r="D55" s="1282">
        <f t="shared" si="10"/>
        <v>0</v>
      </c>
      <c r="E55" s="815"/>
      <c r="F55" s="2493"/>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64.5" thickBot="1">
      <c r="A56" s="2874" t="s">
        <v>2955</v>
      </c>
      <c r="B56" s="2875" t="str">
        <f>估价对象房地状况!C20</f>
        <v>区域自然环境：南馆公园、工人体育馆；人文环境：保利艺术博物馆、自来水博物馆；综合评价环境状况较好</v>
      </c>
      <c r="C56" s="2758"/>
      <c r="D56" s="1282">
        <f t="shared" si="10"/>
        <v>0</v>
      </c>
      <c r="E56" s="818"/>
      <c r="F56" s="2493"/>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2" t="s">
        <v>2956</v>
      </c>
      <c r="B57" s="2863">
        <f>1+E59</f>
        <v>1</v>
      </c>
      <c r="C57" s="807"/>
      <c r="D57" s="807"/>
      <c r="E57" s="808"/>
      <c r="F57" s="286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6" t="s">
        <v>2937</v>
      </c>
      <c r="B58" s="1805"/>
      <c r="C58" s="1805" t="s">
        <v>2939</v>
      </c>
      <c r="D58" s="1805" t="s">
        <v>2940</v>
      </c>
      <c r="E58" s="812" t="s">
        <v>2941</v>
      </c>
      <c r="F58" s="2867" t="s">
        <v>2957</v>
      </c>
      <c r="G58" s="1805" t="s">
        <v>754</v>
      </c>
      <c r="H58" s="2868" t="s">
        <v>2943</v>
      </c>
      <c r="I58" s="1805" t="s">
        <v>2944</v>
      </c>
      <c r="J58" s="602" t="s">
        <v>2590</v>
      </c>
      <c r="K58" s="602" t="s">
        <v>2591</v>
      </c>
      <c r="L58" s="602" t="s">
        <v>2592</v>
      </c>
      <c r="M58" s="602" t="s">
        <v>2593</v>
      </c>
      <c r="N58" s="602" t="s">
        <v>2594</v>
      </c>
      <c r="AA58" s="1367"/>
      <c r="AB58" s="1367"/>
      <c r="AC58" s="1367"/>
      <c r="AD58" s="1367"/>
      <c r="AE58" s="1367"/>
      <c r="AF58" s="1367"/>
      <c r="AG58" s="1367"/>
      <c r="AH58" s="1367"/>
      <c r="AI58" s="1367"/>
      <c r="AJ58" s="1367"/>
      <c r="AK58" s="1367"/>
    </row>
    <row r="59" spans="1:37" s="1366" customFormat="1" ht="38.25">
      <c r="A59" s="2866" t="s">
        <v>2958</v>
      </c>
      <c r="B59" s="2869" t="str">
        <f>估价对象房地状况!C17</f>
        <v>周边有东环广场、东方银座等写字楼，办公聚集度较好。</v>
      </c>
      <c r="C59" s="2758"/>
      <c r="D59" s="1282">
        <f t="shared" ref="D59:D67" si="15">SUMIF($J$58:$N$58,C59,J59:N59)</f>
        <v>0</v>
      </c>
      <c r="E59" s="814">
        <f>ROUND(SUM(D59:D67),4)</f>
        <v>0</v>
      </c>
      <c r="F59" s="2493"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3.75">
      <c r="A60" s="2866" t="s">
        <v>2946</v>
      </c>
      <c r="B60" s="2870" t="str">
        <f>估价对象房地状况!C18</f>
        <v>估价对象周边道路状况、周边有24、106、117路及地铁2号、13号、机场线，综合评价交通便捷度好</v>
      </c>
      <c r="C60" s="2758"/>
      <c r="D60" s="1282">
        <f t="shared" si="15"/>
        <v>0</v>
      </c>
      <c r="E60" s="815"/>
      <c r="F60" s="2493"/>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6" t="s">
        <v>2947</v>
      </c>
      <c r="B61" s="2870">
        <f>估价对象房地状况!C19</f>
        <v>0</v>
      </c>
      <c r="C61" s="2758"/>
      <c r="D61" s="1282">
        <f t="shared" si="15"/>
        <v>0</v>
      </c>
      <c r="E61" s="815"/>
      <c r="F61" s="2493"/>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6" t="s">
        <v>2948</v>
      </c>
      <c r="B62" s="2871" t="s">
        <v>2949</v>
      </c>
      <c r="C62" s="2758"/>
      <c r="D62" s="1282">
        <f t="shared" si="15"/>
        <v>0</v>
      </c>
      <c r="E62" s="815"/>
      <c r="F62" s="2493"/>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6" t="s">
        <v>2950</v>
      </c>
      <c r="B63" s="2870" t="str">
        <f>估价对象房地状况!C24</f>
        <v>快速路——东二环</v>
      </c>
      <c r="C63" s="2758"/>
      <c r="D63" s="1282">
        <f t="shared" si="15"/>
        <v>0</v>
      </c>
      <c r="E63" s="815"/>
      <c r="F63" s="2493"/>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6" t="s">
        <v>2951</v>
      </c>
      <c r="B64" s="2872" t="s">
        <v>2952</v>
      </c>
      <c r="C64" s="2758"/>
      <c r="D64" s="1282">
        <f t="shared" si="15"/>
        <v>0</v>
      </c>
      <c r="E64" s="815"/>
      <c r="F64" s="2493"/>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38.25">
      <c r="A65" s="2866" t="s">
        <v>2953</v>
      </c>
      <c r="B65" s="1721" t="str">
        <f>估价对象房地状况!C21</f>
        <v>周边有银行、购物场所、餐饮等配套设施，公共服务设施状况较好。</v>
      </c>
      <c r="C65" s="2758"/>
      <c r="D65" s="1282">
        <f t="shared" si="15"/>
        <v>0</v>
      </c>
      <c r="E65" s="815"/>
      <c r="F65" s="2493"/>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66" t="s">
        <v>2954</v>
      </c>
      <c r="B66" s="1721" t="str">
        <f>估价对象房地状况!C22</f>
        <v>七通</v>
      </c>
      <c r="C66" s="2758"/>
      <c r="D66" s="1282">
        <f t="shared" si="15"/>
        <v>0</v>
      </c>
      <c r="E66" s="815"/>
      <c r="F66" s="2493"/>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64.5" thickBot="1">
      <c r="A67" s="2874" t="s">
        <v>2955</v>
      </c>
      <c r="B67" s="2876" t="str">
        <f>估价对象房地状况!C20</f>
        <v>区域自然环境：南馆公园、工人体育馆；人文环境：保利艺术博物馆、自来水博物馆；综合评价环境状况较好</v>
      </c>
      <c r="C67" s="2758"/>
      <c r="D67" s="1282">
        <f t="shared" si="15"/>
        <v>0</v>
      </c>
      <c r="E67" s="818"/>
      <c r="F67" s="2493"/>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2" t="s">
        <v>2959</v>
      </c>
      <c r="B68" s="2863">
        <f>1+E70</f>
        <v>1</v>
      </c>
      <c r="C68" s="807"/>
      <c r="D68" s="807"/>
      <c r="E68" s="808"/>
      <c r="F68" s="286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6" t="s">
        <v>2937</v>
      </c>
      <c r="B69" s="1805"/>
      <c r="C69" s="1805" t="s">
        <v>2939</v>
      </c>
      <c r="D69" s="1805" t="s">
        <v>2940</v>
      </c>
      <c r="E69" s="812" t="s">
        <v>2941</v>
      </c>
      <c r="F69" s="2867" t="s">
        <v>2957</v>
      </c>
      <c r="G69" s="1805" t="s">
        <v>754</v>
      </c>
      <c r="H69" s="2868" t="s">
        <v>2943</v>
      </c>
      <c r="I69" s="1805" t="s">
        <v>2944</v>
      </c>
      <c r="J69" s="602" t="s">
        <v>2590</v>
      </c>
      <c r="K69" s="602" t="s">
        <v>2591</v>
      </c>
      <c r="L69" s="602" t="s">
        <v>2592</v>
      </c>
      <c r="M69" s="602" t="s">
        <v>2593</v>
      </c>
      <c r="N69" s="602" t="s">
        <v>2594</v>
      </c>
      <c r="AA69" s="1367"/>
      <c r="AB69" s="1367"/>
      <c r="AC69" s="1367"/>
      <c r="AD69" s="1367"/>
      <c r="AE69" s="1367"/>
      <c r="AF69" s="1367"/>
      <c r="AG69" s="1367"/>
      <c r="AH69" s="1367"/>
      <c r="AI69" s="1367"/>
      <c r="AJ69" s="1367"/>
      <c r="AK69" s="1367"/>
    </row>
    <row r="70" spans="1:37" s="1366" customFormat="1" ht="24">
      <c r="A70" s="2866" t="s">
        <v>2960</v>
      </c>
      <c r="B70" s="2869">
        <f>估价对象房地状况!C15</f>
        <v>0</v>
      </c>
      <c r="C70" s="2758"/>
      <c r="D70" s="1282">
        <f t="shared" ref="D70:D78" si="20">SUMIF($J$69:$N$69,C70,J70:N70)</f>
        <v>0</v>
      </c>
      <c r="E70" s="814">
        <f>ROUND(SUM(D70:D78),4)</f>
        <v>0</v>
      </c>
      <c r="F70" s="2493"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3.75">
      <c r="A71" s="2866" t="s">
        <v>2946</v>
      </c>
      <c r="B71" s="2870" t="str">
        <f>估价对象房地状况!C18</f>
        <v>估价对象周边道路状况、周边有24、106、117路及地铁2号、13号、机场线，综合评价交通便捷度好</v>
      </c>
      <c r="C71" s="2758"/>
      <c r="D71" s="1282">
        <f t="shared" si="20"/>
        <v>0</v>
      </c>
      <c r="E71" s="819"/>
      <c r="F71" s="2493"/>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6" t="s">
        <v>2947</v>
      </c>
      <c r="B72" s="2870">
        <f>估价对象房地状况!C19</f>
        <v>0</v>
      </c>
      <c r="C72" s="2758"/>
      <c r="D72" s="1282">
        <f t="shared" si="20"/>
        <v>0</v>
      </c>
      <c r="E72" s="819"/>
      <c r="F72" s="2493"/>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6" t="s">
        <v>2961</v>
      </c>
      <c r="B73" s="2870" t="str">
        <f>估价对象房地状况!C24</f>
        <v>快速路——东二环</v>
      </c>
      <c r="C73" s="2758"/>
      <c r="D73" s="1282">
        <f t="shared" si="20"/>
        <v>0</v>
      </c>
      <c r="E73" s="819"/>
      <c r="F73" s="2493"/>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38.25">
      <c r="A74" s="2866" t="s">
        <v>2953</v>
      </c>
      <c r="B74" s="1721" t="str">
        <f>估价对象房地状况!C21</f>
        <v>周边有银行、购物场所、餐饮等配套设施，公共服务设施状况较好。</v>
      </c>
      <c r="C74" s="2758"/>
      <c r="D74" s="1282">
        <f t="shared" si="20"/>
        <v>0</v>
      </c>
      <c r="E74" s="819"/>
      <c r="F74" s="2493"/>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66" t="s">
        <v>2954</v>
      </c>
      <c r="B75" s="1721" t="str">
        <f>估价对象房地状况!C22</f>
        <v>七通</v>
      </c>
      <c r="C75" s="2758"/>
      <c r="D75" s="1282">
        <f t="shared" si="20"/>
        <v>0</v>
      </c>
      <c r="E75" s="819"/>
      <c r="F75" s="2493"/>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07" customFormat="1" ht="24">
      <c r="A76" s="2866" t="s">
        <v>2951</v>
      </c>
      <c r="B76" s="2872" t="s">
        <v>2952</v>
      </c>
      <c r="C76" s="2758"/>
      <c r="D76" s="1282">
        <f t="shared" si="20"/>
        <v>0</v>
      </c>
      <c r="E76" s="819"/>
      <c r="F76" s="2493"/>
      <c r="G76" s="1280"/>
      <c r="H76" s="1284" t="str">
        <f t="shared" si="21"/>
        <v>——</v>
      </c>
      <c r="I76" s="813">
        <v>0.05</v>
      </c>
      <c r="J76" s="1281">
        <f t="shared" si="22"/>
        <v>0</v>
      </c>
      <c r="K76" s="1281">
        <f t="shared" si="23"/>
        <v>0</v>
      </c>
      <c r="L76" s="1281">
        <v>0</v>
      </c>
      <c r="M76" s="1281">
        <f t="shared" si="24"/>
        <v>0</v>
      </c>
      <c r="N76" s="1281">
        <f t="shared" si="24"/>
        <v>0</v>
      </c>
      <c r="AA76" s="2877"/>
      <c r="AB76" s="1367"/>
      <c r="AC76" s="1367"/>
      <c r="AD76" s="1367"/>
      <c r="AE76" s="1367"/>
      <c r="AF76" s="1367"/>
      <c r="AG76" s="1367"/>
      <c r="AH76" s="2877"/>
      <c r="AI76" s="2877"/>
      <c r="AJ76" s="2877"/>
      <c r="AK76" s="2877"/>
    </row>
    <row r="77" spans="1:37" ht="63.75">
      <c r="A77" s="2866" t="s">
        <v>2955</v>
      </c>
      <c r="B77" s="2869" t="str">
        <f>估价对象房地状况!C20</f>
        <v>区域自然环境：南馆公园、工人体育馆；人文环境：保利艺术博物馆、自来水博物馆；综合评价环境状况较好</v>
      </c>
      <c r="C77" s="2758"/>
      <c r="D77" s="1282">
        <f t="shared" si="20"/>
        <v>0</v>
      </c>
      <c r="E77" s="819"/>
      <c r="F77" s="2493"/>
      <c r="G77" s="1280"/>
      <c r="H77" s="1284" t="str">
        <f t="shared" si="21"/>
        <v>——</v>
      </c>
      <c r="I77" s="813">
        <v>0.15</v>
      </c>
      <c r="J77" s="1281">
        <f t="shared" si="22"/>
        <v>0</v>
      </c>
      <c r="K77" s="1281">
        <f t="shared" si="23"/>
        <v>0</v>
      </c>
      <c r="L77" s="1281">
        <v>0</v>
      </c>
      <c r="M77" s="1281">
        <f t="shared" si="24"/>
        <v>0</v>
      </c>
      <c r="N77" s="1281">
        <f t="shared" si="24"/>
        <v>0</v>
      </c>
      <c r="Z77" s="2708"/>
      <c r="AA77" s="2784"/>
      <c r="AG77" s="1368"/>
      <c r="AK77" s="2784"/>
    </row>
    <row r="78" spans="1:37" ht="24.75" thickBot="1">
      <c r="A78" s="2874" t="s">
        <v>2962</v>
      </c>
      <c r="B78" s="2878"/>
      <c r="C78" s="2758"/>
      <c r="D78" s="1282">
        <f t="shared" si="20"/>
        <v>0</v>
      </c>
      <c r="E78" s="820"/>
      <c r="F78" s="2493"/>
      <c r="G78" s="1280"/>
      <c r="H78" s="1284" t="str">
        <f t="shared" si="21"/>
        <v>——</v>
      </c>
      <c r="I78" s="817">
        <v>0.04</v>
      </c>
      <c r="J78" s="1281">
        <f t="shared" si="22"/>
        <v>0</v>
      </c>
      <c r="K78" s="1281">
        <f t="shared" si="23"/>
        <v>0</v>
      </c>
      <c r="L78" s="1281">
        <v>0</v>
      </c>
      <c r="M78" s="1281">
        <f t="shared" si="24"/>
        <v>0</v>
      </c>
      <c r="N78" s="1281">
        <f t="shared" si="24"/>
        <v>0</v>
      </c>
      <c r="Z78" s="2708"/>
      <c r="AA78" s="2784"/>
      <c r="AG78" s="1368"/>
      <c r="AK78" s="2784"/>
    </row>
    <row r="79" spans="1:37" ht="15">
      <c r="A79" s="2862" t="s">
        <v>2963</v>
      </c>
      <c r="B79" s="2863">
        <f>1+E81</f>
        <v>1</v>
      </c>
      <c r="C79" s="807"/>
      <c r="D79" s="807"/>
      <c r="E79" s="808"/>
      <c r="F79" s="2865"/>
      <c r="G79" s="6"/>
      <c r="H79" s="6"/>
      <c r="I79" s="6"/>
      <c r="J79" s="7"/>
      <c r="K79" s="7"/>
      <c r="L79" s="7"/>
      <c r="M79" s="7"/>
      <c r="N79" s="7"/>
      <c r="Z79" s="2708"/>
      <c r="AA79" s="2784"/>
      <c r="AG79" s="1368"/>
      <c r="AK79" s="2784"/>
    </row>
    <row r="80" spans="1:37" ht="24.75">
      <c r="A80" s="2866" t="s">
        <v>2937</v>
      </c>
      <c r="B80" s="1805"/>
      <c r="C80" s="1805" t="s">
        <v>2939</v>
      </c>
      <c r="D80" s="1805" t="s">
        <v>2940</v>
      </c>
      <c r="E80" s="812" t="s">
        <v>2941</v>
      </c>
      <c r="F80" s="2867" t="s">
        <v>2957</v>
      </c>
      <c r="G80" s="1805" t="s">
        <v>754</v>
      </c>
      <c r="H80" s="2868" t="s">
        <v>2943</v>
      </c>
      <c r="I80" s="1805" t="s">
        <v>2944</v>
      </c>
      <c r="J80" s="602" t="s">
        <v>2590</v>
      </c>
      <c r="K80" s="602" t="s">
        <v>2591</v>
      </c>
      <c r="L80" s="602" t="s">
        <v>2592</v>
      </c>
      <c r="M80" s="602" t="s">
        <v>2593</v>
      </c>
      <c r="N80" s="602" t="s">
        <v>2594</v>
      </c>
      <c r="Z80" s="2708"/>
      <c r="AA80" s="2784"/>
      <c r="AG80" s="1368"/>
      <c r="AK80" s="2784"/>
    </row>
    <row r="81" spans="1:37" ht="24">
      <c r="A81" s="2866" t="s">
        <v>2964</v>
      </c>
      <c r="B81" s="2870">
        <f>估价对象房地状况!G15</f>
        <v>0</v>
      </c>
      <c r="C81" s="2758"/>
      <c r="D81" s="1282">
        <f t="shared" ref="D81:D88" si="25">SUMIF($J$80:$N$80,C81,J81:N81)</f>
        <v>0</v>
      </c>
      <c r="E81" s="814">
        <f>ROUND(SUM(D81:D88),4)</f>
        <v>0</v>
      </c>
      <c r="F81" s="2493"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08"/>
      <c r="AA81" s="2784"/>
      <c r="AG81" s="1368"/>
      <c r="AK81" s="2784"/>
    </row>
    <row r="82" spans="1:37" ht="14.25">
      <c r="A82" s="2866" t="s">
        <v>2946</v>
      </c>
      <c r="B82" s="2870">
        <f>估价对象房地状况!G16</f>
        <v>0</v>
      </c>
      <c r="C82" s="2758"/>
      <c r="D82" s="1282">
        <f t="shared" si="25"/>
        <v>0</v>
      </c>
      <c r="E82" s="819"/>
      <c r="F82" s="2493"/>
      <c r="G82" s="1280"/>
      <c r="H82" s="1284" t="str">
        <f t="shared" si="26"/>
        <v>——</v>
      </c>
      <c r="I82" s="813">
        <v>0.33</v>
      </c>
      <c r="J82" s="1281">
        <f t="shared" si="27"/>
        <v>0</v>
      </c>
      <c r="K82" s="1281">
        <f t="shared" si="28"/>
        <v>0</v>
      </c>
      <c r="L82" s="1281">
        <v>0</v>
      </c>
      <c r="M82" s="1281">
        <f t="shared" si="29"/>
        <v>0</v>
      </c>
      <c r="N82" s="1281">
        <f t="shared" si="29"/>
        <v>0</v>
      </c>
      <c r="Z82" s="2708"/>
      <c r="AA82" s="2784"/>
      <c r="AG82" s="1368"/>
      <c r="AK82" s="2784"/>
    </row>
    <row r="83" spans="1:37" ht="24">
      <c r="A83" s="2866" t="s">
        <v>2947</v>
      </c>
      <c r="B83" s="2870">
        <f>估价对象房地状况!G17</f>
        <v>0</v>
      </c>
      <c r="C83" s="2758"/>
      <c r="D83" s="1282">
        <f t="shared" si="25"/>
        <v>0</v>
      </c>
      <c r="E83" s="819"/>
      <c r="F83" s="2493"/>
      <c r="G83" s="1280"/>
      <c r="H83" s="1284" t="str">
        <f t="shared" si="26"/>
        <v>——</v>
      </c>
      <c r="I83" s="813">
        <v>0.05</v>
      </c>
      <c r="J83" s="1281">
        <f t="shared" si="27"/>
        <v>0</v>
      </c>
      <c r="K83" s="1281">
        <f t="shared" si="28"/>
        <v>0</v>
      </c>
      <c r="L83" s="1281">
        <v>0</v>
      </c>
      <c r="M83" s="1281">
        <f t="shared" si="29"/>
        <v>0</v>
      </c>
      <c r="N83" s="1281">
        <f t="shared" si="29"/>
        <v>0</v>
      </c>
      <c r="Z83" s="2708"/>
      <c r="AA83" s="2784"/>
      <c r="AG83" s="1368"/>
      <c r="AK83" s="2784"/>
    </row>
    <row r="84" spans="1:37" ht="14.25">
      <c r="A84" s="2866" t="s">
        <v>2961</v>
      </c>
      <c r="B84" s="2870">
        <f>估价对象房地状况!G22</f>
        <v>0</v>
      </c>
      <c r="C84" s="2758"/>
      <c r="D84" s="1282">
        <f t="shared" si="25"/>
        <v>0</v>
      </c>
      <c r="E84" s="819"/>
      <c r="F84" s="2493"/>
      <c r="G84" s="1280"/>
      <c r="H84" s="1284" t="str">
        <f t="shared" si="26"/>
        <v>——</v>
      </c>
      <c r="I84" s="813">
        <v>0.04</v>
      </c>
      <c r="J84" s="1281">
        <f t="shared" si="27"/>
        <v>0</v>
      </c>
      <c r="K84" s="1281">
        <f t="shared" si="28"/>
        <v>0</v>
      </c>
      <c r="L84" s="1281">
        <v>0</v>
      </c>
      <c r="M84" s="1281">
        <f t="shared" si="29"/>
        <v>0</v>
      </c>
      <c r="N84" s="1281">
        <f t="shared" si="29"/>
        <v>0</v>
      </c>
      <c r="Z84" s="2708"/>
      <c r="AA84" s="2784"/>
      <c r="AG84" s="1368"/>
      <c r="AK84" s="2784"/>
    </row>
    <row r="85" spans="1:37" ht="24">
      <c r="A85" s="2866" t="s">
        <v>2953</v>
      </c>
      <c r="B85" s="1721">
        <f>估价对象房地状况!G19</f>
        <v>0</v>
      </c>
      <c r="C85" s="2758"/>
      <c r="D85" s="1282">
        <f t="shared" si="25"/>
        <v>0</v>
      </c>
      <c r="E85" s="819"/>
      <c r="F85" s="2493"/>
      <c r="G85" s="1280"/>
      <c r="H85" s="1284" t="str">
        <f t="shared" si="26"/>
        <v>——</v>
      </c>
      <c r="I85" s="813">
        <v>0.06</v>
      </c>
      <c r="J85" s="1281">
        <f t="shared" si="27"/>
        <v>0</v>
      </c>
      <c r="K85" s="1281">
        <f t="shared" si="28"/>
        <v>0</v>
      </c>
      <c r="L85" s="1281">
        <v>0</v>
      </c>
      <c r="M85" s="1281">
        <f t="shared" si="29"/>
        <v>0</v>
      </c>
      <c r="N85" s="1281">
        <f t="shared" si="29"/>
        <v>0</v>
      </c>
      <c r="Z85" s="2708"/>
      <c r="AA85" s="2784"/>
      <c r="AG85" s="1368"/>
      <c r="AK85" s="2784"/>
    </row>
    <row r="86" spans="1:37" ht="24">
      <c r="A86" s="2866" t="s">
        <v>2954</v>
      </c>
      <c r="B86" s="1721">
        <f>估价对象房地状况!G20</f>
        <v>0</v>
      </c>
      <c r="C86" s="2758"/>
      <c r="D86" s="1282">
        <f t="shared" si="25"/>
        <v>0</v>
      </c>
      <c r="E86" s="819"/>
      <c r="F86" s="2493"/>
      <c r="G86" s="1280"/>
      <c r="H86" s="1284" t="str">
        <f t="shared" si="26"/>
        <v>——</v>
      </c>
      <c r="I86" s="813">
        <v>0.15</v>
      </c>
      <c r="J86" s="1281">
        <f t="shared" si="27"/>
        <v>0</v>
      </c>
      <c r="K86" s="1281">
        <f t="shared" si="28"/>
        <v>0</v>
      </c>
      <c r="L86" s="1281">
        <v>0</v>
      </c>
      <c r="M86" s="1281">
        <f t="shared" si="29"/>
        <v>0</v>
      </c>
      <c r="N86" s="1281">
        <f t="shared" si="29"/>
        <v>0</v>
      </c>
      <c r="Z86" s="2708"/>
      <c r="AA86" s="2784"/>
      <c r="AG86" s="1368"/>
      <c r="AK86" s="2784"/>
    </row>
    <row r="87" spans="1:37" ht="24">
      <c r="A87" s="2866" t="s">
        <v>2951</v>
      </c>
      <c r="B87" s="2872" t="s">
        <v>2965</v>
      </c>
      <c r="C87" s="2758"/>
      <c r="D87" s="1282">
        <f t="shared" si="25"/>
        <v>0</v>
      </c>
      <c r="E87" s="819"/>
      <c r="F87" s="2493"/>
      <c r="G87" s="1280"/>
      <c r="H87" s="1284" t="str">
        <f t="shared" si="26"/>
        <v>——</v>
      </c>
      <c r="I87" s="813">
        <v>0.05</v>
      </c>
      <c r="J87" s="1281">
        <f t="shared" si="27"/>
        <v>0</v>
      </c>
      <c r="K87" s="1281">
        <f t="shared" si="28"/>
        <v>0</v>
      </c>
      <c r="L87" s="1281">
        <v>0</v>
      </c>
      <c r="M87" s="1281">
        <f t="shared" si="29"/>
        <v>0</v>
      </c>
      <c r="N87" s="1281">
        <f t="shared" si="29"/>
        <v>0</v>
      </c>
      <c r="Z87" s="2708"/>
      <c r="AA87" s="2784"/>
      <c r="AG87" s="1368"/>
      <c r="AK87" s="2784"/>
    </row>
    <row r="88" spans="1:37" ht="15" thickBot="1">
      <c r="A88" s="2874" t="s">
        <v>2966</v>
      </c>
      <c r="B88" s="2879">
        <f>估价对象房地状况!G18</f>
        <v>0</v>
      </c>
      <c r="C88" s="2758"/>
      <c r="D88" s="1282">
        <f t="shared" si="25"/>
        <v>0</v>
      </c>
      <c r="E88" s="820"/>
      <c r="F88" s="2493"/>
      <c r="G88" s="1280"/>
      <c r="H88" s="1284" t="str">
        <f t="shared" si="26"/>
        <v>——</v>
      </c>
      <c r="I88" s="817">
        <v>0.06</v>
      </c>
      <c r="J88" s="1281">
        <f t="shared" si="27"/>
        <v>0</v>
      </c>
      <c r="K88" s="1281">
        <f t="shared" si="28"/>
        <v>0</v>
      </c>
      <c r="L88" s="1281">
        <v>0</v>
      </c>
      <c r="M88" s="1281">
        <f t="shared" si="29"/>
        <v>0</v>
      </c>
      <c r="N88" s="1281">
        <f t="shared" si="29"/>
        <v>0</v>
      </c>
      <c r="Z88" s="2708"/>
      <c r="AA88" s="2784"/>
      <c r="AG88" s="1368"/>
      <c r="AK88" s="2784"/>
    </row>
    <row r="90" spans="1:37">
      <c r="A90" s="3357" t="s">
        <v>2967</v>
      </c>
      <c r="B90" s="3357"/>
      <c r="C90" s="3357"/>
      <c r="D90" s="3357"/>
      <c r="E90" s="3357"/>
      <c r="F90" s="3357"/>
      <c r="G90" s="3357"/>
      <c r="H90" s="3357"/>
      <c r="I90" s="3357"/>
      <c r="J90" s="3357"/>
      <c r="K90" s="2880"/>
      <c r="L90" s="2880"/>
      <c r="M90" s="2880"/>
      <c r="N90" s="2880"/>
    </row>
    <row r="91" spans="1:37">
      <c r="A91" s="3359" t="s">
        <v>2968</v>
      </c>
      <c r="B91" s="3359" t="s">
        <v>2969</v>
      </c>
      <c r="C91" s="2834" t="s">
        <v>2970</v>
      </c>
      <c r="D91" s="2835"/>
      <c r="E91" s="2835"/>
      <c r="F91" s="2835"/>
      <c r="G91" s="2835"/>
      <c r="H91" s="2835"/>
      <c r="I91" s="2835"/>
      <c r="J91" s="2881"/>
      <c r="K91" s="2882"/>
      <c r="L91" s="2882"/>
      <c r="M91" s="2882"/>
      <c r="N91" s="2882"/>
    </row>
    <row r="92" spans="1:37">
      <c r="A92" s="3359"/>
      <c r="B92" s="3359"/>
      <c r="C92" s="938" t="s">
        <v>2834</v>
      </c>
      <c r="D92" s="938" t="s">
        <v>2835</v>
      </c>
      <c r="E92" s="938" t="s">
        <v>2836</v>
      </c>
      <c r="F92" s="938" t="s">
        <v>2837</v>
      </c>
      <c r="G92" s="938" t="s">
        <v>2838</v>
      </c>
      <c r="H92" s="938" t="s">
        <v>2839</v>
      </c>
      <c r="I92" s="938" t="s">
        <v>2840</v>
      </c>
      <c r="J92" s="938" t="s">
        <v>2841</v>
      </c>
      <c r="K92" s="938" t="s">
        <v>2842</v>
      </c>
      <c r="L92" s="938" t="s">
        <v>2843</v>
      </c>
      <c r="M92" s="938" t="s">
        <v>2844</v>
      </c>
      <c r="N92" s="938" t="s">
        <v>2845</v>
      </c>
    </row>
    <row r="93" spans="1:37">
      <c r="A93" s="3360" t="s">
        <v>2971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6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6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6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6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6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61"/>
      <c r="B99" s="2883" t="s">
        <v>2850</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62"/>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60" t="s">
        <v>2972</v>
      </c>
      <c r="B101" s="2887" t="s">
        <v>2973</v>
      </c>
      <c r="C101" s="2888">
        <f>$G$3</f>
        <v>4.8499999999999996</v>
      </c>
      <c r="D101" s="2888">
        <f t="shared" ref="D101:N101" si="31">$G$3</f>
        <v>4.8499999999999996</v>
      </c>
      <c r="E101" s="2888">
        <f t="shared" si="31"/>
        <v>4.8499999999999996</v>
      </c>
      <c r="F101" s="2888">
        <f t="shared" si="31"/>
        <v>4.8499999999999996</v>
      </c>
      <c r="G101" s="2888">
        <f t="shared" si="31"/>
        <v>4.8499999999999996</v>
      </c>
      <c r="H101" s="2888">
        <f t="shared" si="31"/>
        <v>4.8499999999999996</v>
      </c>
      <c r="I101" s="2888">
        <f t="shared" si="31"/>
        <v>4.8499999999999996</v>
      </c>
      <c r="J101" s="2888">
        <f t="shared" si="31"/>
        <v>4.8499999999999996</v>
      </c>
      <c r="K101" s="2888">
        <f t="shared" si="31"/>
        <v>4.8499999999999996</v>
      </c>
      <c r="L101" s="2888">
        <f t="shared" si="31"/>
        <v>4.8499999999999996</v>
      </c>
      <c r="M101" s="2888">
        <f t="shared" si="31"/>
        <v>4.8499999999999996</v>
      </c>
      <c r="N101" s="2888">
        <f t="shared" si="31"/>
        <v>4.8499999999999996</v>
      </c>
    </row>
    <row r="102" spans="1:14">
      <c r="A102" s="3361"/>
      <c r="B102" s="2883">
        <v>1</v>
      </c>
      <c r="C102" s="2884">
        <f>1.9362/C101</f>
        <v>0.39921649484536081</v>
      </c>
      <c r="D102" s="2884">
        <f>1.9362/D101</f>
        <v>0.39921649484536081</v>
      </c>
      <c r="E102" s="2884">
        <f>1.8629/E101</f>
        <v>0.38410309278350518</v>
      </c>
      <c r="F102" s="2884">
        <f>1.8629/F101</f>
        <v>0.38410309278350518</v>
      </c>
      <c r="G102" s="2884">
        <f>1.8629/G101</f>
        <v>0.38410309278350518</v>
      </c>
      <c r="H102" s="2884">
        <f>1.8629/H101</f>
        <v>0.38410309278350518</v>
      </c>
      <c r="I102" s="2884">
        <f>1.8629/I101</f>
        <v>0.38410309278350518</v>
      </c>
      <c r="J102" s="2884">
        <f>1.942/J101</f>
        <v>0.40041237113402062</v>
      </c>
      <c r="K102" s="2884">
        <f>1.942/K101</f>
        <v>0.40041237113402062</v>
      </c>
      <c r="L102" s="2884">
        <f>1.942/L101</f>
        <v>0.40041237113402062</v>
      </c>
      <c r="M102" s="2884">
        <f>1.942/M101</f>
        <v>0.40041237113402062</v>
      </c>
      <c r="N102" s="2884">
        <f>1.942/N101</f>
        <v>0.40041237113402062</v>
      </c>
    </row>
    <row r="103" spans="1:14">
      <c r="A103" s="3361"/>
      <c r="B103" s="2883">
        <v>2</v>
      </c>
      <c r="C103" s="2884">
        <f>1.4198/C101</f>
        <v>0.2927422680412371</v>
      </c>
      <c r="D103" s="2884">
        <f>1.4198/D101</f>
        <v>0.2927422680412371</v>
      </c>
      <c r="E103" s="2884">
        <f>1.3372/E101</f>
        <v>0.2757113402061856</v>
      </c>
      <c r="F103" s="2884">
        <f>1.3372/F101</f>
        <v>0.2757113402061856</v>
      </c>
      <c r="G103" s="2884">
        <f>1.3372/G101</f>
        <v>0.2757113402061856</v>
      </c>
      <c r="H103" s="2884">
        <f>1.3372/H101</f>
        <v>0.2757113402061856</v>
      </c>
      <c r="I103" s="2884">
        <f>1.3372/I101</f>
        <v>0.2757113402061856</v>
      </c>
      <c r="J103" s="2884">
        <f>1.2799/J101</f>
        <v>0.26389690721649489</v>
      </c>
      <c r="K103" s="2884">
        <f>1.2799/K101</f>
        <v>0.26389690721649489</v>
      </c>
      <c r="L103" s="2884">
        <f>1.2799/L101</f>
        <v>0.26389690721649489</v>
      </c>
      <c r="M103" s="2884">
        <f>1.2799/M101</f>
        <v>0.26389690721649489</v>
      </c>
      <c r="N103" s="2884">
        <f>1.2799/N101</f>
        <v>0.26389690721649489</v>
      </c>
    </row>
    <row r="104" spans="1:14">
      <c r="A104" s="3361"/>
      <c r="B104" s="2883">
        <v>3</v>
      </c>
      <c r="C104" s="2884">
        <f>1.1594/C101</f>
        <v>0.23905154639175258</v>
      </c>
      <c r="D104" s="2884">
        <f>1.1594/D101</f>
        <v>0.23905154639175258</v>
      </c>
      <c r="E104" s="2884">
        <f>1.0788/E101</f>
        <v>0.22243298969072167</v>
      </c>
      <c r="F104" s="2884">
        <f>1.0788/F101</f>
        <v>0.22243298969072167</v>
      </c>
      <c r="G104" s="2884">
        <f>1.0788/G101</f>
        <v>0.22243298969072167</v>
      </c>
      <c r="H104" s="2884">
        <f>1.0788/H101</f>
        <v>0.22243298969072167</v>
      </c>
      <c r="I104" s="2884">
        <f>1.0788/I101</f>
        <v>0.22243298969072167</v>
      </c>
      <c r="J104" s="2884">
        <f>1.0072/J101</f>
        <v>0.20767010309278355</v>
      </c>
      <c r="K104" s="2884">
        <f>1.0072/K101</f>
        <v>0.20767010309278355</v>
      </c>
      <c r="L104" s="2884">
        <f>1.0072/L101</f>
        <v>0.20767010309278355</v>
      </c>
      <c r="M104" s="2884">
        <f>1.0072/M101</f>
        <v>0.20767010309278355</v>
      </c>
      <c r="N104" s="2884">
        <f>1.0072/N101</f>
        <v>0.20767010309278355</v>
      </c>
    </row>
    <row r="105" spans="1:14">
      <c r="A105" s="3361"/>
      <c r="B105" s="2883">
        <v>4</v>
      </c>
      <c r="C105" s="2884">
        <f>0.9622/C101</f>
        <v>0.19839175257731961</v>
      </c>
      <c r="D105" s="2884">
        <f>0.9622/D101</f>
        <v>0.19839175257731961</v>
      </c>
      <c r="E105" s="2884">
        <f>0.8656/E101</f>
        <v>0.17847422680412373</v>
      </c>
      <c r="F105" s="2884">
        <f>0.8656/F101</f>
        <v>0.17847422680412373</v>
      </c>
      <c r="G105" s="2884">
        <f>0.8656/G101</f>
        <v>0.17847422680412373</v>
      </c>
      <c r="H105" s="2884">
        <f>0.8656/H101</f>
        <v>0.17847422680412373</v>
      </c>
      <c r="I105" s="2884">
        <f>0.8656/I101</f>
        <v>0.17847422680412373</v>
      </c>
      <c r="J105" s="2884">
        <f>0.7525/J101</f>
        <v>0.15515463917525774</v>
      </c>
      <c r="K105" s="2884">
        <f>0.7525/K101</f>
        <v>0.15515463917525774</v>
      </c>
      <c r="L105" s="2884">
        <f>0.7525/L101</f>
        <v>0.15515463917525774</v>
      </c>
      <c r="M105" s="2884">
        <f>0.7525/M101</f>
        <v>0.15515463917525774</v>
      </c>
      <c r="N105" s="2884">
        <f>0.7525/N101</f>
        <v>0.15515463917525774</v>
      </c>
    </row>
    <row r="106" spans="1:14">
      <c r="A106" s="3361"/>
      <c r="B106" s="2883">
        <v>5</v>
      </c>
      <c r="C106" s="2884">
        <f>0.8417/C101</f>
        <v>0.17354639175257733</v>
      </c>
      <c r="D106" s="2884">
        <f>0.8417/D101</f>
        <v>0.17354639175257733</v>
      </c>
      <c r="E106" s="2884">
        <f>0.7371/E101</f>
        <v>0.15197938144329898</v>
      </c>
      <c r="F106" s="2884">
        <f>0.7371/F101</f>
        <v>0.15197938144329898</v>
      </c>
      <c r="G106" s="2884">
        <f>0.7371/G101</f>
        <v>0.15197938144329898</v>
      </c>
      <c r="H106" s="2884">
        <f>0.7371/H101</f>
        <v>0.15197938144329898</v>
      </c>
      <c r="I106" s="2884">
        <f>0.7371/I101</f>
        <v>0.15197938144329898</v>
      </c>
      <c r="J106" s="2884">
        <f>0.5659/J101</f>
        <v>0.11668041237113402</v>
      </c>
      <c r="K106" s="2884">
        <f>0.5659/K101</f>
        <v>0.11668041237113402</v>
      </c>
      <c r="L106" s="2884">
        <f>0.5659/L101</f>
        <v>0.11668041237113402</v>
      </c>
      <c r="M106" s="2884">
        <f>0.5659/M101</f>
        <v>0.11668041237113402</v>
      </c>
      <c r="N106" s="2884">
        <f>0.5659/N101</f>
        <v>0.11668041237113402</v>
      </c>
    </row>
    <row r="107" spans="1:14">
      <c r="A107" s="3361"/>
      <c r="B107" s="2883">
        <v>6</v>
      </c>
      <c r="C107" s="2884">
        <f>0.7608/C101</f>
        <v>0.15686597938144331</v>
      </c>
      <c r="D107" s="2884">
        <f>0.7608/D101</f>
        <v>0.15686597938144331</v>
      </c>
      <c r="E107" s="2884">
        <f>0.6482/E101</f>
        <v>0.1336494845360825</v>
      </c>
      <c r="F107" s="2884">
        <f>0.6482/F101</f>
        <v>0.1336494845360825</v>
      </c>
      <c r="G107" s="2884">
        <f>0.6482/G101</f>
        <v>0.1336494845360825</v>
      </c>
      <c r="H107" s="2884">
        <f>0.6482/H101</f>
        <v>0.1336494845360825</v>
      </c>
      <c r="I107" s="2884">
        <f>0.6482/I101</f>
        <v>0.1336494845360825</v>
      </c>
      <c r="J107" s="2884">
        <f>0.4525/J101</f>
        <v>9.3298969072164964E-2</v>
      </c>
      <c r="K107" s="2884">
        <f>0.4525/K101</f>
        <v>9.3298969072164964E-2</v>
      </c>
      <c r="L107" s="2884">
        <f>0.4525/L101</f>
        <v>9.3298969072164964E-2</v>
      </c>
      <c r="M107" s="2884">
        <f>0.4525/M101</f>
        <v>9.3298969072164964E-2</v>
      </c>
      <c r="N107" s="2884">
        <f>0.4525/N101</f>
        <v>9.3298969072164964E-2</v>
      </c>
    </row>
    <row r="108" spans="1:14">
      <c r="A108" s="3361"/>
      <c r="B108" s="3175" t="s">
        <v>2974</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62"/>
      <c r="B109" s="3176"/>
      <c r="C109" s="2886">
        <f>(-0.163*(C108^2)-0.59*C108+7617)*(10^(-4))/C101</f>
        <v>0.15705154639175259</v>
      </c>
      <c r="D109" s="2886">
        <f>(-0.163*(D108^2)-0.59*D108+7617)*(10^(-4))/D101</f>
        <v>0.15705154639175259</v>
      </c>
      <c r="E109" s="2886">
        <f>(-0.161*(E108^2)-7.509*E108+6533)*(10^(-4))/E101</f>
        <v>0.13470103092783506</v>
      </c>
      <c r="F109" s="2886">
        <f>(-0.161*(F108^2)-7.509*F108+6533)*(10^(-4))/F101</f>
        <v>0.13470103092783506</v>
      </c>
      <c r="G109" s="2886">
        <f>(-0.161*(G108^2)-7.509*G108+6533)*(10^(-4))/G101</f>
        <v>0.13470103092783506</v>
      </c>
      <c r="H109" s="2886">
        <f>(-0.161*(H108^2)-7.509*H108+6533)*(10^(-4))/H101</f>
        <v>0.13470103092783506</v>
      </c>
      <c r="I109" s="2886">
        <f>(-0.161*(I108^2)-7.509*I108+6533)*(10^(-4))/I101</f>
        <v>0.13470103092783506</v>
      </c>
      <c r="J109" s="2886">
        <f>(-0.214*(J108^2)-21.991*J108+4665)*(10^(-4))/J101</f>
        <v>9.6185567010309295E-2</v>
      </c>
      <c r="K109" s="2886">
        <f>(-0.214*(K108^2)-21.991*K108+4665)*(10^(-4))/K101</f>
        <v>9.6185567010309295E-2</v>
      </c>
      <c r="L109" s="2886">
        <f>(-0.214*(L108^2)-21.991*L108+4665)*(10^(-4))/L101</f>
        <v>9.6185567010309295E-2</v>
      </c>
      <c r="M109" s="2886">
        <f>(-0.214*(M108^2)-21.991*M108+4665)*(10^(-4))/M101</f>
        <v>9.6185567010309295E-2</v>
      </c>
      <c r="N109" s="2886">
        <f>(-0.214*(N108^2)-21.991*N108+4665)*(10^(-4))/N101</f>
        <v>9.6185567010309295E-2</v>
      </c>
    </row>
    <row r="110" spans="1:14">
      <c r="A110" s="3358" t="s">
        <v>2975</v>
      </c>
      <c r="B110" s="3358"/>
      <c r="C110" s="3358"/>
      <c r="D110" s="3358"/>
      <c r="E110" s="3358"/>
      <c r="F110" s="3358"/>
      <c r="G110" s="3358"/>
      <c r="H110" s="3358"/>
      <c r="I110" s="3358"/>
      <c r="J110" s="3358"/>
      <c r="K110" s="2889"/>
      <c r="L110" s="2889"/>
      <c r="M110" s="2889"/>
      <c r="N110" s="2889"/>
    </row>
    <row r="112" spans="1:14" ht="13.5" thickBot="1"/>
    <row r="113" spans="1:13" ht="25.5" thickBot="1">
      <c r="A113" s="896" t="s">
        <v>2976</v>
      </c>
      <c r="B113" s="1283">
        <f>G3</f>
        <v>4.8499999999999996</v>
      </c>
      <c r="C113" s="897" t="s">
        <v>2977</v>
      </c>
      <c r="D113" s="898">
        <f>SUMPRODUCT((A115:A118=F113)*(B114:M114=H113)*B115:M118)</f>
        <v>0</v>
      </c>
      <c r="E113" s="2712" t="s">
        <v>2807</v>
      </c>
      <c r="F113" s="2891">
        <f>E2</f>
        <v>0</v>
      </c>
      <c r="G113" s="2712" t="s">
        <v>2808</v>
      </c>
      <c r="H113" s="2891">
        <f>G2</f>
        <v>0</v>
      </c>
      <c r="I113" s="2712"/>
      <c r="J113" s="2892"/>
      <c r="K113" s="2892"/>
      <c r="L113" s="2892"/>
      <c r="M113" s="2892"/>
    </row>
    <row r="114" spans="1:13">
      <c r="A114" s="901"/>
      <c r="B114" s="2893" t="s">
        <v>2978</v>
      </c>
      <c r="C114" s="2893" t="s">
        <v>2979</v>
      </c>
      <c r="D114" s="2893" t="s">
        <v>2980</v>
      </c>
      <c r="E114" s="2894" t="s">
        <v>2981</v>
      </c>
      <c r="F114" s="2894" t="s">
        <v>2982</v>
      </c>
      <c r="G114" s="2894" t="s">
        <v>2983</v>
      </c>
      <c r="H114" s="2895" t="s">
        <v>2984</v>
      </c>
      <c r="I114" s="2895" t="s">
        <v>2985</v>
      </c>
      <c r="J114" s="2896" t="s">
        <v>2986</v>
      </c>
      <c r="K114" s="2896" t="s">
        <v>2987</v>
      </c>
      <c r="L114" s="2896" t="s">
        <v>2988</v>
      </c>
      <c r="M114" s="2897" t="s">
        <v>2989</v>
      </c>
    </row>
    <row r="115" spans="1:13">
      <c r="A115" s="902" t="s">
        <v>2872</v>
      </c>
      <c r="B115" s="903">
        <f>ROUND(0.9335-0.0094*B113,4)</f>
        <v>0.88790000000000002</v>
      </c>
      <c r="C115" s="903">
        <f>B115</f>
        <v>0.88790000000000002</v>
      </c>
      <c r="D115" s="903">
        <f>ROUND(0.8331-0.0109*B113,4)</f>
        <v>0.7802</v>
      </c>
      <c r="E115" s="903">
        <f>D115</f>
        <v>0.7802</v>
      </c>
      <c r="F115" s="903">
        <f>E115</f>
        <v>0.7802</v>
      </c>
      <c r="G115" s="903">
        <f>F115</f>
        <v>0.7802</v>
      </c>
      <c r="H115" s="903">
        <f>G115</f>
        <v>0.7802</v>
      </c>
      <c r="I115" s="903">
        <f>ROUND(0.689-0.0155*B113,4)</f>
        <v>0.61380000000000001</v>
      </c>
      <c r="J115" s="903">
        <f t="shared" ref="J115:M118" si="33">I115</f>
        <v>0.61380000000000001</v>
      </c>
      <c r="K115" s="903">
        <f t="shared" si="33"/>
        <v>0.61380000000000001</v>
      </c>
      <c r="L115" s="903">
        <f t="shared" si="33"/>
        <v>0.61380000000000001</v>
      </c>
      <c r="M115" s="904">
        <f t="shared" si="33"/>
        <v>0.61380000000000001</v>
      </c>
    </row>
    <row r="116" spans="1:13">
      <c r="A116" s="902" t="s">
        <v>2873</v>
      </c>
      <c r="B116" s="903">
        <f>ROUND(0.949-0.012*B113,4)</f>
        <v>0.89080000000000004</v>
      </c>
      <c r="C116" s="903">
        <f>B116</f>
        <v>0.89080000000000004</v>
      </c>
      <c r="D116" s="903">
        <f>ROUND(0.8567-0.013*B113,4)</f>
        <v>0.79369999999999996</v>
      </c>
      <c r="E116" s="903">
        <f t="shared" ref="E116:H117" si="34">D116</f>
        <v>0.79369999999999996</v>
      </c>
      <c r="F116" s="903">
        <f t="shared" si="34"/>
        <v>0.79369999999999996</v>
      </c>
      <c r="G116" s="903">
        <f t="shared" si="34"/>
        <v>0.79369999999999996</v>
      </c>
      <c r="H116" s="903">
        <f t="shared" si="34"/>
        <v>0.79369999999999996</v>
      </c>
      <c r="I116" s="903">
        <f>ROUND(0.7694-0.014*B113,4)</f>
        <v>0.70150000000000001</v>
      </c>
      <c r="J116" s="903">
        <f t="shared" si="33"/>
        <v>0.70150000000000001</v>
      </c>
      <c r="K116" s="903">
        <f t="shared" si="33"/>
        <v>0.70150000000000001</v>
      </c>
      <c r="L116" s="903">
        <f t="shared" si="33"/>
        <v>0.70150000000000001</v>
      </c>
      <c r="M116" s="904">
        <f t="shared" si="33"/>
        <v>0.70150000000000001</v>
      </c>
    </row>
    <row r="117" spans="1:13">
      <c r="A117" s="902" t="s">
        <v>2874</v>
      </c>
      <c r="B117" s="903">
        <f>ROUND(0.8808-0.006*B113,4)</f>
        <v>0.85170000000000001</v>
      </c>
      <c r="C117" s="903">
        <f>B117</f>
        <v>0.85170000000000001</v>
      </c>
      <c r="D117" s="903">
        <f>ROUND(0.8748-0.008*B113,4)</f>
        <v>0.83599999999999997</v>
      </c>
      <c r="E117" s="903">
        <f t="shared" si="34"/>
        <v>0.83599999999999997</v>
      </c>
      <c r="F117" s="903">
        <f t="shared" si="34"/>
        <v>0.83599999999999997</v>
      </c>
      <c r="G117" s="903">
        <f t="shared" si="34"/>
        <v>0.83599999999999997</v>
      </c>
      <c r="H117" s="903">
        <f t="shared" si="34"/>
        <v>0.83599999999999997</v>
      </c>
      <c r="I117" s="903">
        <f>ROUND(0.7412-0.0095*B113,4)</f>
        <v>0.69510000000000005</v>
      </c>
      <c r="J117" s="903">
        <f t="shared" si="33"/>
        <v>0.69510000000000005</v>
      </c>
      <c r="K117" s="903">
        <f t="shared" si="33"/>
        <v>0.69510000000000005</v>
      </c>
      <c r="L117" s="903">
        <f t="shared" si="33"/>
        <v>0.69510000000000005</v>
      </c>
      <c r="M117" s="904">
        <f t="shared" si="33"/>
        <v>0.69510000000000005</v>
      </c>
    </row>
    <row r="118" spans="1:13" ht="13.5" thickBot="1">
      <c r="A118" s="712" t="s">
        <v>2875</v>
      </c>
      <c r="B118" s="905">
        <f>ROUND(0.7275-0.01*B113,4)</f>
        <v>0.67900000000000005</v>
      </c>
      <c r="C118" s="905">
        <f>B118</f>
        <v>0.67900000000000005</v>
      </c>
      <c r="D118" s="905">
        <f>ROUND(0.7043-0.012*B113,4)</f>
        <v>0.64610000000000001</v>
      </c>
      <c r="E118" s="905">
        <f>D118</f>
        <v>0.64610000000000001</v>
      </c>
      <c r="F118" s="905">
        <f>E118</f>
        <v>0.64610000000000001</v>
      </c>
      <c r="G118" s="905">
        <f>ROUND(0.6299-0.0122*B113,4)</f>
        <v>0.57069999999999999</v>
      </c>
      <c r="H118" s="905">
        <f>G118</f>
        <v>0.57069999999999999</v>
      </c>
      <c r="I118" s="905">
        <f>ROUND(0.5667-0.0136*B113,4)</f>
        <v>0.50070000000000003</v>
      </c>
      <c r="J118" s="905">
        <f t="shared" si="33"/>
        <v>0.50070000000000003</v>
      </c>
      <c r="K118" s="905">
        <f t="shared" si="33"/>
        <v>0.50070000000000003</v>
      </c>
      <c r="L118" s="905">
        <f t="shared" si="33"/>
        <v>0.50070000000000003</v>
      </c>
      <c r="M118" s="906">
        <f t="shared" si="33"/>
        <v>0.50070000000000003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75" t="s">
        <v>183</v>
      </c>
      <c r="B18" s="875" t="s">
        <v>560</v>
      </c>
      <c r="C18" s="876" t="s">
        <v>561</v>
      </c>
      <c r="D18" s="877"/>
      <c r="E18" s="875">
        <v>1</v>
      </c>
      <c r="F18" s="878" t="s">
        <v>562</v>
      </c>
      <c r="G18" s="879"/>
      <c r="H18" s="871"/>
      <c r="I18" s="871"/>
    </row>
    <row r="19" spans="1:9" s="880" customFormat="1" ht="19.5" customHeight="1">
      <c r="A19" s="3375"/>
      <c r="B19" s="3375" t="s">
        <v>563</v>
      </c>
      <c r="C19" s="876" t="s">
        <v>564</v>
      </c>
      <c r="D19" s="877"/>
      <c r="E19" s="875">
        <v>0.9</v>
      </c>
      <c r="F19" s="878" t="s">
        <v>565</v>
      </c>
      <c r="G19" s="879"/>
      <c r="H19" s="871"/>
      <c r="I19" s="871"/>
    </row>
    <row r="20" spans="1:9" s="880" customFormat="1" ht="19.5" customHeight="1">
      <c r="A20" s="3375"/>
      <c r="B20" s="3375"/>
      <c r="C20" s="876" t="s">
        <v>566</v>
      </c>
      <c r="D20" s="877"/>
      <c r="E20" s="875">
        <v>1.1000000000000001</v>
      </c>
      <c r="F20" s="878" t="s">
        <v>567</v>
      </c>
      <c r="G20" s="879"/>
      <c r="H20" s="871"/>
      <c r="I20" s="871"/>
    </row>
    <row r="21" spans="1:9" s="880" customFormat="1" ht="19.5" customHeight="1">
      <c r="A21" s="3375"/>
      <c r="B21" s="3375"/>
      <c r="C21" s="876" t="s">
        <v>568</v>
      </c>
      <c r="D21" s="877"/>
      <c r="E21" s="875">
        <v>0.8</v>
      </c>
      <c r="F21" s="878" t="s">
        <v>569</v>
      </c>
      <c r="G21" s="879"/>
      <c r="H21" s="871"/>
      <c r="I21" s="871"/>
    </row>
    <row r="22" spans="1:9" s="880" customFormat="1" ht="19.5" customHeight="1">
      <c r="A22" s="3375"/>
      <c r="B22" s="3375"/>
      <c r="C22" s="876" t="s">
        <v>570</v>
      </c>
      <c r="D22" s="877"/>
      <c r="E22" s="875">
        <v>0.5</v>
      </c>
      <c r="F22" s="878"/>
      <c r="G22" s="879"/>
      <c r="H22" s="871"/>
      <c r="I22" s="871"/>
    </row>
    <row r="23" spans="1:9" s="880" customFormat="1" ht="19.5" customHeight="1">
      <c r="A23" s="3375" t="s">
        <v>184</v>
      </c>
      <c r="B23" s="875" t="s">
        <v>560</v>
      </c>
      <c r="C23" s="876" t="s">
        <v>571</v>
      </c>
      <c r="D23" s="877"/>
      <c r="E23" s="875">
        <v>1</v>
      </c>
      <c r="F23" s="878" t="s">
        <v>572</v>
      </c>
      <c r="G23" s="879"/>
      <c r="H23" s="871"/>
      <c r="I23" s="871"/>
    </row>
    <row r="24" spans="1:9" s="880" customFormat="1" ht="19.5" customHeight="1">
      <c r="A24" s="3375"/>
      <c r="B24" s="3375" t="s">
        <v>563</v>
      </c>
      <c r="C24" s="876" t="s">
        <v>573</v>
      </c>
      <c r="D24" s="877"/>
      <c r="E24" s="875">
        <v>0.5</v>
      </c>
      <c r="F24" s="878"/>
      <c r="G24" s="879"/>
      <c r="H24" s="871"/>
      <c r="I24" s="871"/>
    </row>
    <row r="25" spans="1:9" s="880" customFormat="1" ht="19.5" customHeight="1">
      <c r="A25" s="3375"/>
      <c r="B25" s="3375"/>
      <c r="C25" s="876" t="s">
        <v>574</v>
      </c>
      <c r="D25" s="877"/>
      <c r="E25" s="875">
        <v>1.1000000000000001</v>
      </c>
      <c r="F25" s="878"/>
      <c r="G25" s="879"/>
      <c r="H25" s="871"/>
      <c r="I25" s="871"/>
    </row>
    <row r="26" spans="1:9" s="880" customFormat="1" ht="19.5" customHeight="1">
      <c r="A26" s="3375"/>
      <c r="B26" s="3375"/>
      <c r="C26" s="876" t="s">
        <v>575</v>
      </c>
      <c r="D26" s="877"/>
      <c r="E26" s="875">
        <v>1.1000000000000001</v>
      </c>
      <c r="F26" s="878"/>
      <c r="G26" s="879"/>
      <c r="H26" s="871"/>
      <c r="I26" s="871"/>
    </row>
    <row r="27" spans="1:9" s="880" customFormat="1" ht="19.5" customHeight="1">
      <c r="A27" s="3375"/>
      <c r="B27" s="3375"/>
      <c r="C27" s="876" t="s">
        <v>576</v>
      </c>
      <c r="D27" s="877"/>
      <c r="E27" s="875">
        <v>0.9</v>
      </c>
      <c r="F27" s="878" t="s">
        <v>577</v>
      </c>
      <c r="G27" s="879"/>
      <c r="H27" s="871"/>
      <c r="I27" s="871"/>
    </row>
    <row r="28" spans="1:9" s="880" customFormat="1" ht="19.5" customHeight="1">
      <c r="A28" s="3375"/>
      <c r="B28" s="3375"/>
      <c r="C28" s="876" t="s">
        <v>578</v>
      </c>
      <c r="D28" s="877"/>
      <c r="E28" s="875">
        <v>0.9</v>
      </c>
      <c r="F28" s="878" t="s">
        <v>579</v>
      </c>
      <c r="G28" s="879"/>
      <c r="H28" s="871"/>
      <c r="I28" s="871"/>
    </row>
    <row r="29" spans="1:9" s="880" customFormat="1" ht="19.5" customHeight="1">
      <c r="A29" s="3375"/>
      <c r="B29" s="3375"/>
      <c r="C29" s="876" t="s">
        <v>580</v>
      </c>
      <c r="D29" s="877"/>
      <c r="E29" s="875">
        <v>0.9</v>
      </c>
      <c r="F29" s="878" t="s">
        <v>581</v>
      </c>
      <c r="G29" s="879"/>
      <c r="H29" s="871"/>
      <c r="I29" s="871"/>
    </row>
    <row r="30" spans="1:9" s="880" customFormat="1" ht="19.5" customHeight="1">
      <c r="A30" s="3375"/>
      <c r="B30" s="3375"/>
      <c r="C30" s="876" t="s">
        <v>582</v>
      </c>
      <c r="D30" s="877"/>
      <c r="E30" s="875">
        <v>0.9</v>
      </c>
      <c r="F30" s="878" t="s">
        <v>583</v>
      </c>
      <c r="G30" s="879"/>
      <c r="H30" s="871"/>
      <c r="I30" s="871"/>
    </row>
    <row r="31" spans="1:9" s="880" customFormat="1" ht="19.5" customHeight="1">
      <c r="A31" s="3375"/>
      <c r="B31" s="3375"/>
      <c r="C31" s="876" t="s">
        <v>584</v>
      </c>
      <c r="D31" s="877"/>
      <c r="E31" s="875">
        <v>0.8</v>
      </c>
      <c r="F31" s="878" t="s">
        <v>585</v>
      </c>
      <c r="G31" s="879"/>
      <c r="H31" s="871"/>
      <c r="I31" s="871"/>
    </row>
    <row r="32" spans="1:9" s="880" customFormat="1" ht="19.5" customHeight="1">
      <c r="A32" s="3375"/>
      <c r="B32" s="3375"/>
      <c r="C32" s="876" t="s">
        <v>586</v>
      </c>
      <c r="D32" s="877"/>
      <c r="E32" s="875">
        <v>0.8</v>
      </c>
      <c r="F32" s="878" t="s">
        <v>587</v>
      </c>
      <c r="G32" s="879"/>
      <c r="H32" s="871"/>
      <c r="I32" s="871"/>
    </row>
    <row r="33" spans="1:9" s="880" customFormat="1" ht="19.5" customHeight="1">
      <c r="A33" s="3375" t="s">
        <v>185</v>
      </c>
      <c r="B33" s="875" t="s">
        <v>560</v>
      </c>
      <c r="C33" s="876" t="s">
        <v>588</v>
      </c>
      <c r="D33" s="877"/>
      <c r="E33" s="875">
        <v>1</v>
      </c>
      <c r="F33" s="878" t="s">
        <v>589</v>
      </c>
      <c r="G33" s="879"/>
      <c r="H33" s="871"/>
      <c r="I33" s="871"/>
    </row>
    <row r="34" spans="1:9" s="880" customFormat="1" ht="19.5" customHeight="1">
      <c r="A34" s="3375"/>
      <c r="B34" s="875" t="s">
        <v>563</v>
      </c>
      <c r="C34" s="876" t="s">
        <v>590</v>
      </c>
      <c r="D34" s="877"/>
      <c r="E34" s="875">
        <v>1.5</v>
      </c>
      <c r="F34" s="878" t="s">
        <v>591</v>
      </c>
      <c r="G34" s="879"/>
      <c r="H34" s="871"/>
      <c r="I34" s="871"/>
    </row>
    <row r="35" spans="1:9" s="880" customFormat="1" ht="19.5" customHeight="1">
      <c r="A35" s="3375" t="s">
        <v>186</v>
      </c>
      <c r="B35" s="875" t="s">
        <v>560</v>
      </c>
      <c r="C35" s="876" t="s">
        <v>592</v>
      </c>
      <c r="D35" s="877"/>
      <c r="E35" s="875">
        <v>1</v>
      </c>
      <c r="F35" s="878" t="s">
        <v>593</v>
      </c>
      <c r="G35" s="879"/>
      <c r="H35" s="871"/>
      <c r="I35" s="871"/>
    </row>
    <row r="36" spans="1:9" s="880" customFormat="1" ht="19.5" customHeight="1">
      <c r="A36" s="3375"/>
      <c r="B36" s="3375" t="s">
        <v>563</v>
      </c>
      <c r="C36" s="876" t="s">
        <v>594</v>
      </c>
      <c r="D36" s="877"/>
      <c r="E36" s="875">
        <v>1</v>
      </c>
      <c r="F36" s="878" t="s">
        <v>595</v>
      </c>
      <c r="G36" s="879"/>
      <c r="H36" s="871"/>
      <c r="I36" s="871"/>
    </row>
    <row r="37" spans="1:9" s="880" customFormat="1" ht="19.5" customHeight="1">
      <c r="A37" s="3375"/>
      <c r="B37" s="3375"/>
      <c r="C37" s="876" t="s">
        <v>596</v>
      </c>
      <c r="D37" s="877"/>
      <c r="E37" s="875">
        <v>1.5</v>
      </c>
      <c r="F37" s="878" t="s">
        <v>597</v>
      </c>
      <c r="G37" s="879"/>
      <c r="H37" s="871"/>
      <c r="I37" s="871"/>
    </row>
    <row r="38" spans="1:9" s="880" customFormat="1" ht="19.5" customHeight="1">
      <c r="A38" s="3375"/>
      <c r="B38" s="3375"/>
      <c r="C38" s="876" t="s">
        <v>598</v>
      </c>
      <c r="D38" s="877"/>
      <c r="E38" s="875">
        <v>1</v>
      </c>
      <c r="F38" s="878" t="s">
        <v>599</v>
      </c>
      <c r="G38" s="879"/>
      <c r="H38" s="871"/>
      <c r="I38" s="871"/>
    </row>
    <row r="39" spans="1:9" s="880" customFormat="1" ht="19.5" customHeight="1">
      <c r="A39" s="3375"/>
      <c r="B39" s="337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75" t="s">
        <v>614</v>
      </c>
      <c r="C61" s="811" t="s">
        <v>615</v>
      </c>
      <c r="D61" s="811" t="s">
        <v>616</v>
      </c>
      <c r="E61" s="888">
        <v>0.5</v>
      </c>
      <c r="F61" s="875">
        <v>80</v>
      </c>
    </row>
    <row r="62" spans="1:8" s="871" customFormat="1" ht="24">
      <c r="A62" s="875">
        <v>2</v>
      </c>
      <c r="B62" s="3375"/>
      <c r="C62" s="811" t="s">
        <v>617</v>
      </c>
      <c r="D62" s="811" t="s">
        <v>618</v>
      </c>
      <c r="E62" s="888">
        <v>0.5</v>
      </c>
      <c r="F62" s="875">
        <v>80</v>
      </c>
    </row>
    <row r="63" spans="1:8" s="871" customFormat="1" ht="36">
      <c r="A63" s="875">
        <v>3</v>
      </c>
      <c r="B63" s="3375"/>
      <c r="C63" s="811" t="s">
        <v>619</v>
      </c>
      <c r="D63" s="811" t="s">
        <v>620</v>
      </c>
      <c r="E63" s="888">
        <v>0.5</v>
      </c>
      <c r="F63" s="875">
        <v>80</v>
      </c>
    </row>
    <row r="64" spans="1:8" s="871" customFormat="1" ht="36">
      <c r="A64" s="875">
        <v>4</v>
      </c>
      <c r="B64" s="3375"/>
      <c r="C64" s="811" t="s">
        <v>621</v>
      </c>
      <c r="D64" s="811" t="s">
        <v>622</v>
      </c>
      <c r="E64" s="888">
        <v>0.4</v>
      </c>
      <c r="F64" s="875">
        <v>60</v>
      </c>
    </row>
    <row r="65" spans="1:6" s="871" customFormat="1" ht="36">
      <c r="A65" s="875">
        <v>5</v>
      </c>
      <c r="B65" s="3375"/>
      <c r="C65" s="811" t="s">
        <v>623</v>
      </c>
      <c r="D65" s="811" t="s">
        <v>624</v>
      </c>
      <c r="E65" s="888">
        <v>0.2</v>
      </c>
      <c r="F65" s="875">
        <v>30</v>
      </c>
    </row>
    <row r="66" spans="1:6" s="871" customFormat="1" ht="36">
      <c r="A66" s="875">
        <v>6</v>
      </c>
      <c r="B66" s="3375"/>
      <c r="C66" s="811" t="s">
        <v>625</v>
      </c>
      <c r="D66" s="811" t="s">
        <v>626</v>
      </c>
      <c r="E66" s="888">
        <v>0.3</v>
      </c>
      <c r="F66" s="875">
        <v>50</v>
      </c>
    </row>
    <row r="67" spans="1:6" s="871" customFormat="1" ht="36">
      <c r="A67" s="875">
        <v>7</v>
      </c>
      <c r="B67" s="3375"/>
      <c r="C67" s="811" t="s">
        <v>627</v>
      </c>
      <c r="D67" s="811" t="s">
        <v>628</v>
      </c>
      <c r="E67" s="888">
        <v>0.2</v>
      </c>
      <c r="F67" s="875">
        <v>30</v>
      </c>
    </row>
    <row r="68" spans="1:6" s="871" customFormat="1" ht="36">
      <c r="A68" s="875">
        <v>8</v>
      </c>
      <c r="B68" s="3375"/>
      <c r="C68" s="811" t="s">
        <v>629</v>
      </c>
      <c r="D68" s="811" t="s">
        <v>630</v>
      </c>
      <c r="E68" s="888">
        <v>0.2</v>
      </c>
      <c r="F68" s="875">
        <v>30</v>
      </c>
    </row>
    <row r="69" spans="1:6" s="871" customFormat="1" ht="36">
      <c r="A69" s="875">
        <v>9</v>
      </c>
      <c r="B69" s="3375"/>
      <c r="C69" s="811" t="s">
        <v>631</v>
      </c>
      <c r="D69" s="811" t="s">
        <v>632</v>
      </c>
      <c r="E69" s="888">
        <v>0.2</v>
      </c>
      <c r="F69" s="875">
        <v>30</v>
      </c>
    </row>
    <row r="70" spans="1:6" s="871" customFormat="1" ht="48">
      <c r="A70" s="875">
        <v>10</v>
      </c>
      <c r="B70" s="3375"/>
      <c r="C70" s="811" t="s">
        <v>633</v>
      </c>
      <c r="D70" s="811" t="s">
        <v>634</v>
      </c>
      <c r="E70" s="888">
        <v>0.2</v>
      </c>
      <c r="F70" s="875">
        <v>30</v>
      </c>
    </row>
    <row r="71" spans="1:6" s="871" customFormat="1" ht="48">
      <c r="A71" s="875">
        <v>11</v>
      </c>
      <c r="B71" s="3375"/>
      <c r="C71" s="811" t="s">
        <v>635</v>
      </c>
      <c r="D71" s="811" t="s">
        <v>636</v>
      </c>
      <c r="E71" s="888">
        <v>0.2</v>
      </c>
      <c r="F71" s="875">
        <v>30</v>
      </c>
    </row>
    <row r="72" spans="1:6" s="871" customFormat="1" ht="36">
      <c r="A72" s="875">
        <v>12</v>
      </c>
      <c r="B72" s="3375"/>
      <c r="C72" s="811" t="s">
        <v>637</v>
      </c>
      <c r="D72" s="811" t="s">
        <v>638</v>
      </c>
      <c r="E72" s="888">
        <v>0.5</v>
      </c>
      <c r="F72" s="875">
        <v>80</v>
      </c>
    </row>
    <row r="73" spans="1:6" s="871" customFormat="1" ht="24">
      <c r="A73" s="875">
        <v>13</v>
      </c>
      <c r="B73" s="3375"/>
      <c r="C73" s="811" t="s">
        <v>639</v>
      </c>
      <c r="D73" s="811" t="s">
        <v>640</v>
      </c>
      <c r="E73" s="888">
        <v>0.4</v>
      </c>
      <c r="F73" s="875">
        <v>60</v>
      </c>
    </row>
    <row r="74" spans="1:6" s="871" customFormat="1" ht="24">
      <c r="A74" s="875">
        <v>14</v>
      </c>
      <c r="B74" s="3375"/>
      <c r="C74" s="811" t="s">
        <v>641</v>
      </c>
      <c r="D74" s="811" t="s">
        <v>642</v>
      </c>
      <c r="E74" s="888">
        <v>0.2</v>
      </c>
      <c r="F74" s="875">
        <v>30</v>
      </c>
    </row>
    <row r="75" spans="1:6" s="871" customFormat="1" ht="24">
      <c r="A75" s="875">
        <v>15</v>
      </c>
      <c r="B75" s="3375"/>
      <c r="C75" s="811" t="s">
        <v>643</v>
      </c>
      <c r="D75" s="811" t="s">
        <v>644</v>
      </c>
      <c r="E75" s="888">
        <v>0.2</v>
      </c>
      <c r="F75" s="875">
        <v>30</v>
      </c>
    </row>
    <row r="76" spans="1:6" s="871" customFormat="1" ht="24">
      <c r="A76" s="875">
        <v>16</v>
      </c>
      <c r="B76" s="3375" t="s">
        <v>645</v>
      </c>
      <c r="C76" s="811" t="s">
        <v>646</v>
      </c>
      <c r="D76" s="811" t="s">
        <v>647</v>
      </c>
      <c r="E76" s="888">
        <v>0.5</v>
      </c>
      <c r="F76" s="875">
        <v>80</v>
      </c>
    </row>
    <row r="77" spans="1:6" s="871" customFormat="1" ht="24">
      <c r="A77" s="875">
        <v>17</v>
      </c>
      <c r="B77" s="3375"/>
      <c r="C77" s="811" t="s">
        <v>648</v>
      </c>
      <c r="D77" s="811" t="s">
        <v>649</v>
      </c>
      <c r="E77" s="888">
        <v>0.5</v>
      </c>
      <c r="F77" s="875">
        <v>80</v>
      </c>
    </row>
    <row r="78" spans="1:6" s="871" customFormat="1" ht="24">
      <c r="A78" s="875">
        <v>18</v>
      </c>
      <c r="B78" s="3375"/>
      <c r="C78" s="811" t="s">
        <v>650</v>
      </c>
      <c r="D78" s="811" t="s">
        <v>651</v>
      </c>
      <c r="E78" s="888">
        <v>0.2</v>
      </c>
      <c r="F78" s="875">
        <v>30</v>
      </c>
    </row>
    <row r="79" spans="1:6" s="871" customFormat="1" ht="24">
      <c r="A79" s="875">
        <v>19</v>
      </c>
      <c r="B79" s="3375"/>
      <c r="C79" s="811" t="s">
        <v>652</v>
      </c>
      <c r="D79" s="811" t="s">
        <v>653</v>
      </c>
      <c r="E79" s="888">
        <v>0.5</v>
      </c>
      <c r="F79" s="875">
        <v>80</v>
      </c>
    </row>
    <row r="80" spans="1:6" s="871" customFormat="1" ht="36">
      <c r="A80" s="875">
        <v>20</v>
      </c>
      <c r="B80" s="3375"/>
      <c r="C80" s="811" t="s">
        <v>654</v>
      </c>
      <c r="D80" s="811" t="s">
        <v>655</v>
      </c>
      <c r="E80" s="888">
        <v>0.2</v>
      </c>
      <c r="F80" s="875">
        <v>30</v>
      </c>
    </row>
    <row r="81" spans="1:6" s="871" customFormat="1" ht="36">
      <c r="A81" s="875">
        <v>21</v>
      </c>
      <c r="B81" s="3375"/>
      <c r="C81" s="811" t="s">
        <v>656</v>
      </c>
      <c r="D81" s="811" t="s">
        <v>657</v>
      </c>
      <c r="E81" s="888">
        <v>0.2</v>
      </c>
      <c r="F81" s="875">
        <v>30</v>
      </c>
    </row>
    <row r="82" spans="1:6" s="871" customFormat="1" ht="48">
      <c r="A82" s="875">
        <v>22</v>
      </c>
      <c r="B82" s="3375"/>
      <c r="C82" s="811" t="s">
        <v>658</v>
      </c>
      <c r="D82" s="811" t="s">
        <v>659</v>
      </c>
      <c r="E82" s="888">
        <v>0.2</v>
      </c>
      <c r="F82" s="875">
        <v>30</v>
      </c>
    </row>
    <row r="83" spans="1:6" s="871" customFormat="1" ht="48">
      <c r="A83" s="875">
        <v>23</v>
      </c>
      <c r="B83" s="3375"/>
      <c r="C83" s="811" t="s">
        <v>660</v>
      </c>
      <c r="D83" s="811" t="s">
        <v>661</v>
      </c>
      <c r="E83" s="888">
        <v>0.2</v>
      </c>
      <c r="F83" s="875">
        <v>30</v>
      </c>
    </row>
    <row r="84" spans="1:6" s="871" customFormat="1" ht="36">
      <c r="A84" s="875">
        <v>24</v>
      </c>
      <c r="B84" s="3375"/>
      <c r="C84" s="811" t="s">
        <v>662</v>
      </c>
      <c r="D84" s="811" t="s">
        <v>663</v>
      </c>
      <c r="E84" s="888">
        <v>0.2</v>
      </c>
      <c r="F84" s="875">
        <v>30</v>
      </c>
    </row>
    <row r="85" spans="1:6" s="871" customFormat="1" ht="36">
      <c r="A85" s="875">
        <v>25</v>
      </c>
      <c r="B85" s="3375"/>
      <c r="C85" s="811" t="s">
        <v>664</v>
      </c>
      <c r="D85" s="811" t="s">
        <v>665</v>
      </c>
      <c r="E85" s="888">
        <v>0.5</v>
      </c>
      <c r="F85" s="875">
        <v>80</v>
      </c>
    </row>
    <row r="86" spans="1:6" s="871" customFormat="1" ht="36">
      <c r="A86" s="875">
        <v>26</v>
      </c>
      <c r="B86" s="3375"/>
      <c r="C86" s="811" t="s">
        <v>666</v>
      </c>
      <c r="D86" s="811" t="s">
        <v>667</v>
      </c>
      <c r="E86" s="888">
        <v>0.2</v>
      </c>
      <c r="F86" s="875">
        <v>30</v>
      </c>
    </row>
    <row r="87" spans="1:6" s="871" customFormat="1" ht="36">
      <c r="A87" s="875">
        <v>27</v>
      </c>
      <c r="B87" s="3375"/>
      <c r="C87" s="811" t="s">
        <v>668</v>
      </c>
      <c r="D87" s="811" t="s">
        <v>669</v>
      </c>
      <c r="E87" s="888">
        <v>0.2</v>
      </c>
      <c r="F87" s="875">
        <v>30</v>
      </c>
    </row>
    <row r="88" spans="1:6" s="871" customFormat="1" ht="36">
      <c r="A88" s="875">
        <v>28</v>
      </c>
      <c r="B88" s="3375"/>
      <c r="C88" s="811" t="s">
        <v>670</v>
      </c>
      <c r="D88" s="811" t="s">
        <v>671</v>
      </c>
      <c r="E88" s="888">
        <v>0.2</v>
      </c>
      <c r="F88" s="875">
        <v>30</v>
      </c>
    </row>
    <row r="89" spans="1:6" s="871" customFormat="1" ht="24">
      <c r="A89" s="875">
        <v>29</v>
      </c>
      <c r="B89" s="3375"/>
      <c r="C89" s="811" t="s">
        <v>672</v>
      </c>
      <c r="D89" s="811" t="s">
        <v>673</v>
      </c>
      <c r="E89" s="888">
        <v>0.2</v>
      </c>
      <c r="F89" s="875">
        <v>30</v>
      </c>
    </row>
    <row r="90" spans="1:6" s="871" customFormat="1" ht="24">
      <c r="A90" s="875">
        <v>30</v>
      </c>
      <c r="B90" s="3375"/>
      <c r="C90" s="811" t="s">
        <v>674</v>
      </c>
      <c r="D90" s="811" t="s">
        <v>675</v>
      </c>
      <c r="E90" s="888">
        <v>0.2</v>
      </c>
      <c r="F90" s="875">
        <v>30</v>
      </c>
    </row>
    <row r="91" spans="1:6" s="871" customFormat="1" ht="36">
      <c r="A91" s="875">
        <v>31</v>
      </c>
      <c r="B91" s="3375"/>
      <c r="C91" s="811" t="s">
        <v>676</v>
      </c>
      <c r="D91" s="811" t="s">
        <v>677</v>
      </c>
      <c r="E91" s="888">
        <v>0.2</v>
      </c>
      <c r="F91" s="875">
        <v>30</v>
      </c>
    </row>
    <row r="92" spans="1:6" s="871" customFormat="1" ht="24">
      <c r="A92" s="875">
        <v>32</v>
      </c>
      <c r="B92" s="3375" t="s">
        <v>678</v>
      </c>
      <c r="C92" s="875" t="s">
        <v>679</v>
      </c>
      <c r="D92" s="811" t="s">
        <v>680</v>
      </c>
      <c r="E92" s="888">
        <v>0.2</v>
      </c>
      <c r="F92" s="875">
        <v>30</v>
      </c>
    </row>
    <row r="93" spans="1:6" s="871" customFormat="1" ht="36">
      <c r="A93" s="875">
        <v>33</v>
      </c>
      <c r="B93" s="3375"/>
      <c r="C93" s="875" t="s">
        <v>681</v>
      </c>
      <c r="D93" s="811" t="s">
        <v>682</v>
      </c>
      <c r="E93" s="888">
        <v>0.2</v>
      </c>
      <c r="F93" s="875">
        <v>30</v>
      </c>
    </row>
    <row r="94" spans="1:6" s="871" customFormat="1" ht="48">
      <c r="A94" s="875">
        <v>34</v>
      </c>
      <c r="B94" s="3375"/>
      <c r="C94" s="875" t="s">
        <v>683</v>
      </c>
      <c r="D94" s="811" t="s">
        <v>684</v>
      </c>
      <c r="E94" s="888">
        <v>0.2</v>
      </c>
      <c r="F94" s="875">
        <v>30</v>
      </c>
    </row>
    <row r="95" spans="1:6" s="871" customFormat="1" ht="36">
      <c r="A95" s="875">
        <v>35</v>
      </c>
      <c r="B95" s="3375"/>
      <c r="C95" s="875" t="s">
        <v>685</v>
      </c>
      <c r="D95" s="811" t="s">
        <v>686</v>
      </c>
      <c r="E95" s="888">
        <v>0.2</v>
      </c>
      <c r="F95" s="875">
        <v>30</v>
      </c>
    </row>
    <row r="96" spans="1:6" s="871" customFormat="1" ht="48">
      <c r="A96" s="875">
        <v>36</v>
      </c>
      <c r="B96" s="3375"/>
      <c r="C96" s="811" t="s">
        <v>687</v>
      </c>
      <c r="D96" s="811" t="s">
        <v>688</v>
      </c>
      <c r="E96" s="888">
        <v>0.2</v>
      </c>
      <c r="F96" s="875">
        <v>30</v>
      </c>
    </row>
    <row r="97" spans="1:6" s="871" customFormat="1" ht="36">
      <c r="A97" s="875">
        <v>37</v>
      </c>
      <c r="B97" s="3375"/>
      <c r="C97" s="875" t="s">
        <v>689</v>
      </c>
      <c r="D97" s="811" t="s">
        <v>690</v>
      </c>
      <c r="E97" s="888">
        <v>0.2</v>
      </c>
      <c r="F97" s="875">
        <v>30</v>
      </c>
    </row>
    <row r="98" spans="1:6" s="871" customFormat="1" ht="36">
      <c r="A98" s="875">
        <v>38</v>
      </c>
      <c r="B98" s="3375"/>
      <c r="C98" s="875" t="s">
        <v>691</v>
      </c>
      <c r="D98" s="811" t="s">
        <v>692</v>
      </c>
      <c r="E98" s="888">
        <v>0.2</v>
      </c>
      <c r="F98" s="875">
        <v>30</v>
      </c>
    </row>
    <row r="99" spans="1:6" s="871" customFormat="1" ht="36">
      <c r="A99" s="875">
        <v>39</v>
      </c>
      <c r="B99" s="3375" t="s">
        <v>693</v>
      </c>
      <c r="C99" s="875" t="s">
        <v>694</v>
      </c>
      <c r="D99" s="811" t="s">
        <v>695</v>
      </c>
      <c r="E99" s="888">
        <v>0.3</v>
      </c>
      <c r="F99" s="875">
        <v>50</v>
      </c>
    </row>
    <row r="100" spans="1:6" s="871" customFormat="1" ht="24">
      <c r="A100" s="875">
        <v>40</v>
      </c>
      <c r="B100" s="3375"/>
      <c r="C100" s="875" t="s">
        <v>696</v>
      </c>
      <c r="D100" s="811" t="s">
        <v>697</v>
      </c>
      <c r="E100" s="888">
        <v>0.2</v>
      </c>
      <c r="F100" s="875">
        <v>30</v>
      </c>
    </row>
    <row r="101" spans="1:6" s="871" customFormat="1" ht="36">
      <c r="A101" s="875">
        <v>41</v>
      </c>
      <c r="B101" s="3375"/>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75" t="s">
        <v>708</v>
      </c>
      <c r="C105" s="875" t="s">
        <v>709</v>
      </c>
      <c r="D105" s="811" t="s">
        <v>710</v>
      </c>
      <c r="E105" s="888">
        <v>0.2</v>
      </c>
      <c r="F105" s="875">
        <v>30</v>
      </c>
    </row>
    <row r="106" spans="1:6" s="871" customFormat="1" ht="36">
      <c r="A106" s="875">
        <v>46</v>
      </c>
      <c r="B106" s="3375"/>
      <c r="C106" s="875" t="s">
        <v>711</v>
      </c>
      <c r="D106" s="811" t="s">
        <v>712</v>
      </c>
      <c r="E106" s="888">
        <v>0.2</v>
      </c>
      <c r="F106" s="875">
        <v>30</v>
      </c>
    </row>
    <row r="107" spans="1:6" s="871" customFormat="1" ht="36">
      <c r="A107" s="875">
        <v>47</v>
      </c>
      <c r="B107" s="3375" t="s">
        <v>713</v>
      </c>
      <c r="C107" s="875" t="s">
        <v>714</v>
      </c>
      <c r="D107" s="811" t="s">
        <v>715</v>
      </c>
      <c r="E107" s="888">
        <v>0.3</v>
      </c>
      <c r="F107" s="875">
        <v>50</v>
      </c>
    </row>
    <row r="108" spans="1:6" s="871" customFormat="1" ht="36">
      <c r="A108" s="875">
        <v>48</v>
      </c>
      <c r="B108" s="337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75" t="s">
        <v>724</v>
      </c>
      <c r="C111" s="875" t="s">
        <v>725</v>
      </c>
      <c r="D111" s="811" t="s">
        <v>726</v>
      </c>
      <c r="E111" s="888">
        <v>0.2</v>
      </c>
      <c r="F111" s="875">
        <v>30</v>
      </c>
    </row>
    <row r="112" spans="1:6" s="871" customFormat="1" ht="24">
      <c r="A112" s="875">
        <v>52</v>
      </c>
      <c r="B112" s="3375"/>
      <c r="C112" s="875" t="s">
        <v>727</v>
      </c>
      <c r="D112" s="811" t="s">
        <v>728</v>
      </c>
      <c r="E112" s="888">
        <v>0.2</v>
      </c>
      <c r="F112" s="875">
        <v>30</v>
      </c>
    </row>
    <row r="113" spans="1:6" s="871" customFormat="1" ht="24">
      <c r="A113" s="875">
        <v>53</v>
      </c>
      <c r="B113" s="3375"/>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75" t="s">
        <v>737</v>
      </c>
      <c r="C116" s="875" t="s">
        <v>738</v>
      </c>
      <c r="D116" s="811" t="s">
        <v>739</v>
      </c>
      <c r="E116" s="888">
        <v>0.2</v>
      </c>
      <c r="F116" s="875">
        <v>30</v>
      </c>
    </row>
    <row r="117" spans="1:6" ht="36">
      <c r="A117" s="875">
        <v>57</v>
      </c>
      <c r="B117" s="3375"/>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1620</v>
      </c>
      <c r="B1" s="1955"/>
      <c r="C1" s="1955"/>
      <c r="D1" s="1955"/>
      <c r="E1" s="1955"/>
    </row>
    <row r="2" spans="1:5" ht="78" customHeight="1">
      <c r="A2" s="30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0"/>
      <c r="C2" s="3040"/>
      <c r="D2" s="3040"/>
      <c r="E2" s="3040"/>
    </row>
    <row r="3" spans="1:5" ht="18">
      <c r="A3" s="3041" t="str">
        <f>IF(项目基本情况!B9="房地产市场价值","估价结果一览表（市场价值不需“结果表-1”）","估价结果一览表")</f>
        <v>估价结果一览表</v>
      </c>
      <c r="B3" s="3041"/>
      <c r="C3" s="3041"/>
      <c r="D3" s="3041"/>
      <c r="E3" s="3041"/>
    </row>
    <row r="4" spans="1:5" ht="19.5" thickBot="1">
      <c r="A4" s="1957"/>
      <c r="B4" s="3039" t="s">
        <v>1629</v>
      </c>
      <c r="C4" s="3039"/>
      <c r="D4" s="3039"/>
      <c r="E4" s="1957"/>
    </row>
    <row r="5" spans="1:5" ht="16.5" thickTop="1">
      <c r="A5" s="1955"/>
      <c r="B5" s="3037" t="s">
        <v>1621</v>
      </c>
      <c r="C5" s="1958" t="s">
        <v>1622</v>
      </c>
      <c r="D5" s="1036">
        <f ca="1">结果表办!H101</f>
        <v>264998</v>
      </c>
      <c r="E5" s="1955"/>
    </row>
    <row r="6" spans="1:5" ht="15.75">
      <c r="A6" s="1955"/>
      <c r="B6" s="3037"/>
      <c r="C6" s="1958" t="s">
        <v>1623</v>
      </c>
      <c r="D6" s="1036" t="str">
        <f ca="1">NUMBERSTRING(INT(D5*10000),2)&amp;"元整"</f>
        <v>贰拾陆亿肆仟玖佰玖拾捌万元整</v>
      </c>
      <c r="E6" s="1955"/>
    </row>
    <row r="7" spans="1:5" ht="15.75">
      <c r="A7" s="1955"/>
      <c r="B7" s="3042"/>
      <c r="C7" s="1959" t="s">
        <v>1624</v>
      </c>
      <c r="D7" s="1037">
        <f ca="1">结果表办!H102</f>
        <v>50788</v>
      </c>
      <c r="E7" s="1955"/>
    </row>
    <row r="8" spans="1:5" ht="15.75">
      <c r="A8" s="1955"/>
      <c r="B8" s="3043" t="str">
        <f>结果表办!E103</f>
        <v>2.估价师知悉的法定优先受偿款</v>
      </c>
      <c r="C8" s="1960" t="s">
        <v>1625</v>
      </c>
      <c r="D8" s="1037">
        <f>结果表办!H103</f>
        <v>0</v>
      </c>
      <c r="E8" s="1955"/>
    </row>
    <row r="9" spans="1:5" ht="15.75">
      <c r="A9" s="1955"/>
      <c r="B9" s="3045"/>
      <c r="C9" s="1958" t="s">
        <v>1623</v>
      </c>
      <c r="D9" s="1036" t="str">
        <f>NUMBERSTRING(INT(D8*10000),2)&amp;"元整"</f>
        <v>零元整</v>
      </c>
      <c r="E9" s="1955"/>
    </row>
    <row r="10" spans="1:5" ht="15">
      <c r="A10" s="1955"/>
      <c r="B10" s="1961" t="s">
        <v>1628</v>
      </c>
      <c r="C10" s="1962" t="s">
        <v>1626</v>
      </c>
      <c r="D10" s="1038">
        <f>结果表办!H104</f>
        <v>0</v>
      </c>
      <c r="E10" s="1955"/>
    </row>
    <row r="11" spans="1:5" ht="15">
      <c r="A11" s="1955"/>
      <c r="B11" s="1961" t="s">
        <v>1630</v>
      </c>
      <c r="C11" s="1962" t="s">
        <v>1631</v>
      </c>
      <c r="D11" s="1038">
        <f>结果表办!H105</f>
        <v>0</v>
      </c>
      <c r="E11" s="1955"/>
    </row>
    <row r="12" spans="1:5" ht="15">
      <c r="A12" s="1955"/>
      <c r="B12" s="1961" t="s">
        <v>1632</v>
      </c>
      <c r="C12" s="1962" t="s">
        <v>1631</v>
      </c>
      <c r="D12" s="1038">
        <f>结果表办!H106</f>
        <v>0</v>
      </c>
      <c r="E12" s="1955"/>
    </row>
    <row r="13" spans="1:5" ht="15.75">
      <c r="A13" s="1955"/>
      <c r="B13" s="3036" t="str">
        <f>结果表办!E107</f>
        <v>3.房地产抵押价值</v>
      </c>
      <c r="C13" s="1963" t="s">
        <v>1622</v>
      </c>
      <c r="D13" s="1039">
        <f ca="1">结果表办!H107</f>
        <v>264998</v>
      </c>
      <c r="E13" s="1955"/>
    </row>
    <row r="14" spans="1:5" ht="15.75">
      <c r="A14" s="1955"/>
      <c r="B14" s="3037"/>
      <c r="C14" s="1958" t="s">
        <v>1623</v>
      </c>
      <c r="D14" s="1036" t="str">
        <f ca="1">NUMBERSTRING(INT(D13*10000),2)&amp;"元整"</f>
        <v>贰拾陆亿肆仟玖佰玖拾捌万元整</v>
      </c>
      <c r="E14" s="1955"/>
    </row>
    <row r="15" spans="1:5" ht="15">
      <c r="A15" s="1955"/>
      <c r="B15" s="3042"/>
      <c r="C15" s="1959" t="s">
        <v>1633</v>
      </c>
      <c r="D15" s="1048">
        <f ca="1">结果表办!H108</f>
        <v>50788</v>
      </c>
      <c r="E15" s="1955"/>
    </row>
    <row r="16" spans="1:5" ht="15">
      <c r="A16" s="1955"/>
      <c r="B16" s="3043" t="str">
        <f>结果表办!E109</f>
        <v>——</v>
      </c>
      <c r="C16" s="1963" t="s">
        <v>1634</v>
      </c>
      <c r="D16" s="1964" t="str">
        <f>结果表办!H109</f>
        <v>——</v>
      </c>
      <c r="E16" s="1955"/>
    </row>
    <row r="17" spans="1:5" ht="15.75">
      <c r="A17" s="1955"/>
      <c r="B17" s="3044"/>
      <c r="C17" s="1958" t="s">
        <v>1635</v>
      </c>
      <c r="D17" s="1036" t="e">
        <f>NUMBERSTRING(INT(D16*10000),2)&amp;"元整"</f>
        <v>#VALUE!</v>
      </c>
      <c r="E17" s="1955"/>
    </row>
    <row r="18" spans="1:5" ht="15">
      <c r="A18" s="1955"/>
      <c r="B18" s="3045"/>
      <c r="C18" s="1959" t="s">
        <v>1624</v>
      </c>
      <c r="D18" s="1048" t="str">
        <f>结果表办!H110</f>
        <v>——</v>
      </c>
      <c r="E18" s="1955"/>
    </row>
    <row r="19" spans="1:5" ht="15.75">
      <c r="A19" s="1955"/>
      <c r="B19" s="3036" t="str">
        <f>结果表办!E111</f>
        <v>——</v>
      </c>
      <c r="C19" s="1963" t="s">
        <v>1622</v>
      </c>
      <c r="D19" s="1037" t="str">
        <f>结果表办!H111</f>
        <v>——</v>
      </c>
      <c r="E19" s="1955"/>
    </row>
    <row r="20" spans="1:5" ht="15.75">
      <c r="A20" s="1955"/>
      <c r="B20" s="3037"/>
      <c r="C20" s="1958" t="s">
        <v>1635</v>
      </c>
      <c r="D20" s="1036" t="e">
        <f>NUMBERSTRING(INT(D19*10000),2)&amp;"元整"</f>
        <v>#VALUE!</v>
      </c>
      <c r="E20" s="1955"/>
    </row>
    <row r="21" spans="1:5" ht="15.75" thickBot="1">
      <c r="A21" s="1955"/>
      <c r="B21" s="3038"/>
      <c r="C21" s="1965" t="s">
        <v>1633</v>
      </c>
      <c r="D21" s="1049" t="str">
        <f>结果表办!H112</f>
        <v>——</v>
      </c>
      <c r="E21" s="1955"/>
    </row>
    <row r="22" spans="1:5" ht="15" thickTop="1">
      <c r="A22" s="1955"/>
      <c r="B22" s="1966" t="s">
        <v>1636</v>
      </c>
      <c r="C22" s="1955"/>
      <c r="D22" s="1955"/>
      <c r="E22" s="1955"/>
    </row>
    <row r="23" spans="1:5">
      <c r="A23" s="1955"/>
      <c r="B23" s="1955"/>
      <c r="C23" s="1955"/>
      <c r="D23" s="1955"/>
      <c r="E23" s="1955"/>
    </row>
    <row r="24" spans="1:5" ht="18.75">
      <c r="A24" s="1967"/>
      <c r="B24" s="1968" t="s">
        <v>1627</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3" t="s">
        <v>2998</v>
      </c>
    </row>
    <row r="2" spans="1:5" ht="15.75">
      <c r="A2" s="2898" t="s">
        <v>2990</v>
      </c>
      <c r="B2" s="2899" t="e">
        <f ca="1">SUMIF(B6:B13,"&lt;&gt;#ref!",B6:B13)</f>
        <v>#DIV/0!</v>
      </c>
      <c r="C2" s="2898" t="s">
        <v>2991</v>
      </c>
      <c r="D2" s="2898" t="s">
        <v>2992</v>
      </c>
      <c r="E2" s="2899" t="e">
        <f ca="1">SUM(E6:E13)</f>
        <v>#REF!</v>
      </c>
    </row>
    <row r="3" spans="1:5" ht="15.75">
      <c r="A3" s="2898" t="s">
        <v>2993</v>
      </c>
      <c r="B3" s="2899" t="e">
        <f ca="1">ROUND(B2*10000/E2,0)</f>
        <v>#DIV/0!</v>
      </c>
      <c r="C3" s="2898" t="s">
        <v>2999</v>
      </c>
      <c r="D3" s="2900"/>
      <c r="E3" s="2900"/>
    </row>
    <row r="4" spans="1:5" ht="15.75">
      <c r="A4" s="2901"/>
      <c r="B4" s="2900"/>
      <c r="C4" s="2900"/>
      <c r="D4" s="2900"/>
      <c r="E4" s="2900"/>
    </row>
    <row r="5" spans="1:5" ht="28.5">
      <c r="A5" s="2902" t="s">
        <v>2994</v>
      </c>
      <c r="B5" s="2898" t="s">
        <v>2995</v>
      </c>
      <c r="C5" s="2899"/>
      <c r="D5" s="2900"/>
      <c r="E5" s="2898" t="s">
        <v>2996</v>
      </c>
    </row>
    <row r="6" spans="1:5" ht="15.75">
      <c r="A6" s="2903" t="s">
        <v>2997</v>
      </c>
      <c r="B6" s="2899" t="e">
        <f ca="1">SUMIF(INDIRECT("'"&amp;A6&amp;"'"&amp;"!A:A"),"总价",INDIRECT("'"&amp;A6&amp;"'"&amp;"!B:B"))</f>
        <v>#DIV/0!</v>
      </c>
      <c r="C6" s="2898" t="s">
        <v>2991</v>
      </c>
      <c r="D6" s="2900"/>
      <c r="E6" s="2567">
        <f ca="1">SUMIF(INDIRECT("'"&amp;A6&amp;"'"&amp;"!C:C"),"建筑面积",INDIRECT("'"&amp;A6&amp;"'"&amp;"!D:D"))</f>
        <v>0</v>
      </c>
    </row>
    <row r="7" spans="1:5" ht="15.75">
      <c r="A7" s="2903"/>
      <c r="B7" s="2899" t="e">
        <f ca="1">SUMIF(INDIRECT("'"&amp;A7&amp;"'"&amp;"!A:A"),"总价",INDIRECT("'"&amp;A7&amp;"'"&amp;"!B:B"))</f>
        <v>#REF!</v>
      </c>
      <c r="C7" s="2898" t="s">
        <v>2991</v>
      </c>
      <c r="D7" s="2900"/>
      <c r="E7" s="2567" t="e">
        <f t="shared" ref="E7:E13" ca="1" si="0">SUMIF(INDIRECT("'"&amp;A7&amp;"'"&amp;"!C:C"),"建筑面积",INDIRECT("'"&amp;A7&amp;"'"&amp;"!D:D"))</f>
        <v>#REF!</v>
      </c>
    </row>
    <row r="8" spans="1:5" ht="15.75">
      <c r="A8" s="2903"/>
      <c r="B8" s="2899" t="e">
        <f t="shared" ref="B8:B13" ca="1" si="1">SUMIF(INDIRECT("'"&amp;A8&amp;"'"&amp;"!A:A"),"总价",INDIRECT("'"&amp;A8&amp;"'"&amp;"!B:B"))</f>
        <v>#REF!</v>
      </c>
      <c r="C8" s="2898" t="s">
        <v>2991</v>
      </c>
      <c r="D8" s="2900"/>
      <c r="E8" s="2567" t="e">
        <f t="shared" ca="1" si="0"/>
        <v>#REF!</v>
      </c>
    </row>
    <row r="9" spans="1:5" ht="15.75">
      <c r="A9" s="2903"/>
      <c r="B9" s="2899" t="e">
        <f t="shared" ca="1" si="1"/>
        <v>#REF!</v>
      </c>
      <c r="C9" s="2898" t="s">
        <v>2991</v>
      </c>
      <c r="D9" s="2900"/>
      <c r="E9" s="2567" t="e">
        <f t="shared" ca="1" si="0"/>
        <v>#REF!</v>
      </c>
    </row>
    <row r="10" spans="1:5" ht="15.75">
      <c r="A10" s="2903"/>
      <c r="B10" s="2899" t="e">
        <f t="shared" ca="1" si="1"/>
        <v>#REF!</v>
      </c>
      <c r="C10" s="2898" t="s">
        <v>2991</v>
      </c>
      <c r="D10" s="2900"/>
      <c r="E10" s="2567" t="e">
        <f t="shared" ca="1" si="0"/>
        <v>#REF!</v>
      </c>
    </row>
    <row r="11" spans="1:5" ht="15.75">
      <c r="A11" s="2903"/>
      <c r="B11" s="2899" t="e">
        <f t="shared" ca="1" si="1"/>
        <v>#REF!</v>
      </c>
      <c r="C11" s="2898" t="s">
        <v>2991</v>
      </c>
      <c r="D11" s="2900"/>
      <c r="E11" s="2567" t="e">
        <f t="shared" ca="1" si="0"/>
        <v>#REF!</v>
      </c>
    </row>
    <row r="12" spans="1:5" ht="15.75">
      <c r="A12" s="2903"/>
      <c r="B12" s="2899" t="e">
        <f t="shared" ca="1" si="1"/>
        <v>#REF!</v>
      </c>
      <c r="C12" s="2898" t="s">
        <v>2991</v>
      </c>
      <c r="D12" s="2900"/>
      <c r="E12" s="2567" t="e">
        <f t="shared" ca="1" si="0"/>
        <v>#REF!</v>
      </c>
    </row>
    <row r="13" spans="1:5" ht="15.75">
      <c r="A13" s="2903"/>
      <c r="B13" s="2899" t="e">
        <f t="shared" ca="1" si="1"/>
        <v>#REF!</v>
      </c>
      <c r="C13" s="2898" t="s">
        <v>2991</v>
      </c>
      <c r="D13" s="2900"/>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C28" zoomScale="90" zoomScaleNormal="90" zoomScaleSheetLayoutView="90" workbookViewId="0">
      <selection activeCell="C39" sqref="C39:C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80"/>
      <c r="C1" s="1833" t="s">
        <v>48</v>
      </c>
      <c r="D1" s="1816" t="s">
        <v>70</v>
      </c>
      <c r="E1" s="1817" t="s">
        <v>1385</v>
      </c>
      <c r="F1" s="1279">
        <f ca="1">J53</f>
        <v>36.5</v>
      </c>
      <c r="G1" s="1832">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1514</v>
      </c>
      <c r="B2" s="1840">
        <f ca="1">C40+J29+L46</f>
        <v>12229</v>
      </c>
      <c r="C2" s="1841" t="s">
        <v>1515</v>
      </c>
      <c r="D2" s="1841"/>
      <c r="E2" s="1842"/>
      <c r="F2" s="1843"/>
      <c r="G2" s="1844"/>
      <c r="H2" s="1836"/>
      <c r="I2" s="1836"/>
      <c r="J2" s="1836"/>
      <c r="K2" s="1837"/>
      <c r="L2" s="1836"/>
      <c r="M2" s="1836"/>
    </row>
    <row r="3" spans="1:37" ht="18" customHeight="1" thickBot="1">
      <c r="A3" s="1845" t="s">
        <v>1516</v>
      </c>
      <c r="B3" s="1846">
        <f ca="1">IF(ISERROR(B2*10000/F43),0,ROUND(B2*10000/F43,0))</f>
        <v>15870</v>
      </c>
      <c r="C3" s="1841" t="s">
        <v>1517</v>
      </c>
      <c r="D3" s="1841"/>
      <c r="E3" s="1842"/>
      <c r="F3" s="1843"/>
      <c r="G3" s="1844"/>
      <c r="H3" s="742" t="s">
        <v>1587</v>
      </c>
      <c r="I3" s="1836"/>
      <c r="J3" s="1836"/>
      <c r="K3" s="1837"/>
      <c r="L3" s="1836"/>
      <c r="M3" s="1836"/>
    </row>
    <row r="4" spans="1:37" ht="18" customHeight="1">
      <c r="A4" s="339" t="s">
        <v>1394</v>
      </c>
      <c r="B4" s="340" t="s">
        <v>1395</v>
      </c>
      <c r="C4" s="340" t="s">
        <v>1396</v>
      </c>
      <c r="D4" s="340" t="s">
        <v>1397</v>
      </c>
      <c r="E4" s="341" t="s">
        <v>1398</v>
      </c>
      <c r="F4" s="342"/>
      <c r="G4" s="1847"/>
      <c r="H4" s="339" t="s">
        <v>1394</v>
      </c>
      <c r="I4" s="340" t="s">
        <v>1395</v>
      </c>
      <c r="J4" s="340" t="s">
        <v>1396</v>
      </c>
      <c r="K4" s="340" t="s">
        <v>1397</v>
      </c>
      <c r="L4" s="341" t="s">
        <v>1398</v>
      </c>
      <c r="M4" s="342"/>
    </row>
    <row r="5" spans="1:37" ht="18" customHeight="1">
      <c r="A5" s="343">
        <v>1</v>
      </c>
      <c r="B5" s="344" t="s">
        <v>1399</v>
      </c>
      <c r="C5" s="1288">
        <f ca="1">C6+C10+C12</f>
        <v>575</v>
      </c>
      <c r="D5" s="1818" t="s">
        <v>1400</v>
      </c>
      <c r="E5" s="1289"/>
      <c r="F5" s="1290"/>
      <c r="G5" s="1847"/>
      <c r="H5" s="343">
        <v>1</v>
      </c>
      <c r="I5" s="344" t="s">
        <v>1399</v>
      </c>
      <c r="J5" s="1288">
        <f ca="1">J6+J10+J12</f>
        <v>0</v>
      </c>
      <c r="K5" s="1818" t="s">
        <v>1400</v>
      </c>
      <c r="L5" s="1289"/>
      <c r="M5" s="1290"/>
    </row>
    <row r="6" spans="1:37" ht="18" customHeight="1">
      <c r="A6" s="1287" t="s">
        <v>1035</v>
      </c>
      <c r="B6" s="3301" t="s">
        <v>1401</v>
      </c>
      <c r="C6" s="1292">
        <f ca="1">ROUND(F6*F8*F7*(1-F9)/10000,0)</f>
        <v>575</v>
      </c>
      <c r="D6" s="163" t="s">
        <v>3027</v>
      </c>
      <c r="E6" s="346" t="s">
        <v>1403</v>
      </c>
      <c r="F6" s="347">
        <f ca="1">INDIRECT("'数据-取费表'!u"&amp;$G$1)</f>
        <v>2000</v>
      </c>
      <c r="G6" s="1847"/>
      <c r="H6" s="1287" t="s">
        <v>1035</v>
      </c>
      <c r="I6" s="3301" t="s">
        <v>1401</v>
      </c>
      <c r="J6" s="345">
        <f ca="1">ROUND(M6*M8*M7*(1-M9)/10000,0)</f>
        <v>0</v>
      </c>
      <c r="K6" s="163" t="s">
        <v>3026</v>
      </c>
      <c r="L6" s="346" t="s">
        <v>1403</v>
      </c>
      <c r="M6" s="347">
        <f ca="1">INDIRECT("'数据-取费表'!z"&amp;$G$1)</f>
        <v>0</v>
      </c>
    </row>
    <row r="7" spans="1:37" ht="18" customHeight="1">
      <c r="A7" s="1291"/>
      <c r="B7" s="3302"/>
      <c r="C7" s="1293"/>
      <c r="D7" s="351"/>
      <c r="E7" s="2947" t="s">
        <v>1404</v>
      </c>
      <c r="F7" s="347">
        <f ca="1">IF(INDIRECT("'数据-取费表'!ah"&amp;$G$1)="",INDIRECT("'数据-取费表'!k"&amp;$G$1),INDIRECT("'数据-取费表'!ah"&amp;$G$1))</f>
        <v>252</v>
      </c>
      <c r="G7" s="1847"/>
      <c r="H7" s="348"/>
      <c r="I7" s="3302"/>
      <c r="J7" s="350"/>
      <c r="K7" s="351"/>
      <c r="L7" s="346" t="s">
        <v>1404</v>
      </c>
      <c r="M7" s="347">
        <f ca="1">F7</f>
        <v>252</v>
      </c>
    </row>
    <row r="8" spans="1:37" ht="18" customHeight="1">
      <c r="A8" s="348"/>
      <c r="B8" s="3302"/>
      <c r="C8" s="350"/>
      <c r="D8" s="351"/>
      <c r="E8" s="346" t="s">
        <v>1405</v>
      </c>
      <c r="F8" s="347">
        <f ca="1">INDIRECT("'数据-取费表'!ai"&amp;$G$1)</f>
        <v>12</v>
      </c>
      <c r="G8" s="1847"/>
      <c r="H8" s="348"/>
      <c r="I8" s="3302"/>
      <c r="J8" s="350"/>
      <c r="K8" s="351"/>
      <c r="L8" s="346" t="s">
        <v>1405</v>
      </c>
      <c r="M8" s="347">
        <f ca="1">INDIRECT("'数据-取费表'!ai"&amp;$G$1)</f>
        <v>12</v>
      </c>
    </row>
    <row r="9" spans="1:37" ht="18" customHeight="1">
      <c r="A9" s="348"/>
      <c r="B9" s="3303"/>
      <c r="C9" s="350"/>
      <c r="D9" s="351"/>
      <c r="E9" s="346" t="s">
        <v>1406</v>
      </c>
      <c r="F9" s="356">
        <f ca="1">INDIRECT("'数据-取费表'!w"&amp;$G$1)</f>
        <v>0.05</v>
      </c>
      <c r="G9" s="1847"/>
      <c r="H9" s="348"/>
      <c r="I9" s="3303"/>
      <c r="J9" s="350"/>
      <c r="K9" s="351"/>
      <c r="L9" s="357" t="s">
        <v>1406</v>
      </c>
      <c r="M9" s="358">
        <f ca="1">INDIRECT("'数据-取费表'!ab"&amp;$G$1)</f>
        <v>0</v>
      </c>
    </row>
    <row r="10" spans="1:37" ht="18" customHeight="1">
      <c r="A10" s="1287" t="s">
        <v>1039</v>
      </c>
      <c r="B10" s="1819" t="s">
        <v>1407</v>
      </c>
      <c r="C10" s="360">
        <f ca="1">ROUND(IF(F10="押一",F6*F8*F7/12*F11,IF(F10="押二",F6*F8*F7/12*2*F11,IF(F10="押三",F6*F8*F7/12*3*F11,C11*F11)))/10000,0)</f>
        <v>0</v>
      </c>
      <c r="D10" s="1820" t="s">
        <v>3023</v>
      </c>
      <c r="E10" s="357" t="s">
        <v>1409</v>
      </c>
      <c r="F10" s="1362"/>
      <c r="G10" s="1847"/>
      <c r="H10" s="1287" t="s">
        <v>1039</v>
      </c>
      <c r="I10" s="1819" t="s">
        <v>1407</v>
      </c>
      <c r="J10" s="345">
        <f ca="1">ROUND(IF(M10="押一",M6*M8*M7/12*M11,IF(M10="押二",M6*M8*M7/12*2*M11,IF(M10="押三",M6*M8*M7/12*3*M11,J11*M11)))/10000,0)</f>
        <v>0</v>
      </c>
      <c r="K10" s="1820" t="s">
        <v>3023</v>
      </c>
      <c r="L10" s="357" t="s">
        <v>1409</v>
      </c>
      <c r="M10" s="1362" t="s">
        <v>1410</v>
      </c>
    </row>
    <row r="11" spans="1:37" ht="18" customHeight="1">
      <c r="A11" s="352"/>
      <c r="B11" s="1821" t="s">
        <v>1386</v>
      </c>
      <c r="C11" s="1174"/>
      <c r="D11" s="1822"/>
      <c r="E11" s="357" t="s">
        <v>1411</v>
      </c>
      <c r="F11" s="358">
        <f ca="1">'数据-取费表'!B39</f>
        <v>1.4999999999999999E-2</v>
      </c>
      <c r="G11" s="1847"/>
      <c r="H11" s="1295"/>
      <c r="I11" s="1821" t="s">
        <v>1386</v>
      </c>
      <c r="J11" s="1174"/>
      <c r="K11" s="746"/>
      <c r="L11" s="357"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4">
        <f ca="1">ROUND(C29*F13,0)</f>
        <v>3031</v>
      </c>
      <c r="D13" s="1327" t="s">
        <v>1414</v>
      </c>
      <c r="E13" s="1327" t="s">
        <v>1415</v>
      </c>
      <c r="F13" s="1328">
        <f ca="1">INDIRECT("'数据-取费表'!y"&amp;$G$1)</f>
        <v>0.86499999999999999</v>
      </c>
      <c r="G13" s="1847"/>
      <c r="H13" s="1325">
        <v>2</v>
      </c>
      <c r="I13" s="1326" t="s">
        <v>1413</v>
      </c>
      <c r="J13" s="1286">
        <f ca="1">ROUND(J14*J15,0)</f>
        <v>0</v>
      </c>
      <c r="K13" s="1333" t="s">
        <v>1414</v>
      </c>
      <c r="L13" s="1848"/>
      <c r="M13" s="1849"/>
    </row>
    <row r="14" spans="1:37" ht="18" customHeight="1">
      <c r="A14" s="1197" t="s">
        <v>1034</v>
      </c>
      <c r="B14" s="346" t="s">
        <v>1416</v>
      </c>
      <c r="C14" s="362">
        <f ca="1">INDIRECT("'数据-取费表'!m"&amp;$G$1)+INDIRECT("'数据-取费表'!t"&amp;$G$1)</f>
        <v>2488</v>
      </c>
      <c r="D14" s="2956" t="s">
        <v>1417</v>
      </c>
      <c r="E14" s="2955"/>
      <c r="F14" s="363"/>
      <c r="G14" s="1847"/>
      <c r="H14" s="1197" t="s">
        <v>1035</v>
      </c>
      <c r="I14" s="346" t="s">
        <v>1418</v>
      </c>
      <c r="J14" s="24">
        <f ca="1">C29</f>
        <v>3504</v>
      </c>
      <c r="K14" s="2946"/>
      <c r="L14" s="975"/>
      <c r="M14" s="976"/>
    </row>
    <row r="15" spans="1:37" s="1854" customFormat="1" ht="18" customHeight="1" thickBot="1">
      <c r="A15" s="1197" t="s">
        <v>1036</v>
      </c>
      <c r="B15" s="346" t="s">
        <v>1419</v>
      </c>
      <c r="C15" s="24">
        <f ca="1">ROUND(C14*F15,0)</f>
        <v>75</v>
      </c>
      <c r="D15" s="364" t="s">
        <v>1420</v>
      </c>
      <c r="E15" s="364" t="s">
        <v>1421</v>
      </c>
      <c r="F15" s="365">
        <f>'数据-取费表'!B33</f>
        <v>0.03</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6" t="s">
        <v>1422</v>
      </c>
      <c r="C16" s="24">
        <f ca="1">ROUND(INDIRECT("'数据-取费表'!m"&amp;$G$1)*F16,0)</f>
        <v>0</v>
      </c>
      <c r="D16" s="346" t="s">
        <v>1420</v>
      </c>
      <c r="E16" s="346" t="s">
        <v>1421</v>
      </c>
      <c r="F16" s="366">
        <f ca="1">IF(INDIRECT("'数据-取费表'!c"&amp;$G$1)="住宅",'数据-取费表'!B34,0)</f>
        <v>0</v>
      </c>
      <c r="G16" s="1847"/>
      <c r="H16" s="1325" t="s">
        <v>1030</v>
      </c>
      <c r="I16" s="1326" t="s">
        <v>1423</v>
      </c>
      <c r="J16" s="354">
        <f ca="1">ROUND(J17+J22+J23+J24,0)</f>
        <v>85</v>
      </c>
      <c r="K16" s="1333" t="s">
        <v>1424</v>
      </c>
      <c r="L16" s="2959"/>
      <c r="M16" s="1290"/>
    </row>
    <row r="17" spans="1:37" s="1854" customFormat="1" ht="18" customHeight="1">
      <c r="A17" s="1197" t="s">
        <v>1388</v>
      </c>
      <c r="B17" s="346" t="s">
        <v>1425</v>
      </c>
      <c r="C17" s="24">
        <f ca="1">ROUND(F17*(F43+INDIRECT("'数据-取费表'!S"&amp;$G$1))/10000,0)</f>
        <v>166</v>
      </c>
      <c r="D17" s="346" t="s">
        <v>1426</v>
      </c>
      <c r="E17" s="346" t="s">
        <v>1427</v>
      </c>
      <c r="F17" s="26">
        <f>'数据-取费表'!B35</f>
        <v>200</v>
      </c>
      <c r="G17" s="1850"/>
      <c r="H17" s="1197" t="s">
        <v>1035</v>
      </c>
      <c r="I17" s="346" t="s">
        <v>1428</v>
      </c>
      <c r="J17" s="24">
        <f ca="1">ROUND(IF(项目基本情况!B11="自然人",J5*M17,J18+J19+J20),1)</f>
        <v>32.6</v>
      </c>
      <c r="K17" s="2956" t="s">
        <v>1429</v>
      </c>
      <c r="L17" s="2958"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6" t="s">
        <v>1431</v>
      </c>
      <c r="C18" s="24">
        <f ca="1">ROUND(C14*F18,0)</f>
        <v>37</v>
      </c>
      <c r="D18" s="346" t="s">
        <v>1420</v>
      </c>
      <c r="E18" s="346" t="s">
        <v>1421</v>
      </c>
      <c r="F18" s="366">
        <f>'数据-取费表'!B36</f>
        <v>1.4999999999999999E-2</v>
      </c>
      <c r="G18" s="1850"/>
      <c r="H18" s="1197" t="s">
        <v>1034</v>
      </c>
      <c r="I18" s="346" t="s">
        <v>1432</v>
      </c>
      <c r="J18" s="24">
        <f ca="1">ROUND(J5*M18/(1+'数据-取费表'!C42),2)</f>
        <v>0</v>
      </c>
      <c r="K18" s="2958"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1434</v>
      </c>
      <c r="C19" s="24">
        <f ca="1">SUM(C14:C18)</f>
        <v>2766</v>
      </c>
      <c r="D19" s="139" t="s">
        <v>1435</v>
      </c>
      <c r="E19" s="2944"/>
      <c r="F19" s="26"/>
      <c r="G19" s="1847"/>
      <c r="H19" s="1197" t="s">
        <v>1036</v>
      </c>
      <c r="I19" s="346" t="s">
        <v>1436</v>
      </c>
      <c r="J19" s="24">
        <f ca="1">IF(K19="按租金收入计税",ROUND(J5*M19,2),ROUND(C29*M19*0.7,2))</f>
        <v>29.43</v>
      </c>
      <c r="K19" s="1824" t="s">
        <v>1437</v>
      </c>
      <c r="L19" s="346" t="s">
        <v>1421</v>
      </c>
      <c r="M19" s="366">
        <f>IF(K19="按租金收入计税",'数据-取费表'!B51,'数据-取费表'!B50)</f>
        <v>1.2E-2</v>
      </c>
    </row>
    <row r="20" spans="1:37" s="1854" customFormat="1" ht="18" customHeight="1">
      <c r="A20" s="1197" t="s">
        <v>1039</v>
      </c>
      <c r="B20" s="346" t="s">
        <v>1438</v>
      </c>
      <c r="C20" s="24">
        <f ca="1">ROUND(C19*F20,0)</f>
        <v>55</v>
      </c>
      <c r="D20" s="368" t="s">
        <v>1439</v>
      </c>
      <c r="E20" s="346" t="s">
        <v>1421</v>
      </c>
      <c r="F20" s="366">
        <f>'数据-取费表'!B37</f>
        <v>0.02</v>
      </c>
      <c r="G20" s="1850"/>
      <c r="H20" s="1197" t="s">
        <v>1387</v>
      </c>
      <c r="I20" s="163" t="s">
        <v>1440</v>
      </c>
      <c r="J20" s="25">
        <f ca="1">ROUND(M20*M21/10000,2)</f>
        <v>3.21</v>
      </c>
      <c r="K20" s="369" t="s">
        <v>1441</v>
      </c>
      <c r="L20" s="346" t="s">
        <v>1442</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1443</v>
      </c>
      <c r="C21" s="24" t="s">
        <v>18</v>
      </c>
      <c r="D21" s="368" t="s">
        <v>1444</v>
      </c>
      <c r="E21" s="346" t="s">
        <v>1445</v>
      </c>
      <c r="F21" s="366">
        <f>'数据-取费表'!B38</f>
        <v>0.02</v>
      </c>
      <c r="G21" s="1850"/>
      <c r="H21" s="371"/>
      <c r="I21" s="355"/>
      <c r="J21" s="29"/>
      <c r="K21" s="372"/>
      <c r="L21" s="346" t="s">
        <v>1446</v>
      </c>
      <c r="M21" s="347">
        <f ca="1">INDIRECT("'数据-取费表'!r"&amp;$G$1)</f>
        <v>1335.98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6" t="s">
        <v>1447</v>
      </c>
      <c r="C22" s="24"/>
      <c r="D22" s="139" t="str">
        <f>IF(F23&lt;=1,"单利计息。","复利计息。")&amp;"建造成本、管理费用、销售费用产生的利息。"</f>
        <v>复利计息。建造成本、管理费用、销售费用产生的利息。</v>
      </c>
      <c r="E22" s="2944"/>
      <c r="F22" s="26"/>
      <c r="G22" s="1847"/>
      <c r="H22" s="1197" t="s">
        <v>1039</v>
      </c>
      <c r="I22" s="346" t="s">
        <v>1448</v>
      </c>
      <c r="J22" s="24">
        <f ca="1">ROUND(J14*M22,1)</f>
        <v>52.6</v>
      </c>
      <c r="K22" s="2958" t="s">
        <v>1449</v>
      </c>
      <c r="L22" s="346" t="s">
        <v>1421</v>
      </c>
      <c r="M22" s="373">
        <f ca="1">INDIRECT("'数据-取费表'!Ak"&amp;$G$1)</f>
        <v>1.4999999999999999E-2</v>
      </c>
    </row>
    <row r="23" spans="1:37" s="1854" customFormat="1" ht="18" customHeight="1">
      <c r="A23" s="1197" t="s">
        <v>1034</v>
      </c>
      <c r="B23" s="346" t="s">
        <v>1450</v>
      </c>
      <c r="C23" s="24">
        <f ca="1">IF('数据-取费表'!B22&lt;=1,ROUND(C19*F24*F23/2,0)+ROUND(C20*F24*F23/2,0),ROUND(C19*(POWER((1+F24),F23/2)-1),0)+ROUND(C20*(POWER((1+F24),F23/2)-1),0))</f>
        <v>134</v>
      </c>
      <c r="D23" s="374" t="str">
        <f>IF(F23&lt;=1,"(建造成本+管理费用)×利率×(建设周期÷2)","(建造成本+管理费用)×((1+利率)^(建设周期÷2)-1)")</f>
        <v>(建造成本+管理费用)×((1+利率)^(建设周期÷2)-1)</v>
      </c>
      <c r="E23" s="346" t="s">
        <v>1451</v>
      </c>
      <c r="F23" s="370">
        <f>'数据-取费表'!B20</f>
        <v>2</v>
      </c>
      <c r="G23" s="1850"/>
      <c r="H23" s="1197" t="s">
        <v>1075</v>
      </c>
      <c r="I23" s="346" t="s">
        <v>1452</v>
      </c>
      <c r="J23" s="24">
        <f ca="1">ROUND(J13*M23,1)</f>
        <v>0</v>
      </c>
      <c r="K23" s="2958" t="s">
        <v>1453</v>
      </c>
      <c r="L23" s="346" t="s">
        <v>1421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2944"/>
      <c r="F25" s="26"/>
      <c r="G25" s="1847"/>
      <c r="H25" s="1325" t="s">
        <v>1031</v>
      </c>
      <c r="I25" s="1340" t="s">
        <v>1462</v>
      </c>
      <c r="J25" s="354">
        <f ca="1">J5-J16</f>
        <v>-85</v>
      </c>
      <c r="K25" s="1341" t="s">
        <v>1463</v>
      </c>
      <c r="L25" s="1342"/>
      <c r="M25" s="1343"/>
    </row>
    <row r="26" spans="1:37">
      <c r="A26" s="1197" t="s">
        <v>1034</v>
      </c>
      <c r="B26" s="346" t="s">
        <v>1464</v>
      </c>
      <c r="C26" s="24">
        <f ca="1">ROUND((C19+C20)*F26,0)</f>
        <v>282</v>
      </c>
      <c r="D26" s="368" t="s">
        <v>1465</v>
      </c>
      <c r="E26" s="357" t="s">
        <v>1466</v>
      </c>
      <c r="F26" s="356">
        <f ca="1">INDIRECT("'数据-取费表'!q"&amp;$G$1)</f>
        <v>0.1</v>
      </c>
      <c r="G26" s="1847"/>
      <c r="H26" s="343" t="s">
        <v>1032</v>
      </c>
      <c r="I26" s="344" t="s">
        <v>1467</v>
      </c>
      <c r="J26" s="345">
        <f ca="1">IF(J5&lt;&gt;0,ROUND(J25*(1-((1+M28)/(1+M26))^M27)/(M26-M28),0),0)</f>
        <v>0</v>
      </c>
      <c r="K26" s="369" t="s">
        <v>1468</v>
      </c>
      <c r="L26" s="346" t="s">
        <v>1469</v>
      </c>
      <c r="M26" s="356">
        <f ca="1">INDIRECT("'数据-取费表'!I"&amp;$G$1)</f>
        <v>0.05</v>
      </c>
    </row>
    <row r="27" spans="1:37" ht="18" customHeight="1">
      <c r="A27" s="1197" t="s">
        <v>1036</v>
      </c>
      <c r="B27" s="346" t="s">
        <v>1470</v>
      </c>
      <c r="C27" s="24">
        <f ca="1">ROUND(F21*F26,4)</f>
        <v>2E-3</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3504</v>
      </c>
      <c r="D29" s="1338"/>
      <c r="E29" s="1336"/>
      <c r="F29" s="1339"/>
      <c r="G29" s="1850"/>
      <c r="H29" s="379" t="s">
        <v>1033</v>
      </c>
      <c r="I29" s="380" t="s">
        <v>1478</v>
      </c>
      <c r="J29" s="381">
        <f ca="1">ROUND(J26/(1+F40)^F41,0)</f>
        <v>0</v>
      </c>
      <c r="K29" s="382" t="s">
        <v>1479</v>
      </c>
      <c r="L29" s="383"/>
      <c r="M29" s="384">
        <f ca="1">INDIRECT("'数据-取费表'!k"&amp;$G$1)</f>
        <v>7705.92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4">
        <f ca="1">ROUND(C31+C36+C37+C38,0)</f>
        <v>126</v>
      </c>
      <c r="D30" s="1333" t="s">
        <v>1424</v>
      </c>
      <c r="E30" s="2959"/>
      <c r="F30" s="1290"/>
      <c r="G30" s="1847"/>
      <c r="H30" s="743"/>
      <c r="I30" s="744"/>
      <c r="J30" s="745"/>
      <c r="K30" s="746"/>
      <c r="L30" s="747"/>
      <c r="M30" s="748"/>
    </row>
    <row r="31" spans="1:37" ht="18" customHeight="1">
      <c r="A31" s="1197" t="s">
        <v>1035</v>
      </c>
      <c r="B31" s="346" t="s">
        <v>1428</v>
      </c>
      <c r="C31" s="24">
        <f ca="1">ROUND(IF(项目基本情况!B11="自然人",C5*F31,C32+C33+C34),1)</f>
        <v>63.3</v>
      </c>
      <c r="D31" s="2956" t="s">
        <v>1429</v>
      </c>
      <c r="E31" s="2958" t="s">
        <v>1480</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6" t="s">
        <v>1432</v>
      </c>
      <c r="C32" s="24">
        <f ca="1">IF(项目基本情况!B11="自然人","——",ROUND(C5*F32/(1+'数据-取费表'!C42),2))</f>
        <v>30.67</v>
      </c>
      <c r="D32" s="2958" t="s">
        <v>1433</v>
      </c>
      <c r="E32" s="346" t="s">
        <v>1421</v>
      </c>
      <c r="F32" s="376">
        <f>'数据-取费表'!B41</f>
        <v>5.6000000000000001E-2</v>
      </c>
      <c r="G32" s="1847"/>
      <c r="H32" s="743"/>
      <c r="I32" s="744"/>
      <c r="J32" s="745"/>
      <c r="K32" s="746"/>
      <c r="L32" s="747"/>
      <c r="M32" s="748"/>
    </row>
    <row r="33" spans="1:18" ht="18" customHeight="1">
      <c r="A33" s="1197" t="s">
        <v>1036</v>
      </c>
      <c r="B33" s="346" t="s">
        <v>1436</v>
      </c>
      <c r="C33" s="24">
        <f ca="1">IF(项目基本情况!B11="自然人","——",IF(D33="按租金收入计税",ROUND(C5*F33,2),IF(D33="按房产原值计税",ROUND(C29*F33*0.7,2),INDIRECT("'数据-取费表'!Aj"&amp;$G$1))))</f>
        <v>29.43</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1387</v>
      </c>
      <c r="B34" s="163" t="s">
        <v>1440</v>
      </c>
      <c r="C34" s="25">
        <f ca="1">IF(项目基本情况!B11="自然人","——",ROUND(F34*F35/10000,2))</f>
        <v>3.21</v>
      </c>
      <c r="D34" s="369" t="s">
        <v>1441</v>
      </c>
      <c r="E34" s="346" t="s">
        <v>1442</v>
      </c>
      <c r="F34" s="370">
        <f>'数据-取费表'!B52</f>
        <v>24</v>
      </c>
      <c r="G34" s="1847"/>
      <c r="H34" s="743"/>
      <c r="I34" s="1856"/>
      <c r="J34" s="1857"/>
      <c r="K34" s="1859"/>
      <c r="L34" s="1860"/>
      <c r="M34" s="1860"/>
    </row>
    <row r="35" spans="1:18" ht="18" customHeight="1">
      <c r="A35" s="1349"/>
      <c r="B35" s="1347"/>
      <c r="C35" s="29"/>
      <c r="D35" s="372"/>
      <c r="E35" s="346" t="s">
        <v>1446</v>
      </c>
      <c r="F35" s="347">
        <f ca="1">INDIRECT("'数据-取费表'!r"&amp;$G$1)</f>
        <v>1335.98</v>
      </c>
      <c r="G35" s="1847"/>
      <c r="H35" s="743"/>
      <c r="I35" s="1856"/>
      <c r="J35" s="1857"/>
      <c r="K35" s="1858"/>
      <c r="L35" s="1855"/>
      <c r="M35" s="1855"/>
    </row>
    <row r="36" spans="1:18" ht="18" customHeight="1">
      <c r="A36" s="1348" t="s">
        <v>1039</v>
      </c>
      <c r="B36" s="346" t="s">
        <v>1448</v>
      </c>
      <c r="C36" s="24">
        <f ca="1">ROUND(C29*F36,1)</f>
        <v>52.6</v>
      </c>
      <c r="D36" s="2958" t="s">
        <v>1481</v>
      </c>
      <c r="E36" s="346" t="s">
        <v>1421</v>
      </c>
      <c r="F36" s="373">
        <f ca="1">INDIRECT("'数据-取费表'!Ak"&amp;$G$1)</f>
        <v>1.4999999999999999E-2</v>
      </c>
      <c r="G36" s="1847"/>
      <c r="H36" s="1855"/>
      <c r="I36" s="1856"/>
      <c r="J36" s="1857"/>
      <c r="K36" s="749"/>
      <c r="L36" s="1855"/>
      <c r="M36" s="1855"/>
    </row>
    <row r="37" spans="1:18" ht="18" customHeight="1">
      <c r="A37" s="1197" t="s">
        <v>1075</v>
      </c>
      <c r="B37" s="346" t="s">
        <v>1452</v>
      </c>
      <c r="C37" s="24">
        <f ca="1">ROUND(C13*F37,1)</f>
        <v>4.5</v>
      </c>
      <c r="D37" s="2958" t="s">
        <v>1453</v>
      </c>
      <c r="E37" s="346" t="s">
        <v>1421</v>
      </c>
      <c r="F37" s="375">
        <f ca="1">INDIRECT("'数据-取费表'!Al"&amp;$G$1)</f>
        <v>1.5E-3</v>
      </c>
      <c r="G37" s="1847"/>
      <c r="H37" s="1855"/>
      <c r="I37" s="1856"/>
      <c r="J37" s="1857"/>
      <c r="K37" s="749"/>
      <c r="L37" s="1855"/>
      <c r="M37" s="1855"/>
    </row>
    <row r="38" spans="1:18" ht="18" customHeight="1" thickBot="1">
      <c r="A38" s="1335" t="s">
        <v>1390</v>
      </c>
      <c r="B38" s="1336" t="s">
        <v>1438</v>
      </c>
      <c r="C38" s="1337">
        <f ca="1">ROUND(C5*F38,1)</f>
        <v>5.8</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4">
        <f ca="1">C5-C30</f>
        <v>449</v>
      </c>
      <c r="D39" s="1341" t="s">
        <v>1463</v>
      </c>
      <c r="E39" s="1342"/>
      <c r="F39" s="1343"/>
      <c r="G39" s="1847"/>
      <c r="H39" s="1855"/>
      <c r="I39" s="1856"/>
      <c r="J39" s="1857"/>
      <c r="K39" s="1861"/>
      <c r="L39" s="1855"/>
      <c r="M39" s="1855"/>
    </row>
    <row r="40" spans="1:18" ht="18" customHeight="1">
      <c r="A40" s="343" t="s">
        <v>1032</v>
      </c>
      <c r="B40" s="344" t="s">
        <v>1484</v>
      </c>
      <c r="C40" s="345">
        <f ca="1">ROUND(C39*(1-((1+F42)/(1+F40))^F41)/(F40-F42),0)</f>
        <v>12229</v>
      </c>
      <c r="D40" s="369" t="s">
        <v>1468</v>
      </c>
      <c r="E40" s="346" t="s">
        <v>1469</v>
      </c>
      <c r="F40" s="356">
        <f ca="1">INDIRECT("'数据-取费表'!I"&amp;$G$1)</f>
        <v>0.05</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36.5</v>
      </c>
      <c r="G41" s="1847"/>
      <c r="H41" s="730"/>
      <c r="I41" s="1856"/>
      <c r="J41" s="1857"/>
      <c r="K41" s="749"/>
      <c r="L41" s="730"/>
      <c r="M41" s="730"/>
    </row>
    <row r="42" spans="1:18" ht="18" customHeight="1">
      <c r="A42" s="352"/>
      <c r="B42" s="353"/>
      <c r="C42" s="354"/>
      <c r="D42" s="372"/>
      <c r="E42" s="346" t="s">
        <v>1476</v>
      </c>
      <c r="F42" s="356">
        <f ca="1">INDIRECT("'数据-取费表'!v"&amp;$G$1)</f>
        <v>3.5000000000000003E-2</v>
      </c>
      <c r="G42" s="1847"/>
      <c r="H42" s="730"/>
      <c r="I42" s="1856"/>
      <c r="J42" s="1857"/>
      <c r="K42" s="749"/>
      <c r="L42" s="730"/>
      <c r="M42" s="730"/>
    </row>
    <row r="43" spans="1:18" ht="18" customHeight="1" thickBot="1">
      <c r="A43" s="379" t="s">
        <v>1033</v>
      </c>
      <c r="B43" s="380" t="s">
        <v>1486</v>
      </c>
      <c r="C43" s="381">
        <f ca="1">ROUND(C40*10000/F43,0)</f>
        <v>15870</v>
      </c>
      <c r="D43" s="382" t="s">
        <v>1487</v>
      </c>
      <c r="E43" s="383" t="s">
        <v>1488</v>
      </c>
      <c r="F43" s="384">
        <f ca="1">INDIRECT("'数据-取费表'!k"&amp;$G$1)</f>
        <v>7705.92</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1518</v>
      </c>
      <c r="P45" s="1835"/>
      <c r="Q45" s="1835"/>
      <c r="R45" s="1835"/>
    </row>
    <row r="46" spans="1:18" s="1838" customFormat="1" ht="13.5" thickBot="1">
      <c r="A46" s="1866" t="s">
        <v>1519</v>
      </c>
      <c r="C46" s="1867">
        <f ca="1">C68-C40</f>
        <v>-13726</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0"/>
      <c r="I47" s="1876" t="s">
        <v>1525</v>
      </c>
      <c r="J47" s="1877" t="s">
        <v>3089</v>
      </c>
      <c r="K47" s="1878" t="s">
        <v>1526</v>
      </c>
      <c r="L47" s="1879">
        <f ca="1">INDIRECT("'数据-取费表'!d"&amp;$G$1)</f>
        <v>50</v>
      </c>
      <c r="M47" s="1834" t="str">
        <f>IF(ISNUMBER(FIND("住宅",C1)),"住宅","非住宅")</f>
        <v>非住宅</v>
      </c>
      <c r="O47" s="1880" t="s">
        <v>1040</v>
      </c>
      <c r="P47" s="1881" t="s">
        <v>1527</v>
      </c>
      <c r="Q47" s="1882">
        <f ca="1">C40+J29</f>
        <v>12229</v>
      </c>
      <c r="R47" s="1882" t="s">
        <v>1528</v>
      </c>
    </row>
    <row r="48" spans="1:18" s="1838" customFormat="1" ht="28.5" thickBot="1">
      <c r="A48" s="1356" t="s">
        <v>1135</v>
      </c>
      <c r="B48" s="344" t="s">
        <v>1399</v>
      </c>
      <c r="C48" s="2943">
        <f ca="1">C49+C53+C55</f>
        <v>0</v>
      </c>
      <c r="D48" s="1358"/>
      <c r="E48" s="1359"/>
      <c r="F48" s="1177"/>
      <c r="G48" s="790"/>
      <c r="H48" s="791"/>
      <c r="I48" s="1883" t="s">
        <v>1529</v>
      </c>
      <c r="J48" s="1884" t="s">
        <v>3090</v>
      </c>
      <c r="K48" s="1885" t="s">
        <v>1530</v>
      </c>
      <c r="L48" s="1886">
        <f ca="1">INDIRECT("'数据-取费表'!f"&amp;$G$1)</f>
        <v>36.5</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3026</v>
      </c>
      <c r="E49" s="1826" t="s">
        <v>1490</v>
      </c>
      <c r="F49" s="1277"/>
      <c r="G49" s="1887"/>
      <c r="H49" s="791"/>
      <c r="I49" s="1883" t="s">
        <v>1533</v>
      </c>
      <c r="J49" s="1888">
        <v>2008</v>
      </c>
      <c r="K49" s="1885" t="s">
        <v>1534</v>
      </c>
      <c r="L49" s="1889"/>
      <c r="O49" s="1890" t="s">
        <v>1042</v>
      </c>
      <c r="P49" s="1881" t="s">
        <v>1535</v>
      </c>
      <c r="Q49" s="1882">
        <f ca="1">C29</f>
        <v>3504</v>
      </c>
      <c r="R49" s="1882" t="s">
        <v>1528</v>
      </c>
    </row>
    <row r="50" spans="1:18" s="1838" customFormat="1" ht="13.5" thickBot="1">
      <c r="A50" s="1191"/>
      <c r="B50" s="1194"/>
      <c r="C50" s="1364"/>
      <c r="D50" s="1168"/>
      <c r="E50" s="1273" t="s">
        <v>1404</v>
      </c>
      <c r="F50" s="1274">
        <f ca="1">F7</f>
        <v>252</v>
      </c>
      <c r="H50" s="791"/>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7">
        <f ca="1">F8</f>
        <v>12</v>
      </c>
      <c r="I51" s="1894" t="s">
        <v>1539</v>
      </c>
      <c r="J51" s="1895">
        <f>IF(J49="",J50,J49+J50-YEAR('数据-取费表'!B2))</f>
        <v>50</v>
      </c>
      <c r="K51" s="1896" t="s">
        <v>1540</v>
      </c>
      <c r="L51" s="1897">
        <f ca="1">ROUND(-PV(INDIRECT("'数据-取费表'!h"&amp;$G$1),L48,(C39-C13*C76),0),0)</f>
        <v>3400</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36.5</v>
      </c>
      <c r="R52" s="1882" t="s">
        <v>1545</v>
      </c>
    </row>
    <row r="53" spans="1:18" s="1838" customFormat="1" ht="24.75" thickBot="1">
      <c r="A53" s="1401" t="s">
        <v>1137</v>
      </c>
      <c r="B53" s="1827" t="s">
        <v>1407</v>
      </c>
      <c r="C53" s="360">
        <f ca="1">ROUND(IF(F53="押一",F49*F51*F50/12*F11,IF(F53="押二",F49*F51*F50/12*2*F11,IF(F53="押三",F49*F51*F50/12*3*F11,C54*F11)))/10000,0)</f>
        <v>0</v>
      </c>
      <c r="D53" s="1820" t="s">
        <v>3023</v>
      </c>
      <c r="E53" s="357" t="s">
        <v>1409</v>
      </c>
      <c r="F53" s="1362"/>
      <c r="I53" s="1901" t="s">
        <v>1546</v>
      </c>
      <c r="J53" s="1902">
        <f ca="1">IF(M47="住宅",J51,IF(D1="——",MIN(J51,L48),IF(D1="在建（套用方法）",MIN(J51,L48-'数据-取费表'!B24),IF(D1="土地（套用方法）",MIN(J51,L48-'数据-取费表'!B20)))))</f>
        <v>36.5</v>
      </c>
      <c r="K53" s="3299" t="s">
        <v>1547</v>
      </c>
      <c r="L53" s="3300"/>
      <c r="O53" s="1880" t="s">
        <v>1046</v>
      </c>
      <c r="P53" s="1881" t="s">
        <v>1548</v>
      </c>
      <c r="Q53" s="1882">
        <f ca="1">Q47+Q48</f>
        <v>12229</v>
      </c>
      <c r="R53" s="1882" t="s">
        <v>1047</v>
      </c>
    </row>
    <row r="54" spans="1:18" s="1838" customFormat="1" ht="13.5" thickBot="1">
      <c r="A54" s="1402"/>
      <c r="B54" s="1821" t="s">
        <v>1386</v>
      </c>
      <c r="C54" s="1174"/>
      <c r="D54" s="1820"/>
      <c r="E54" s="294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48"/>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5">
        <f ca="1">C13</f>
        <v>3031</v>
      </c>
      <c r="D56" s="1910"/>
      <c r="E56" s="1911"/>
      <c r="F56" s="1903"/>
      <c r="I56" s="1912" t="s">
        <v>1553</v>
      </c>
      <c r="J56" s="1913" t="s">
        <v>3051</v>
      </c>
      <c r="K56" s="1883" t="s">
        <v>1554</v>
      </c>
      <c r="L56" s="1886" t="str">
        <f ca="1">IF(L48&lt;J51,"——",L48-J53)</f>
        <v>——</v>
      </c>
      <c r="O56" s="1880" t="s">
        <v>1040</v>
      </c>
      <c r="P56" s="1881" t="s">
        <v>1527</v>
      </c>
      <c r="Q56" s="1882">
        <f ca="1">C40+J29</f>
        <v>12229</v>
      </c>
      <c r="R56" s="1882" t="s">
        <v>1528</v>
      </c>
    </row>
    <row r="57" spans="1:18" s="1838" customFormat="1" ht="24.75" thickBot="1">
      <c r="A57" s="1914"/>
      <c r="B57" s="1165" t="s">
        <v>1477</v>
      </c>
      <c r="C57" s="281">
        <f ca="1">C29</f>
        <v>3504</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59" t="s">
        <v>1030</v>
      </c>
      <c r="B58" s="1173" t="s">
        <v>1423</v>
      </c>
      <c r="C58" s="360">
        <f ca="1">ROUND(C59+C64+C65+C66,0)</f>
        <v>90</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32.6</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6">
        <f t="shared" ref="F60:F66" si="0">F32</f>
        <v>5.6000000000000001E-2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29.43</v>
      </c>
      <c r="D61" s="1824" t="s">
        <v>1437</v>
      </c>
      <c r="E61" s="1165" t="s">
        <v>1421</v>
      </c>
      <c r="F61" s="366">
        <f t="shared" si="0"/>
        <v>1.2E-2</v>
      </c>
      <c r="I61" s="1924"/>
      <c r="J61" s="1924"/>
      <c r="K61" s="1924"/>
      <c r="L61" s="1924"/>
      <c r="O61" s="1890" t="s">
        <v>1045</v>
      </c>
      <c r="P61" s="1881" t="str">
        <f>K59</f>
        <v>建筑物剩余耐用年限下的土地年期修正系数Kn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3.21</v>
      </c>
      <c r="D62" s="1180" t="s">
        <v>1441</v>
      </c>
      <c r="E62" s="1165" t="s">
        <v>1442</v>
      </c>
      <c r="F62" s="370">
        <f t="shared" si="0"/>
        <v>24</v>
      </c>
      <c r="I62" s="1925" t="s">
        <v>1569</v>
      </c>
      <c r="J62" s="1926" t="s">
        <v>1570</v>
      </c>
      <c r="K62" s="1926" t="s">
        <v>1571</v>
      </c>
      <c r="L62" s="1926" t="s">
        <v>1572</v>
      </c>
      <c r="M62" s="1927" t="s">
        <v>1573</v>
      </c>
      <c r="O62" s="1880" t="s">
        <v>1046</v>
      </c>
      <c r="P62" s="1881" t="s">
        <v>1548</v>
      </c>
      <c r="Q62" s="1882">
        <f ca="1">Q56+Q57</f>
        <v>12229</v>
      </c>
      <c r="R62" s="1882" t="s">
        <v>1047</v>
      </c>
    </row>
    <row r="63" spans="1:18" s="1838" customFormat="1" ht="13.5" thickBot="1">
      <c r="A63" s="371"/>
      <c r="B63" s="1171"/>
      <c r="C63" s="29"/>
      <c r="D63" s="1181"/>
      <c r="E63" s="1165" t="s">
        <v>1446</v>
      </c>
      <c r="F63" s="347">
        <f t="shared" ca="1" si="0"/>
        <v>1335.98</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52.6</v>
      </c>
      <c r="D64" s="1179" t="s">
        <v>1481</v>
      </c>
      <c r="E64" s="1165" t="s">
        <v>1421</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4.5</v>
      </c>
      <c r="D65" s="1179" t="s">
        <v>1453</v>
      </c>
      <c r="E65" s="1165" t="s">
        <v>1421</v>
      </c>
      <c r="F65" s="375">
        <f t="shared" ca="1" si="0"/>
        <v>1.5E-3</v>
      </c>
      <c r="I65" s="1925" t="s">
        <v>1578</v>
      </c>
      <c r="J65" s="1926">
        <v>40</v>
      </c>
      <c r="K65" s="1926">
        <v>30</v>
      </c>
      <c r="L65" s="1926">
        <v>50</v>
      </c>
      <c r="M65" s="1928">
        <v>0.02</v>
      </c>
      <c r="O65" s="1880" t="s">
        <v>1040</v>
      </c>
      <c r="P65" s="1881" t="s">
        <v>1527</v>
      </c>
      <c r="Q65" s="1882">
        <f ca="1">C40+J29</f>
        <v>12229</v>
      </c>
      <c r="R65" s="1882" t="s">
        <v>1528</v>
      </c>
    </row>
    <row r="66" spans="1:18" s="1838" customFormat="1" ht="16.5" thickBot="1">
      <c r="A66" s="1197" t="s">
        <v>1503</v>
      </c>
      <c r="B66" s="1165" t="s">
        <v>1438</v>
      </c>
      <c r="C66" s="24">
        <f ca="1">ROUND(C48*F66,1)</f>
        <v>0</v>
      </c>
      <c r="D66" s="1179" t="s">
        <v>1458</v>
      </c>
      <c r="E66" s="1165" t="s">
        <v>1421</v>
      </c>
      <c r="F66" s="356">
        <f t="shared" ca="1" si="0"/>
        <v>0.01</v>
      </c>
      <c r="O66" s="1880" t="s">
        <v>1041</v>
      </c>
      <c r="P66" s="1881" t="s">
        <v>1557</v>
      </c>
      <c r="Q66" s="1882">
        <f ca="1">L60</f>
        <v>0</v>
      </c>
      <c r="R66" s="1882" t="s">
        <v>1580</v>
      </c>
    </row>
    <row r="67" spans="1:18" s="1838" customFormat="1" ht="16.5" thickBot="1">
      <c r="A67" s="1172" t="s">
        <v>1031</v>
      </c>
      <c r="B67" s="1182" t="s">
        <v>1462</v>
      </c>
      <c r="C67" s="360">
        <f ca="1">C48-C58</f>
        <v>-90</v>
      </c>
      <c r="D67" s="1178" t="s">
        <v>1463</v>
      </c>
      <c r="E67" s="1183"/>
      <c r="F67" s="1184"/>
      <c r="O67" s="1890" t="s">
        <v>1042</v>
      </c>
      <c r="P67" s="1881" t="s">
        <v>1561</v>
      </c>
      <c r="Q67" s="1929">
        <f ca="1">L51</f>
        <v>3400</v>
      </c>
      <c r="R67" s="1882" t="s">
        <v>1581</v>
      </c>
    </row>
    <row r="68" spans="1:18" s="1838" customFormat="1" ht="16.5" thickBot="1">
      <c r="A68" s="1162" t="s">
        <v>1032</v>
      </c>
      <c r="B68" s="1163" t="s">
        <v>1484</v>
      </c>
      <c r="C68" s="345">
        <f ca="1">ROUND(C67*(1-((1+F70)/(1+F68))^F69)/(F68-F70),0)</f>
        <v>-1497</v>
      </c>
      <c r="D68" s="1180" t="s">
        <v>1468</v>
      </c>
      <c r="E68" s="1165" t="s">
        <v>1469</v>
      </c>
      <c r="F68" s="356">
        <f ca="1">F40</f>
        <v>0.05</v>
      </c>
      <c r="O68" s="1890" t="s">
        <v>1043</v>
      </c>
      <c r="P68" s="1930" t="s">
        <v>1582</v>
      </c>
      <c r="Q68" s="1882">
        <f ca="1">ROUND(Q69-Q70*Q71,0)</f>
        <v>191</v>
      </c>
      <c r="R68" s="1882" t="s">
        <v>1051</v>
      </c>
    </row>
    <row r="69" spans="1:18" s="1838" customFormat="1" ht="13.5" thickBot="1">
      <c r="A69" s="1166"/>
      <c r="B69" s="1167"/>
      <c r="C69" s="350"/>
      <c r="D69" s="1185" t="s">
        <v>1472</v>
      </c>
      <c r="E69" s="1165" t="s">
        <v>1473</v>
      </c>
      <c r="F69" s="378">
        <f ca="1">F41</f>
        <v>36.5</v>
      </c>
      <c r="O69" s="1890" t="s">
        <v>1048</v>
      </c>
      <c r="P69" s="1930" t="s">
        <v>1583</v>
      </c>
      <c r="Q69" s="1882">
        <f ca="1">C39</f>
        <v>449</v>
      </c>
      <c r="R69" s="1882" t="s">
        <v>1528</v>
      </c>
    </row>
    <row r="70" spans="1:18" s="1838" customFormat="1" ht="13.5" thickBot="1">
      <c r="A70" s="1169"/>
      <c r="B70" s="1170"/>
      <c r="C70" s="354"/>
      <c r="D70" s="1181"/>
      <c r="E70" s="1165" t="s">
        <v>1476</v>
      </c>
      <c r="F70" s="1271"/>
      <c r="O70" s="1890" t="s">
        <v>1049</v>
      </c>
      <c r="P70" s="1930" t="s">
        <v>1584</v>
      </c>
      <c r="Q70" s="1882">
        <f ca="1">C13</f>
        <v>3031</v>
      </c>
      <c r="R70" s="1882" t="s">
        <v>1528</v>
      </c>
    </row>
    <row r="71" spans="1:18" s="1838" customFormat="1" ht="13.5" thickBot="1">
      <c r="A71" s="1186" t="s">
        <v>1033</v>
      </c>
      <c r="B71" s="1187" t="s">
        <v>1486</v>
      </c>
      <c r="C71" s="381">
        <f ca="1">ROUND(C68*10000/F71,0)</f>
        <v>-1943</v>
      </c>
      <c r="D71" s="1188" t="s">
        <v>1487</v>
      </c>
      <c r="E71" s="1189" t="s">
        <v>1488</v>
      </c>
      <c r="F71" s="384">
        <f ca="1">F43</f>
        <v>7705.92</v>
      </c>
      <c r="O71" s="1890" t="s">
        <v>1050</v>
      </c>
      <c r="P71" s="1930" t="s">
        <v>1585</v>
      </c>
      <c r="Q71" s="1893">
        <f ca="1">C76</f>
        <v>8.5000000000000006E-2</v>
      </c>
      <c r="R71" s="1882"/>
    </row>
    <row r="72" spans="1:18" s="1838" customFormat="1" ht="13.5" thickBot="1">
      <c r="B72" s="794"/>
      <c r="C72" s="794"/>
      <c r="O72" s="1890" t="s">
        <v>1044</v>
      </c>
      <c r="P72" s="1881" t="s">
        <v>1563</v>
      </c>
      <c r="Q72" s="1893">
        <f>L52</f>
        <v>0</v>
      </c>
      <c r="R72" s="1882"/>
    </row>
    <row r="73" spans="1:18" ht="16.5" thickBot="1">
      <c r="A73" s="1838"/>
      <c r="B73" s="794"/>
      <c r="C73" s="794"/>
      <c r="D73" s="1838"/>
      <c r="E73" s="1838"/>
      <c r="F73" s="1838"/>
      <c r="O73" s="1890" t="s">
        <v>1045</v>
      </c>
      <c r="P73" s="1881" t="s">
        <v>1566</v>
      </c>
      <c r="Q73" s="1882" t="e">
        <f ca="1">L58</f>
        <v>#DIV/0!</v>
      </c>
      <c r="R73" s="1882" t="s">
        <v>1567</v>
      </c>
    </row>
    <row r="74" spans="1:18" ht="13.5" thickBot="1">
      <c r="A74" s="1838"/>
      <c r="B74" s="316" t="s">
        <v>1586</v>
      </c>
      <c r="C74" s="1932"/>
      <c r="D74" s="1838"/>
      <c r="E74" s="1838"/>
      <c r="F74" s="1838"/>
      <c r="O74" s="1890" t="s">
        <v>1052</v>
      </c>
      <c r="P74" s="1881" t="str">
        <f>K59</f>
        <v>建筑物剩余耐用年限下的土地年期修正系数Kn</v>
      </c>
      <c r="Q74" s="1882" t="e">
        <f ca="1">L59</f>
        <v>#DIV/0!</v>
      </c>
      <c r="R74" s="1882" t="s">
        <v>1568</v>
      </c>
    </row>
    <row r="75" spans="1:18" ht="13.5" thickBot="1">
      <c r="A75" s="1838"/>
      <c r="B75" s="385" t="s">
        <v>1505</v>
      </c>
      <c r="C75" s="386">
        <f ca="1">ROUND(C13*C76,0)</f>
        <v>258</v>
      </c>
      <c r="D75" s="1838"/>
      <c r="E75" s="1838"/>
      <c r="F75" s="1838"/>
      <c r="K75" s="1864"/>
      <c r="L75" s="1838"/>
      <c r="O75" s="1880" t="s">
        <v>1046</v>
      </c>
      <c r="P75" s="1881" t="s">
        <v>1548</v>
      </c>
      <c r="Q75" s="1882">
        <f ca="1">Q65+Q66</f>
        <v>12229</v>
      </c>
      <c r="R75" s="1882" t="s">
        <v>1047</v>
      </c>
    </row>
    <row r="76" spans="1:18">
      <c r="B76" s="387" t="s">
        <v>1506</v>
      </c>
      <c r="C76" s="388">
        <f ca="1">INDIRECT("'数据-取费表'!j"&amp;$G$1)</f>
        <v>8.5000000000000006E-2</v>
      </c>
      <c r="I76" s="1838"/>
      <c r="J76" s="1838"/>
      <c r="K76" s="1864"/>
      <c r="L76" s="1838"/>
    </row>
    <row r="77" spans="1:18">
      <c r="B77" s="389" t="s">
        <v>1507</v>
      </c>
      <c r="C77" s="390"/>
      <c r="I77" s="1838"/>
      <c r="J77" s="1838"/>
      <c r="K77" s="1864"/>
      <c r="L77" s="1838"/>
    </row>
    <row r="78" spans="1:18">
      <c r="B78" s="313" t="s">
        <v>1508</v>
      </c>
      <c r="C78" s="391"/>
    </row>
    <row r="79" spans="1:18">
      <c r="B79" s="385" t="s">
        <v>1509</v>
      </c>
      <c r="C79" s="317">
        <f ca="1">1-C80</f>
        <v>0.42500000000000004</v>
      </c>
    </row>
    <row r="80" spans="1:18">
      <c r="B80" s="385" t="s">
        <v>1510</v>
      </c>
      <c r="C80" s="317">
        <f ca="1">ROUND(C75/C39,3)</f>
        <v>0.57499999999999996</v>
      </c>
    </row>
    <row r="81" spans="2:3">
      <c r="B81" s="313" t="s">
        <v>1511</v>
      </c>
      <c r="C81" s="281"/>
    </row>
    <row r="82" spans="2:3">
      <c r="B82" s="316" t="s">
        <v>1512</v>
      </c>
      <c r="C82" s="318">
        <f ca="1">1-C83</f>
        <v>0.752</v>
      </c>
    </row>
    <row r="83" spans="2:3">
      <c r="B83" s="316" t="s">
        <v>1513</v>
      </c>
      <c r="C83" s="317">
        <f ca="1">ROUND(C13/C40,3)</f>
        <v>0.248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93" fitToWidth="0"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81" t="s">
        <v>1148</v>
      </c>
      <c r="C1" s="3381"/>
      <c r="D1" s="3381"/>
      <c r="E1" s="3381"/>
      <c r="F1" s="3381"/>
      <c r="G1" s="3377" t="s">
        <v>1149</v>
      </c>
      <c r="H1" s="3377"/>
      <c r="I1" s="3377"/>
      <c r="J1" s="3377"/>
      <c r="K1" s="3377"/>
      <c r="L1" s="3377"/>
      <c r="N1" s="3377" t="s">
        <v>1150</v>
      </c>
      <c r="O1" s="3377"/>
      <c r="P1" s="3377"/>
      <c r="Q1" s="3377"/>
      <c r="R1" s="1442"/>
      <c r="S1" s="3377" t="s">
        <v>1151</v>
      </c>
      <c r="T1" s="3377"/>
      <c r="U1" s="3377"/>
      <c r="V1" s="3377"/>
      <c r="X1" s="3376" t="s">
        <v>1152</v>
      </c>
      <c r="Y1" s="3377"/>
      <c r="Z1" s="3377"/>
      <c r="AA1" s="3377"/>
      <c r="AB1" s="3377"/>
      <c r="AD1" s="3376" t="s">
        <v>1153</v>
      </c>
      <c r="AE1" s="3377"/>
      <c r="AF1" s="3377"/>
      <c r="AG1" s="3377"/>
      <c r="AH1" s="3377"/>
    </row>
    <row r="2" spans="1:34" s="1443" customFormat="1" ht="14.25" thickBot="1">
      <c r="B2" s="1444" t="s">
        <v>1154</v>
      </c>
      <c r="C2" s="1444" t="s">
        <v>1155</v>
      </c>
      <c r="D2" s="1445" t="s">
        <v>1156</v>
      </c>
      <c r="E2" s="1445" t="s">
        <v>1157</v>
      </c>
      <c r="F2" s="1444" t="s">
        <v>1158</v>
      </c>
      <c r="G2" s="1446"/>
      <c r="H2" s="1447"/>
      <c r="I2" s="1444" t="s">
        <v>1154</v>
      </c>
      <c r="J2" s="1445" t="s">
        <v>1383</v>
      </c>
      <c r="K2" s="1445" t="s">
        <v>751</v>
      </c>
      <c r="L2" s="1444" t="s">
        <v>1158</v>
      </c>
      <c r="N2" s="1444" t="s">
        <v>1154</v>
      </c>
      <c r="O2" s="1445" t="s">
        <v>1383</v>
      </c>
      <c r="P2" s="1445" t="s">
        <v>751</v>
      </c>
      <c r="Q2" s="1444" t="s">
        <v>1158</v>
      </c>
      <c r="R2" s="1448"/>
      <c r="S2" s="1444" t="s">
        <v>1154</v>
      </c>
      <c r="T2" s="1445" t="s">
        <v>1383</v>
      </c>
      <c r="U2" s="1445" t="s">
        <v>751</v>
      </c>
      <c r="V2" s="1444" t="s">
        <v>1158</v>
      </c>
      <c r="X2" s="1444" t="s">
        <v>1154</v>
      </c>
      <c r="Y2" s="1444" t="s">
        <v>1155</v>
      </c>
      <c r="Z2" s="1445" t="s">
        <v>1156</v>
      </c>
      <c r="AA2" s="1445" t="s">
        <v>1157</v>
      </c>
      <c r="AB2" s="1444" t="s">
        <v>1158</v>
      </c>
      <c r="AD2" s="1444" t="s">
        <v>1154</v>
      </c>
      <c r="AE2" s="1444" t="s">
        <v>1155</v>
      </c>
      <c r="AF2" s="1445" t="s">
        <v>1156</v>
      </c>
      <c r="AG2" s="1445" t="s">
        <v>1157</v>
      </c>
      <c r="AH2" s="1444" t="s">
        <v>1158</v>
      </c>
    </row>
    <row r="3" spans="1:34" s="2917" customFormat="1" ht="14.25">
      <c r="A3" s="2926" t="s">
        <v>3035</v>
      </c>
      <c r="B3" s="2918"/>
      <c r="C3" s="2918"/>
      <c r="D3" s="2919"/>
      <c r="E3" s="2919"/>
      <c r="F3" s="2918"/>
      <c r="G3" s="2920"/>
      <c r="H3" s="2921"/>
      <c r="I3" s="2922">
        <f>ROUND(AVERAGE($I6:$I21),2)</f>
        <v>2.4500000000000002</v>
      </c>
      <c r="J3" s="2922">
        <f>ROUND(AVERAGE($J6:$J21),2)</f>
        <v>1.65</v>
      </c>
      <c r="K3" s="2922">
        <f>ROUND(AVERAGE($K6:$K21),2)</f>
        <v>2.71</v>
      </c>
      <c r="L3" s="2922">
        <f>ROUND(AVERAGE($L6:$L21),2)</f>
        <v>1.39</v>
      </c>
      <c r="N3" s="2920"/>
      <c r="O3" s="2923"/>
      <c r="P3" s="2923"/>
      <c r="Q3" s="2923"/>
      <c r="R3" s="2923"/>
      <c r="S3" s="2920"/>
      <c r="T3" s="2923"/>
      <c r="U3" s="2923"/>
      <c r="V3" s="2923"/>
      <c r="W3" s="2915"/>
      <c r="X3" s="2924">
        <f>ROUND(SUMPRODUCT(PRODUCT(1+N3:N$20)),4)</f>
        <v>1.4274</v>
      </c>
      <c r="Y3" s="2924">
        <f>ROUND(SUMPRODUCT(PRODUCT(1+O3:O$20)),4)</f>
        <v>1.2685</v>
      </c>
      <c r="Z3" s="2924">
        <f t="shared" ref="Z3:Z18" si="0">Y3</f>
        <v>1.2685</v>
      </c>
      <c r="AA3" s="2924">
        <f>ROUND(SUMPRODUCT(PRODUCT(1+P3:P$20)),4)</f>
        <v>1.4825999999999999</v>
      </c>
      <c r="AB3" s="2924">
        <f>ROUND(SUMPRODUCT(PRODUCT(1+Q3:Q$20)),4)</f>
        <v>1.2309000000000001</v>
      </c>
      <c r="AD3" s="2925">
        <f>ROUND(AVERAGE(I3:I$21)/100,4)</f>
        <v>2.3099999999999999E-2</v>
      </c>
      <c r="AE3" s="2925">
        <f>ROUND(AVERAGE(J3:J$21)/100,4)</f>
        <v>1.5599999999999999E-2</v>
      </c>
      <c r="AF3" s="2925">
        <f t="shared" ref="AF3:AF19" si="1">AE3</f>
        <v>1.5599999999999999E-2</v>
      </c>
      <c r="AG3" s="2925">
        <f>ROUND(AVERAGE(K3:K$21)/100,4)</f>
        <v>2.5600000000000001E-2</v>
      </c>
      <c r="AH3" s="2925">
        <f>ROUND(AVERAGE(L3:L$21)/100,4)</f>
        <v>1.32E-2</v>
      </c>
    </row>
    <row r="4" spans="1:34" s="1449" customFormat="1" ht="14.25">
      <c r="B4" s="1450"/>
      <c r="C4" s="1450"/>
      <c r="D4" s="1451"/>
      <c r="E4" s="1451"/>
      <c r="F4" s="1450"/>
      <c r="G4" s="1452"/>
      <c r="H4" s="1453"/>
      <c r="I4" s="2911"/>
      <c r="J4" s="2911"/>
      <c r="K4" s="2911"/>
      <c r="L4" s="2911"/>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3034</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4">
        <v>2018</v>
      </c>
      <c r="H5" s="1726">
        <v>1</v>
      </c>
      <c r="I5" s="2912">
        <v>0</v>
      </c>
      <c r="J5" s="2912">
        <v>0</v>
      </c>
      <c r="K5" s="2912">
        <v>0</v>
      </c>
      <c r="L5" s="2912">
        <v>0</v>
      </c>
      <c r="N5" s="1463">
        <f t="shared" ref="N5:N10" si="7">I5/100</f>
        <v>0</v>
      </c>
      <c r="O5" s="1463">
        <f t="shared" ref="O5" si="8">J5/100</f>
        <v>0</v>
      </c>
      <c r="P5" s="1463">
        <f t="shared" ref="P5" si="9">K5/100</f>
        <v>0</v>
      </c>
      <c r="Q5" s="1463">
        <f t="shared" ref="Q5" si="10">L5/100</f>
        <v>0</v>
      </c>
      <c r="R5" s="1728"/>
      <c r="S5" s="1729"/>
      <c r="T5" s="1728"/>
      <c r="U5" s="1728"/>
      <c r="V5" s="1728"/>
      <c r="W5" s="2916" t="s">
        <v>3036</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3031</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4">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3032</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0"/>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1384</v>
      </c>
      <c r="B8" s="1473">
        <f t="shared" si="21"/>
        <v>419.31181600000002</v>
      </c>
      <c r="C8" s="1473">
        <f t="shared" si="22"/>
        <v>313.95436800000004</v>
      </c>
      <c r="D8" s="1473">
        <f t="shared" si="23"/>
        <v>313.95436800000004</v>
      </c>
      <c r="E8" s="1473">
        <f t="shared" si="24"/>
        <v>596.63028431999999</v>
      </c>
      <c r="F8" s="1473">
        <f t="shared" si="25"/>
        <v>274.74220703999998</v>
      </c>
      <c r="G8" s="2909"/>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1159</v>
      </c>
      <c r="B9" s="1473">
        <f>B10*(1+N9)</f>
        <v>405.524</v>
      </c>
      <c r="C9" s="1473">
        <f>C10*(1+O9)</f>
        <v>307.79840000000002</v>
      </c>
      <c r="D9" s="1473">
        <f>C9</f>
        <v>307.79840000000002</v>
      </c>
      <c r="E9" s="1473">
        <f>E10*(1+P9)</f>
        <v>574.67759999999998</v>
      </c>
      <c r="F9" s="1473">
        <f>F10*(1+Q9)</f>
        <v>270.20280000000002</v>
      </c>
      <c r="G9" s="2910"/>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82">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79"/>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79"/>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80"/>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78">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79"/>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79"/>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80"/>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78">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79"/>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79"/>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80"/>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1160</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1161</v>
      </c>
      <c r="B22" s="1465">
        <v>299</v>
      </c>
      <c r="C22" s="1465">
        <v>252</v>
      </c>
      <c r="D22" s="1465">
        <f t="shared" si="35"/>
        <v>252</v>
      </c>
      <c r="E22" s="1465">
        <v>409</v>
      </c>
      <c r="F22" s="1466">
        <v>227</v>
      </c>
      <c r="G22" s="3383">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1162</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84"/>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1163</v>
      </c>
      <c r="B24" s="1473">
        <f t="shared" si="44"/>
        <v>288.2649053828776</v>
      </c>
      <c r="C24" s="1473">
        <f t="shared" si="44"/>
        <v>243.64564425013293</v>
      </c>
      <c r="D24" s="1473">
        <f t="shared" si="35"/>
        <v>243.64564425013293</v>
      </c>
      <c r="E24" s="1473">
        <f t="shared" si="45"/>
        <v>393.31080825986544</v>
      </c>
      <c r="F24" s="1473">
        <f t="shared" si="45"/>
        <v>223.07903790551154</v>
      </c>
      <c r="G24" s="3384"/>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1164</v>
      </c>
      <c r="B25" s="1473">
        <f t="shared" si="44"/>
        <v>282.50186729015837</v>
      </c>
      <c r="C25" s="1473">
        <f t="shared" si="44"/>
        <v>238.09796174155468</v>
      </c>
      <c r="D25" s="1473">
        <f t="shared" si="35"/>
        <v>238.09796174155468</v>
      </c>
      <c r="E25" s="1473">
        <f t="shared" si="45"/>
        <v>385.33438646014054</v>
      </c>
      <c r="F25" s="1473">
        <f t="shared" si="45"/>
        <v>221.55034055567739</v>
      </c>
      <c r="G25" s="3385"/>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1165</v>
      </c>
      <c r="B26" s="1507">
        <v>278</v>
      </c>
      <c r="C26" s="1507">
        <v>234</v>
      </c>
      <c r="D26" s="1507">
        <f t="shared" si="35"/>
        <v>234</v>
      </c>
      <c r="E26" s="1507">
        <v>379</v>
      </c>
      <c r="F26" s="1508">
        <v>220</v>
      </c>
      <c r="G26" s="3378">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1166</v>
      </c>
      <c r="B27" s="1473">
        <f>B26/(1+N26)</f>
        <v>275.49301357645425</v>
      </c>
      <c r="C27" s="1473">
        <f>C26/(1+O26)</f>
        <v>232.41954707985698</v>
      </c>
      <c r="D27" s="1473">
        <f t="shared" si="35"/>
        <v>232.41954707985698</v>
      </c>
      <c r="E27" s="1473">
        <f t="shared" ref="E27:F29" si="46">E26/(1+P26)</f>
        <v>375.32184591008121</v>
      </c>
      <c r="F27" s="1473">
        <f t="shared" si="46"/>
        <v>218.03766105054513</v>
      </c>
      <c r="G27" s="3379"/>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1167</v>
      </c>
      <c r="B28" s="1473">
        <f>B27/(1+N27)</f>
        <v>275.24529281292263</v>
      </c>
      <c r="C28" s="1473">
        <f>C27/(1+O27)</f>
        <v>231.74747938962707</v>
      </c>
      <c r="D28" s="1473">
        <f t="shared" si="35"/>
        <v>231.74747938962707</v>
      </c>
      <c r="E28" s="1473">
        <f t="shared" si="46"/>
        <v>375.35938184826603</v>
      </c>
      <c r="F28" s="1473">
        <f t="shared" si="46"/>
        <v>216.78033510692495</v>
      </c>
      <c r="G28" s="3379"/>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1168</v>
      </c>
      <c r="B29" s="1473">
        <f>B28/(1+N28)</f>
        <v>275.19025476197027</v>
      </c>
      <c r="C29" s="1509">
        <v>232</v>
      </c>
      <c r="D29" s="1509">
        <f t="shared" si="35"/>
        <v>232</v>
      </c>
      <c r="E29" s="1473">
        <f t="shared" si="46"/>
        <v>375.65990977608692</v>
      </c>
      <c r="F29" s="1473">
        <f t="shared" si="46"/>
        <v>214.12518283971252</v>
      </c>
      <c r="G29" s="3380"/>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1169</v>
      </c>
      <c r="B30" s="1465">
        <v>275</v>
      </c>
      <c r="C30" s="1465">
        <v>232</v>
      </c>
      <c r="D30" s="1465">
        <f t="shared" si="35"/>
        <v>232</v>
      </c>
      <c r="E30" s="1465">
        <v>376</v>
      </c>
      <c r="F30" s="1466">
        <v>213</v>
      </c>
      <c r="G30" s="3378">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1170</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79">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1171</v>
      </c>
      <c r="B32" s="1473">
        <f t="shared" si="47"/>
        <v>275.19335084830601</v>
      </c>
      <c r="C32" s="1473">
        <f t="shared" si="47"/>
        <v>230.18088050139744</v>
      </c>
      <c r="D32" s="1473">
        <f t="shared" si="35"/>
        <v>230.18088050139744</v>
      </c>
      <c r="E32" s="1473">
        <f t="shared" si="48"/>
        <v>377.58482925212331</v>
      </c>
      <c r="F32" s="1473">
        <f t="shared" si="48"/>
        <v>210.90687997847917</v>
      </c>
      <c r="G32" s="3379">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1172</v>
      </c>
      <c r="B33" s="1473">
        <f t="shared" si="47"/>
        <v>276.29854502841971</v>
      </c>
      <c r="C33" s="1473">
        <f t="shared" si="47"/>
        <v>229.79023709833027</v>
      </c>
      <c r="D33" s="1473">
        <f t="shared" si="35"/>
        <v>229.79023709833027</v>
      </c>
      <c r="E33" s="1473">
        <f t="shared" si="48"/>
        <v>379.78759731655936</v>
      </c>
      <c r="F33" s="1473">
        <f t="shared" si="48"/>
        <v>211.32953905659235</v>
      </c>
      <c r="G33" s="3380">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1173</v>
      </c>
      <c r="B34" s="1465">
        <v>269</v>
      </c>
      <c r="C34" s="1465">
        <v>221</v>
      </c>
      <c r="D34" s="1465">
        <f t="shared" si="35"/>
        <v>221</v>
      </c>
      <c r="E34" s="1465">
        <v>373</v>
      </c>
      <c r="F34" s="1466">
        <v>196</v>
      </c>
      <c r="G34" s="3378">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1174</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79">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1175</v>
      </c>
      <c r="B36" s="1473">
        <f t="shared" si="49"/>
        <v>242.95398227588385</v>
      </c>
      <c r="C36" s="1473">
        <f t="shared" si="49"/>
        <v>199.59137053614126</v>
      </c>
      <c r="D36" s="1473">
        <f t="shared" si="35"/>
        <v>199.59137053614126</v>
      </c>
      <c r="E36" s="1473">
        <f t="shared" si="50"/>
        <v>335.92189522342125</v>
      </c>
      <c r="F36" s="1473">
        <f t="shared" si="50"/>
        <v>183.10139991109489</v>
      </c>
      <c r="G36" s="3379">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1176</v>
      </c>
      <c r="B37" s="1473">
        <f t="shared" si="49"/>
        <v>232.06990378821649</v>
      </c>
      <c r="C37" s="1473">
        <f t="shared" si="49"/>
        <v>192.74878854286936</v>
      </c>
      <c r="D37" s="1473">
        <f t="shared" si="35"/>
        <v>192.74878854286936</v>
      </c>
      <c r="E37" s="1473">
        <f t="shared" si="50"/>
        <v>319.71247284992984</v>
      </c>
      <c r="F37" s="1473">
        <f t="shared" si="50"/>
        <v>175.67053622862409</v>
      </c>
      <c r="G37" s="3380">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1177</v>
      </c>
      <c r="B38" s="1465">
        <v>220</v>
      </c>
      <c r="C38" s="1465">
        <v>187</v>
      </c>
      <c r="D38" s="1465">
        <f t="shared" si="35"/>
        <v>187</v>
      </c>
      <c r="E38" s="1465">
        <v>301</v>
      </c>
      <c r="F38" s="1466">
        <v>168</v>
      </c>
      <c r="G38" s="3378">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1178</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79">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1179</v>
      </c>
      <c r="B40" s="1473">
        <f t="shared" si="51"/>
        <v>210.630522469011</v>
      </c>
      <c r="C40" s="1473">
        <f t="shared" si="51"/>
        <v>181.69567812247232</v>
      </c>
      <c r="D40" s="1473">
        <f t="shared" si="35"/>
        <v>181.69567812247232</v>
      </c>
      <c r="E40" s="1473">
        <f t="shared" si="52"/>
        <v>286.13517466736738</v>
      </c>
      <c r="F40" s="1473">
        <f t="shared" si="52"/>
        <v>165.47535084591149</v>
      </c>
      <c r="G40" s="3379">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1180</v>
      </c>
      <c r="B41" s="1473">
        <f t="shared" si="51"/>
        <v>208.83454537875372</v>
      </c>
      <c r="C41" s="1473">
        <f t="shared" si="51"/>
        <v>183.77230517090351</v>
      </c>
      <c r="D41" s="1473">
        <f t="shared" si="35"/>
        <v>183.77230517090351</v>
      </c>
      <c r="E41" s="1473">
        <f t="shared" si="52"/>
        <v>281.10342338870947</v>
      </c>
      <c r="F41" s="1473">
        <f t="shared" si="52"/>
        <v>168.97309388942256</v>
      </c>
      <c r="G41" s="3380">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1181</v>
      </c>
      <c r="B42" s="1507">
        <v>214</v>
      </c>
      <c r="C42" s="1507">
        <v>188</v>
      </c>
      <c r="D42" s="1507">
        <f t="shared" si="35"/>
        <v>188</v>
      </c>
      <c r="E42" s="1507">
        <v>289</v>
      </c>
      <c r="F42" s="1508">
        <v>166</v>
      </c>
      <c r="G42" s="3378">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1182</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79">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1183</v>
      </c>
      <c r="B44" s="1473">
        <f t="shared" si="53"/>
        <v>206.31694671589116</v>
      </c>
      <c r="C44" s="1473">
        <f t="shared" si="53"/>
        <v>183.61041121036101</v>
      </c>
      <c r="D44" s="1473">
        <f t="shared" si="35"/>
        <v>183.61041121036101</v>
      </c>
      <c r="E44" s="1473">
        <f t="shared" si="54"/>
        <v>276.66850301795557</v>
      </c>
      <c r="F44" s="1473">
        <f t="shared" si="54"/>
        <v>165.1360938278614</v>
      </c>
      <c r="G44" s="3379">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1184</v>
      </c>
      <c r="B45" s="1510">
        <f t="shared" si="53"/>
        <v>196.62341248059772</v>
      </c>
      <c r="C45" s="1510">
        <f t="shared" si="53"/>
        <v>170.99125648199012</v>
      </c>
      <c r="D45" s="1510">
        <f t="shared" si="35"/>
        <v>170.99125648199012</v>
      </c>
      <c r="E45" s="1510">
        <f t="shared" si="54"/>
        <v>266.07857570490052</v>
      </c>
      <c r="F45" s="1510">
        <f t="shared" si="54"/>
        <v>154.53499328828505</v>
      </c>
      <c r="G45" s="3380">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1185</v>
      </c>
      <c r="B46" s="1465">
        <v>188</v>
      </c>
      <c r="C46" s="1465">
        <v>165</v>
      </c>
      <c r="D46" s="1465">
        <f t="shared" si="35"/>
        <v>165</v>
      </c>
      <c r="E46" s="1465">
        <v>254</v>
      </c>
      <c r="F46" s="1466">
        <v>148</v>
      </c>
      <c r="G46" s="3378">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1186</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79">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1187</v>
      </c>
      <c r="B48" s="1473">
        <f t="shared" si="57"/>
        <v>168.82017748715555</v>
      </c>
      <c r="C48" s="1473">
        <f t="shared" si="57"/>
        <v>148.06267029972753</v>
      </c>
      <c r="D48" s="1473">
        <f t="shared" si="35"/>
        <v>148.06267029972753</v>
      </c>
      <c r="E48" s="1473">
        <f t="shared" si="58"/>
        <v>216.46288379323747</v>
      </c>
      <c r="F48" s="1473">
        <f t="shared" si="58"/>
        <v>134.23529411764704</v>
      </c>
      <c r="G48" s="3379">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1188</v>
      </c>
      <c r="B49" s="1473">
        <f t="shared" si="57"/>
        <v>163.84913591779542</v>
      </c>
      <c r="C49" s="1473">
        <f t="shared" si="57"/>
        <v>145.0283378746594</v>
      </c>
      <c r="D49" s="1473">
        <f t="shared" si="35"/>
        <v>145.0283378746594</v>
      </c>
      <c r="E49" s="1473">
        <f t="shared" si="58"/>
        <v>204.95180722891567</v>
      </c>
      <c r="F49" s="1473">
        <f t="shared" si="58"/>
        <v>125.95920303605313</v>
      </c>
      <c r="G49" s="3380">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1189</v>
      </c>
      <c r="B50" s="1486">
        <v>159</v>
      </c>
      <c r="C50" s="1486">
        <v>141</v>
      </c>
      <c r="D50" s="1486">
        <f t="shared" si="35"/>
        <v>141</v>
      </c>
      <c r="E50" s="1486">
        <v>195</v>
      </c>
      <c r="F50" s="1487">
        <v>122</v>
      </c>
      <c r="G50" s="3378">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1190</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79">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1191</v>
      </c>
      <c r="B52" s="1473">
        <f t="shared" si="61"/>
        <v>146.57412060301507</v>
      </c>
      <c r="C52" s="1473">
        <f t="shared" si="61"/>
        <v>136.46831955922866</v>
      </c>
      <c r="D52" s="1473">
        <f t="shared" si="35"/>
        <v>136.46831955922866</v>
      </c>
      <c r="E52" s="1473">
        <f t="shared" si="62"/>
        <v>166.73864894795128</v>
      </c>
      <c r="F52" s="1473">
        <f t="shared" si="62"/>
        <v>115.05882352941177</v>
      </c>
      <c r="G52" s="3379">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1192</v>
      </c>
      <c r="B53" s="1473">
        <f t="shared" si="61"/>
        <v>144.04145728643215</v>
      </c>
      <c r="C53" s="1473">
        <f t="shared" si="61"/>
        <v>136.12396694214877</v>
      </c>
      <c r="D53" s="1473">
        <f t="shared" si="35"/>
        <v>136.12396694214877</v>
      </c>
      <c r="E53" s="1473">
        <f t="shared" si="62"/>
        <v>158.32225913621264</v>
      </c>
      <c r="F53" s="1473">
        <f t="shared" si="62"/>
        <v>114.04278074866311</v>
      </c>
      <c r="G53" s="3380">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1193</v>
      </c>
      <c r="B54" s="1486">
        <v>138</v>
      </c>
      <c r="C54" s="1486">
        <v>131</v>
      </c>
      <c r="D54" s="1486">
        <f t="shared" si="35"/>
        <v>131</v>
      </c>
      <c r="E54" s="1486">
        <v>155</v>
      </c>
      <c r="F54" s="1487">
        <v>114</v>
      </c>
      <c r="G54" s="3378">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1194</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79">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1195</v>
      </c>
      <c r="B56" s="1473">
        <f t="shared" si="65"/>
        <v>124.29032258064517</v>
      </c>
      <c r="C56" s="1473">
        <f t="shared" si="65"/>
        <v>123.8968609865471</v>
      </c>
      <c r="D56" s="1473">
        <f t="shared" si="35"/>
        <v>123.8968609865471</v>
      </c>
      <c r="E56" s="1473">
        <f t="shared" si="66"/>
        <v>138.00507614213197</v>
      </c>
      <c r="F56" s="1473">
        <f t="shared" si="66"/>
        <v>107.96106557377048</v>
      </c>
      <c r="G56" s="3379">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1196</v>
      </c>
      <c r="B57" s="1473">
        <f t="shared" si="65"/>
        <v>122.57204301075269</v>
      </c>
      <c r="C57" s="1473">
        <f t="shared" si="65"/>
        <v>123.4932735426009</v>
      </c>
      <c r="D57" s="1473">
        <f t="shared" si="35"/>
        <v>123.4932735426009</v>
      </c>
      <c r="E57" s="1473">
        <f t="shared" si="66"/>
        <v>129.82233502538071</v>
      </c>
      <c r="F57" s="1473">
        <f t="shared" si="66"/>
        <v>107.39446721311475</v>
      </c>
      <c r="G57" s="3380">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1197</v>
      </c>
      <c r="B58" s="1507">
        <v>121</v>
      </c>
      <c r="C58" s="1507">
        <v>122</v>
      </c>
      <c r="D58" s="1507">
        <f t="shared" si="35"/>
        <v>122</v>
      </c>
      <c r="E58" s="1507">
        <v>124</v>
      </c>
      <c r="F58" s="1508">
        <v>107</v>
      </c>
      <c r="G58" s="3378">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1198</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79">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1199</v>
      </c>
      <c r="B60" s="1473">
        <f t="shared" si="69"/>
        <v>116.99099099099099</v>
      </c>
      <c r="C60" s="1473">
        <f t="shared" si="69"/>
        <v>118.84848484848486</v>
      </c>
      <c r="D60" s="1473">
        <f t="shared" si="35"/>
        <v>118.84848484848486</v>
      </c>
      <c r="E60" s="1473">
        <f t="shared" si="70"/>
        <v>117.60960960960961</v>
      </c>
      <c r="F60" s="1473">
        <f t="shared" si="70"/>
        <v>104</v>
      </c>
      <c r="G60" s="3379">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1200</v>
      </c>
      <c r="B61" s="1510">
        <f t="shared" si="69"/>
        <v>112.48648648648648</v>
      </c>
      <c r="C61" s="1510">
        <f t="shared" si="69"/>
        <v>115.21212121212122</v>
      </c>
      <c r="D61" s="1510">
        <f t="shared" si="35"/>
        <v>115.21212121212122</v>
      </c>
      <c r="E61" s="1510">
        <f t="shared" si="70"/>
        <v>110.4024024024024</v>
      </c>
      <c r="F61" s="1510">
        <f t="shared" si="70"/>
        <v>104</v>
      </c>
      <c r="G61" s="3380">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1201</v>
      </c>
      <c r="B62" s="1528">
        <v>111</v>
      </c>
      <c r="C62" s="1528">
        <v>114</v>
      </c>
      <c r="D62" s="1528">
        <f t="shared" si="35"/>
        <v>114</v>
      </c>
      <c r="E62" s="1528">
        <v>108</v>
      </c>
      <c r="F62" s="1529">
        <v>104</v>
      </c>
      <c r="G62" s="3378">
        <v>2003</v>
      </c>
      <c r="H62" s="1518">
        <v>4</v>
      </c>
      <c r="I62" s="1530"/>
      <c r="J62" s="1530"/>
      <c r="K62" s="1530"/>
      <c r="L62" s="1530"/>
      <c r="N62" s="1531"/>
      <c r="O62" s="1530"/>
      <c r="P62" s="1530"/>
      <c r="Q62" s="1530"/>
      <c r="S62" s="1531"/>
      <c r="T62" s="1530"/>
      <c r="U62" s="1530"/>
      <c r="V62" s="1530"/>
      <c r="X62" s="1522"/>
      <c r="Y62" s="1522"/>
      <c r="Z62" s="1522"/>
    </row>
    <row r="63" spans="1:26">
      <c r="A63" s="1457" t="s">
        <v>1202</v>
      </c>
      <c r="B63" s="1532">
        <f t="shared" ref="B63:C65" si="71">B64+(B$62-B$66)/4</f>
        <v>109.75</v>
      </c>
      <c r="C63" s="1532">
        <f t="shared" si="71"/>
        <v>112.25</v>
      </c>
      <c r="D63" s="1532">
        <f t="shared" si="35"/>
        <v>112.25</v>
      </c>
      <c r="E63" s="1532">
        <f t="shared" ref="E63:F65" si="72">E64+(E$62-E$66)/4</f>
        <v>107.25</v>
      </c>
      <c r="F63" s="1532">
        <f t="shared" si="72"/>
        <v>103.5</v>
      </c>
      <c r="G63" s="3379">
        <v>2003</v>
      </c>
      <c r="H63" s="1483">
        <v>3</v>
      </c>
      <c r="I63" s="1530"/>
      <c r="J63" s="1530"/>
      <c r="K63" s="1530"/>
      <c r="L63" s="1530"/>
      <c r="X63" s="1522"/>
      <c r="Y63" s="1522"/>
      <c r="Z63" s="1522"/>
    </row>
    <row r="64" spans="1:26">
      <c r="A64" s="1457" t="s">
        <v>1203</v>
      </c>
      <c r="B64" s="1532">
        <f t="shared" si="71"/>
        <v>108.5</v>
      </c>
      <c r="C64" s="1532">
        <f t="shared" si="71"/>
        <v>110.5</v>
      </c>
      <c r="D64" s="1532">
        <f t="shared" si="35"/>
        <v>110.5</v>
      </c>
      <c r="E64" s="1532">
        <f t="shared" si="72"/>
        <v>106.5</v>
      </c>
      <c r="F64" s="1532">
        <f t="shared" si="72"/>
        <v>103</v>
      </c>
      <c r="G64" s="3379">
        <v>2003</v>
      </c>
      <c r="H64" s="1461">
        <v>2</v>
      </c>
      <c r="I64" s="1530"/>
      <c r="J64" s="1530"/>
      <c r="K64" s="1530"/>
      <c r="L64" s="1530"/>
      <c r="X64" s="1522"/>
      <c r="Y64" s="1522"/>
      <c r="Z64" s="1522"/>
    </row>
    <row r="65" spans="1:26" ht="13.5" thickBot="1">
      <c r="A65" s="1457" t="s">
        <v>1204</v>
      </c>
      <c r="B65" s="1532">
        <f t="shared" si="71"/>
        <v>107.25</v>
      </c>
      <c r="C65" s="1532">
        <f t="shared" si="71"/>
        <v>108.75</v>
      </c>
      <c r="D65" s="1532">
        <f t="shared" si="35"/>
        <v>108.75</v>
      </c>
      <c r="E65" s="1532">
        <f t="shared" si="72"/>
        <v>105.75</v>
      </c>
      <c r="F65" s="1532">
        <f t="shared" si="72"/>
        <v>102.5</v>
      </c>
      <c r="G65" s="3380">
        <v>2003</v>
      </c>
      <c r="H65" s="1533">
        <v>1</v>
      </c>
      <c r="I65" s="1530"/>
      <c r="J65" s="1530"/>
      <c r="K65" s="1530"/>
      <c r="L65" s="1530"/>
      <c r="S65" s="1468"/>
      <c r="T65" s="1469"/>
      <c r="U65" s="1469"/>
      <c r="X65" s="1522"/>
      <c r="Y65" s="1522"/>
      <c r="Z65" s="1522"/>
    </row>
    <row r="66" spans="1:26" ht="13.5" thickBot="1">
      <c r="A66" s="1457" t="s">
        <v>1205</v>
      </c>
      <c r="B66" s="1534">
        <v>106</v>
      </c>
      <c r="C66" s="1534">
        <v>107</v>
      </c>
      <c r="D66" s="1534">
        <f t="shared" si="35"/>
        <v>107</v>
      </c>
      <c r="E66" s="1534">
        <v>105</v>
      </c>
      <c r="F66" s="1535">
        <v>102</v>
      </c>
      <c r="G66" s="3378">
        <v>2002</v>
      </c>
      <c r="H66" s="1478">
        <v>4</v>
      </c>
      <c r="I66" s="1530"/>
      <c r="J66" s="1530"/>
      <c r="K66" s="1530"/>
      <c r="L66" s="1530"/>
      <c r="N66" s="1531"/>
      <c r="O66" s="1530"/>
      <c r="P66" s="1530"/>
      <c r="Q66" s="1530"/>
      <c r="S66" s="1531"/>
      <c r="T66" s="1530"/>
      <c r="U66" s="1530"/>
      <c r="V66" s="1530"/>
      <c r="X66" s="1522"/>
      <c r="Y66" s="1522"/>
      <c r="Z66" s="1522"/>
    </row>
    <row r="67" spans="1:26">
      <c r="A67" s="1457" t="s">
        <v>1206</v>
      </c>
      <c r="B67" s="1532">
        <f t="shared" ref="B67:C69" si="73">B68+(B$66-B$70)/4</f>
        <v>105</v>
      </c>
      <c r="C67" s="1532">
        <f t="shared" si="73"/>
        <v>106</v>
      </c>
      <c r="D67" s="1532">
        <f t="shared" si="35"/>
        <v>106</v>
      </c>
      <c r="E67" s="1532">
        <f t="shared" ref="E67:F69" si="74">E68+(E$66-E$70)/4</f>
        <v>104.5</v>
      </c>
      <c r="F67" s="1532">
        <f t="shared" si="74"/>
        <v>101.5</v>
      </c>
      <c r="G67" s="3379">
        <v>2002</v>
      </c>
      <c r="H67" s="1483">
        <v>3</v>
      </c>
      <c r="I67" s="1530"/>
      <c r="J67" s="1530"/>
      <c r="K67" s="1530"/>
      <c r="L67" s="1530"/>
      <c r="X67" s="1522"/>
      <c r="Y67" s="1522"/>
      <c r="Z67" s="1522"/>
    </row>
    <row r="68" spans="1:26">
      <c r="A68" s="1457" t="s">
        <v>1207</v>
      </c>
      <c r="B68" s="1532">
        <f t="shared" si="73"/>
        <v>104</v>
      </c>
      <c r="C68" s="1532">
        <f t="shared" si="73"/>
        <v>105</v>
      </c>
      <c r="D68" s="1532">
        <f t="shared" si="35"/>
        <v>105</v>
      </c>
      <c r="E68" s="1532">
        <f t="shared" si="74"/>
        <v>104</v>
      </c>
      <c r="F68" s="1532">
        <f t="shared" si="74"/>
        <v>101</v>
      </c>
      <c r="G68" s="3379">
        <v>2002</v>
      </c>
      <c r="H68" s="1461">
        <v>2</v>
      </c>
      <c r="I68" s="1530"/>
      <c r="J68" s="1530"/>
      <c r="K68" s="1530"/>
      <c r="L68" s="1530"/>
      <c r="X68" s="1522"/>
      <c r="Y68" s="1522"/>
      <c r="Z68" s="1522"/>
    </row>
    <row r="69" spans="1:26" s="1494" customFormat="1" ht="13.5" thickBot="1">
      <c r="A69" s="1490" t="s">
        <v>1208</v>
      </c>
      <c r="B69" s="1536">
        <f t="shared" si="73"/>
        <v>103</v>
      </c>
      <c r="C69" s="1536">
        <f t="shared" si="73"/>
        <v>104</v>
      </c>
      <c r="D69" s="1536">
        <f t="shared" si="35"/>
        <v>104</v>
      </c>
      <c r="E69" s="1536">
        <f t="shared" si="74"/>
        <v>103.5</v>
      </c>
      <c r="F69" s="1536">
        <f t="shared" si="74"/>
        <v>100.5</v>
      </c>
      <c r="G69" s="3380">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1209</v>
      </c>
      <c r="G72" s="1546"/>
      <c r="N72" s="1546"/>
      <c r="S72" s="1546"/>
    </row>
    <row r="73" spans="1:26" s="1545" customFormat="1">
      <c r="A73" s="1545" t="s">
        <v>1210</v>
      </c>
      <c r="G73" s="1546"/>
      <c r="N73" s="1546"/>
      <c r="S73" s="1546"/>
    </row>
    <row r="74" spans="1:26" s="1545" customFormat="1">
      <c r="A74" s="1545" t="s">
        <v>1211</v>
      </c>
      <c r="G74" s="1546"/>
      <c r="I74" s="1547"/>
      <c r="J74" s="1547"/>
      <c r="K74" s="1547"/>
      <c r="L74" s="1547"/>
      <c r="N74" s="1548"/>
      <c r="O74" s="1547"/>
      <c r="P74" s="1547"/>
      <c r="Q74" s="1547"/>
      <c r="S74" s="1548"/>
      <c r="T74" s="1547"/>
      <c r="U74" s="1547"/>
      <c r="V74" s="1547"/>
    </row>
    <row r="75" spans="1:26" s="1545" customFormat="1">
      <c r="A75" s="1545" t="s">
        <v>1212</v>
      </c>
      <c r="G75" s="1546"/>
      <c r="N75" s="1546"/>
      <c r="S75" s="1546"/>
    </row>
    <row r="82" spans="7:22" ht="13.5" thickBot="1"/>
    <row r="83" spans="7:22">
      <c r="G83" s="1467"/>
      <c r="S83" s="1549" t="s">
        <v>1213</v>
      </c>
      <c r="T83" s="1550" t="s">
        <v>1214</v>
      </c>
      <c r="U83" s="1550" t="s">
        <v>1215</v>
      </c>
      <c r="V83" s="1550" t="s">
        <v>1216</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60922</v>
      </c>
      <c r="C2" s="2" t="s">
        <v>133</v>
      </c>
      <c r="D2" s="242"/>
      <c r="E2" s="242"/>
      <c r="F2" s="242"/>
      <c r="G2" s="242"/>
    </row>
    <row r="3" spans="1:7" s="243" customFormat="1" ht="18" customHeight="1" thickBot="1">
      <c r="A3" s="246" t="s">
        <v>85</v>
      </c>
      <c r="B3" s="247">
        <f ca="1">ROUND(B2*10000/'数据-汇总表'!E3,0)</f>
        <v>11676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1146</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1044</v>
      </c>
      <c r="D10" s="1028">
        <f>'数据-汇总表'!E6</f>
        <v>52177.779999999992</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1044</v>
      </c>
      <c r="D19" s="1032">
        <f>'数据-汇总表'!E3</f>
        <v>52177.779999999992</v>
      </c>
      <c r="E19" s="254">
        <f>'数据-取费表'!B31</f>
        <v>200</v>
      </c>
      <c r="F19" s="274"/>
      <c r="G19" s="1" t="s">
        <v>1074</v>
      </c>
    </row>
    <row r="20" spans="1:7" s="257" customFormat="1" ht="13.5" customHeight="1">
      <c r="A20" s="944" t="s">
        <v>1057</v>
      </c>
      <c r="B20" s="253" t="s">
        <v>104</v>
      </c>
      <c r="C20" s="275">
        <f>ROUND((C5+C19)*F20,0)</f>
        <v>433</v>
      </c>
      <c r="D20" s="275"/>
      <c r="E20" s="275"/>
      <c r="F20" s="276">
        <f>'数据-取费表'!B37</f>
        <v>0.02</v>
      </c>
      <c r="G20" s="1285"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50">
        <f ca="1">ROUND(SUM(C23:C25),0)</f>
        <v>2127</v>
      </c>
      <c r="D22" s="278">
        <f ca="1">C26</f>
        <v>1E-3</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2004</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102</v>
      </c>
      <c r="D24" s="281"/>
      <c r="E24" s="281"/>
      <c r="F24" s="282"/>
      <c r="G24" s="283" t="s">
        <v>109</v>
      </c>
    </row>
    <row r="25" spans="1:7" s="257" customFormat="1" ht="24">
      <c r="A25" s="947" t="s">
        <v>793</v>
      </c>
      <c r="B25" s="258" t="s">
        <v>1058</v>
      </c>
      <c r="C25" s="1351">
        <f ca="1">ROUND(IF('数据-取费表'!B22&lt;=1,C20*F22*'数据-取费表'!B23/2,C20*(POWER((1+F22),'数据-取费表'!B23/2)-1)),0)</f>
        <v>21</v>
      </c>
      <c r="D25" s="281"/>
      <c r="E25" s="284"/>
      <c r="F25" s="282"/>
      <c r="G25" s="285" t="s">
        <v>110</v>
      </c>
    </row>
    <row r="26" spans="1:7" s="257" customFormat="1">
      <c r="A26" s="947" t="s">
        <v>795</v>
      </c>
      <c r="B26" s="258" t="s">
        <v>1060</v>
      </c>
      <c r="C26" s="281">
        <f ca="1">ROUND(IF('数据-取费表'!B22&lt;=1,F21*F22*'数据-取费表'!B23/2,F21*(POWER((1+F22),'数据-取费表'!B23/2)-1)),4)</f>
        <v>1E-3</v>
      </c>
      <c r="D26" s="281"/>
      <c r="E26" s="284"/>
      <c r="F26" s="282"/>
      <c r="G26" s="286"/>
    </row>
    <row r="27" spans="1:7" s="257" customFormat="1" ht="24.75">
      <c r="A27" s="944" t="s">
        <v>787</v>
      </c>
      <c r="B27" s="287" t="s">
        <v>112</v>
      </c>
      <c r="C27" s="288">
        <f>C28</f>
        <v>5080</v>
      </c>
      <c r="D27" s="278">
        <f>C29</f>
        <v>4.5999999999999999E-3</v>
      </c>
      <c r="E27" s="279" t="s">
        <v>126</v>
      </c>
      <c r="F27" s="289">
        <f>'数据-取费表'!Q16</f>
        <v>0.23</v>
      </c>
      <c r="G27" s="290" t="s">
        <v>1069</v>
      </c>
    </row>
    <row r="28" spans="1:7" s="257" customFormat="1" ht="13.5" customHeight="1">
      <c r="A28" s="947" t="s">
        <v>794</v>
      </c>
      <c r="B28" s="291" t="s">
        <v>1062</v>
      </c>
      <c r="C28" s="292">
        <f>ROUND((C5+C19+C20)*F27*'数据-取费表'!B21/'数据-取费表'!B20,0)</f>
        <v>5080</v>
      </c>
      <c r="D28" s="278"/>
      <c r="E28" s="279"/>
      <c r="F28" s="289"/>
      <c r="G28" s="290"/>
    </row>
    <row r="29" spans="1:7" s="257" customFormat="1" ht="13.5" customHeight="1">
      <c r="A29" s="947" t="s">
        <v>792</v>
      </c>
      <c r="B29" s="291" t="s">
        <v>1063</v>
      </c>
      <c r="C29" s="281">
        <f>ROUND(C21*F27*'数据-取费表'!B21/'数据-取费表'!B20,4)</f>
        <v>4.5999999999999999E-3</v>
      </c>
      <c r="D29" s="278"/>
      <c r="E29" s="279"/>
      <c r="F29" s="289"/>
      <c r="G29" s="290"/>
    </row>
    <row r="30" spans="1:7" s="257" customFormat="1" ht="13.5" customHeight="1">
      <c r="A30" s="944"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31804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23794</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21770</v>
      </c>
      <c r="D34" s="260"/>
      <c r="E34" s="263"/>
      <c r="F34" s="300">
        <f>IF('数据-取费表'!B24=0,1,'数据-取费表'!N16)</f>
        <v>1</v>
      </c>
      <c r="G34" s="262" t="s">
        <v>116</v>
      </c>
    </row>
    <row r="35" spans="1:7" ht="13.5" customHeight="1">
      <c r="A35" s="947" t="s">
        <v>796</v>
      </c>
      <c r="B35" s="258" t="s">
        <v>60</v>
      </c>
      <c r="C35" s="263">
        <f>ROUND(C34*F35,0)</f>
        <v>653</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1044</v>
      </c>
      <c r="D37" s="260">
        <f>'数据-汇总表'!E3</f>
        <v>52177.779999999992</v>
      </c>
      <c r="E37" s="292">
        <f>'数据-取费表'!B35</f>
        <v>200</v>
      </c>
      <c r="F37" s="302"/>
      <c r="G37" s="304" t="s">
        <v>119</v>
      </c>
    </row>
    <row r="38" spans="1:7" ht="13.5" customHeight="1">
      <c r="A38" s="947" t="s">
        <v>799</v>
      </c>
      <c r="B38" s="258" t="s">
        <v>63</v>
      </c>
      <c r="C38" s="263">
        <f>ROUND(C34*F38,0)</f>
        <v>327</v>
      </c>
      <c r="D38" s="263"/>
      <c r="E38" s="263"/>
      <c r="F38" s="302">
        <f>'数据-取费表'!B36</f>
        <v>1.4999999999999999E-2</v>
      </c>
      <c r="G38" s="262" t="s">
        <v>117</v>
      </c>
    </row>
    <row r="39" spans="1:7" s="257" customFormat="1" ht="13.5" customHeight="1">
      <c r="A39" s="944" t="s">
        <v>783</v>
      </c>
      <c r="B39" s="253" t="s">
        <v>104</v>
      </c>
      <c r="C39" s="275">
        <f>ROUND(C33*F20,0)</f>
        <v>476</v>
      </c>
      <c r="D39" s="275"/>
      <c r="E39" s="275"/>
      <c r="F39" s="276"/>
      <c r="G39" s="1285"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1153</v>
      </c>
      <c r="D41" s="278">
        <f ca="1">C44</f>
        <v>1E-3</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1130</v>
      </c>
      <c r="D42" s="281"/>
      <c r="E42" s="281"/>
      <c r="F42" s="282"/>
      <c r="G42" s="3241" t="s">
        <v>121</v>
      </c>
    </row>
    <row r="43" spans="1:7" ht="13.5" customHeight="1">
      <c r="A43" s="947" t="s">
        <v>792</v>
      </c>
      <c r="B43" s="258" t="s">
        <v>1064</v>
      </c>
      <c r="C43" s="281">
        <f ca="1">ROUND(IF('数据-取费表'!B22&lt;=1,C39*F22*'数据-取费表'!B21/2,C39*(POWER((1+F22),'数据-取费表'!B21/2)-1)),0)</f>
        <v>23</v>
      </c>
      <c r="D43" s="281"/>
      <c r="E43" s="281"/>
      <c r="F43" s="282"/>
      <c r="G43" s="3242"/>
    </row>
    <row r="44" spans="1:7" ht="13.5" customHeight="1">
      <c r="A44" s="947" t="s">
        <v>793</v>
      </c>
      <c r="B44" s="258" t="s">
        <v>1066</v>
      </c>
      <c r="C44" s="281">
        <f ca="1">ROUND(IF('数据-取费表'!B22&lt;=1,C40*F22*'数据-取费表'!B21/2,C40*(POWER((1+F22),'数据-取费表'!B21/2)-1)),4)</f>
        <v>1E-3</v>
      </c>
      <c r="D44" s="281"/>
      <c r="E44" s="281"/>
      <c r="F44" s="282"/>
      <c r="G44" s="3243"/>
    </row>
    <row r="45" spans="1:7" s="257" customFormat="1" ht="13.5" customHeight="1">
      <c r="A45" s="944" t="s">
        <v>786</v>
      </c>
      <c r="B45" s="287" t="s">
        <v>112</v>
      </c>
      <c r="C45" s="288">
        <f>C46</f>
        <v>5582</v>
      </c>
      <c r="D45" s="278">
        <f>C47</f>
        <v>4.5999999999999999E-3</v>
      </c>
      <c r="E45" s="279" t="s">
        <v>129</v>
      </c>
      <c r="F45" s="289"/>
      <c r="G45" s="290" t="s">
        <v>1072</v>
      </c>
    </row>
    <row r="46" spans="1:7" s="257" customFormat="1" ht="13.5" customHeight="1">
      <c r="A46" s="947" t="s">
        <v>794</v>
      </c>
      <c r="B46" s="291" t="s">
        <v>1065</v>
      </c>
      <c r="C46" s="292">
        <f>ROUND((C33+C39)*F27,0)</f>
        <v>5582</v>
      </c>
      <c r="D46" s="306"/>
      <c r="E46" s="279"/>
      <c r="F46" s="289"/>
      <c r="G46" s="290"/>
    </row>
    <row r="47" spans="1:7" s="257" customFormat="1" ht="13.5" customHeight="1">
      <c r="A47" s="947" t="s">
        <v>792</v>
      </c>
      <c r="B47" s="291" t="s">
        <v>1067</v>
      </c>
      <c r="C47" s="281">
        <f>ROUND(C40*F27,4)</f>
        <v>4.5999999999999999E-3</v>
      </c>
      <c r="D47" s="306"/>
      <c r="E47" s="279"/>
      <c r="F47" s="289"/>
      <c r="G47" s="290"/>
    </row>
    <row r="48" spans="1:7" s="257" customFormat="1" ht="13.5" customHeight="1">
      <c r="A48" s="944" t="s">
        <v>787</v>
      </c>
      <c r="B48" s="253" t="s">
        <v>122</v>
      </c>
      <c r="C48" s="305">
        <f>F30</f>
        <v>5.6000000000000001E-2</v>
      </c>
      <c r="D48" s="279" t="s">
        <v>130</v>
      </c>
      <c r="E48" s="275"/>
      <c r="F48" s="280"/>
      <c r="G48" s="277" t="s">
        <v>123</v>
      </c>
    </row>
    <row r="49" spans="1:7" ht="16.5" customHeight="1">
      <c r="A49" s="944" t="s">
        <v>788</v>
      </c>
      <c r="B49" s="253" t="s">
        <v>131</v>
      </c>
      <c r="C49" s="275">
        <f ca="1">ROUND((C33+C39+C41+C45)/(1-C40-D41-D45-C48/(1+'数据-取费表'!B42)),0)</f>
        <v>33662</v>
      </c>
      <c r="D49" s="275"/>
      <c r="E49" s="275"/>
      <c r="F49" s="307"/>
      <c r="G49" s="277" t="s">
        <v>1073</v>
      </c>
    </row>
    <row r="50" spans="1:7" s="301" customFormat="1" ht="24">
      <c r="A50" s="944" t="s">
        <v>789</v>
      </c>
      <c r="B50" s="253" t="s">
        <v>124</v>
      </c>
      <c r="C50" s="275"/>
      <c r="D50" s="275"/>
      <c r="E50" s="275"/>
      <c r="F50" s="307">
        <f>IF('数据-取费表'!B24=0,'数据-取费表'!N16,1)</f>
        <v>0.86499999999999999</v>
      </c>
      <c r="G50" s="290" t="s">
        <v>125</v>
      </c>
    </row>
    <row r="51" spans="1:7" ht="16.5" customHeight="1">
      <c r="A51" s="944" t="s">
        <v>790</v>
      </c>
      <c r="B51" s="253" t="s">
        <v>132</v>
      </c>
      <c r="C51" s="275">
        <f ca="1">ROUND(C49*F50,0)</f>
        <v>29118</v>
      </c>
      <c r="D51" s="275"/>
      <c r="E51" s="275"/>
      <c r="F51" s="307"/>
      <c r="G51" s="277" t="s">
        <v>64</v>
      </c>
    </row>
    <row r="52" spans="1:7" s="251" customFormat="1" ht="16.5" thickBot="1">
      <c r="A52" s="308" t="s">
        <v>65</v>
      </c>
      <c r="B52" s="309"/>
      <c r="C52" s="310">
        <f ca="1">C31+C51</f>
        <v>60922</v>
      </c>
      <c r="D52" s="309"/>
      <c r="E52" s="309"/>
      <c r="F52" s="309"/>
      <c r="G52" s="311"/>
    </row>
    <row r="55" spans="1:7" ht="15">
      <c r="B55" s="313" t="s">
        <v>66</v>
      </c>
      <c r="C55" s="314"/>
    </row>
    <row r="56" spans="1:7">
      <c r="B56" s="316" t="s">
        <v>67</v>
      </c>
      <c r="C56" s="317">
        <f ca="1">ROUND(C51/C52,3)</f>
        <v>0.47799999999999998</v>
      </c>
    </row>
    <row r="57" spans="1:7">
      <c r="B57" s="316" t="s">
        <v>68</v>
      </c>
      <c r="C57" s="318">
        <f ca="1">1-C56</f>
        <v>0.52200000000000002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86" t="s">
        <v>156</v>
      </c>
      <c r="B1" s="3386"/>
      <c r="C1" s="3386"/>
      <c r="D1" s="3386"/>
      <c r="E1" s="3386"/>
      <c r="F1" s="3386"/>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87" t="s">
        <v>169</v>
      </c>
      <c r="B2" s="3387"/>
      <c r="C2" s="3387"/>
      <c r="D2" s="3387"/>
      <c r="E2" s="3387"/>
      <c r="F2" s="3387"/>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88"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89"/>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86" t="s">
        <v>871</v>
      </c>
      <c r="B1" s="3386"/>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1298</v>
      </c>
      <c r="C1" s="1690">
        <f>项目基本情况!D3</f>
        <v>43165</v>
      </c>
      <c r="D1" s="1696" t="s">
        <v>1299</v>
      </c>
      <c r="E1" s="1691">
        <f>'数据-取费表'!B22</f>
        <v>2</v>
      </c>
      <c r="F1" s="1696" t="s">
        <v>1300</v>
      </c>
      <c r="G1" s="1692">
        <f ca="1">INDIRECT("d"&amp;$K$1)/100</f>
        <v>4.7500000000000001E-2</v>
      </c>
      <c r="H1" s="1696" t="s">
        <v>1330</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1301</v>
      </c>
      <c r="E2" s="1632"/>
      <c r="F2" s="1632" t="s">
        <v>1302</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1303</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1304</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1305</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1306</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1307</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1308</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1309</v>
      </c>
      <c r="C10" s="1660"/>
      <c r="D10" s="1660"/>
      <c r="E10" s="1660"/>
      <c r="F10" s="1660"/>
      <c r="G10" s="1660"/>
      <c r="H10" s="1660"/>
      <c r="I10" s="1634"/>
      <c r="J10" s="1634"/>
      <c r="K10" s="1660"/>
      <c r="L10" s="1661" t="s">
        <v>1310</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1311</v>
      </c>
      <c r="C11" s="1665" t="s">
        <v>1312</v>
      </c>
      <c r="D11" s="1666" t="s">
        <v>1313</v>
      </c>
      <c r="E11" s="1667"/>
      <c r="F11" s="1666" t="s">
        <v>1314</v>
      </c>
      <c r="G11" s="1668"/>
      <c r="H11" s="1667"/>
      <c r="I11" s="1666" t="s">
        <v>1315</v>
      </c>
      <c r="J11" s="1667"/>
      <c r="K11" s="1663"/>
      <c r="L11" s="1664" t="s">
        <v>1311</v>
      </c>
      <c r="M11" s="1665" t="s">
        <v>1312</v>
      </c>
      <c r="N11" s="1664" t="s">
        <v>1316</v>
      </c>
      <c r="O11" s="1666" t="s">
        <v>1317</v>
      </c>
      <c r="P11" s="1668"/>
      <c r="Q11" s="1668"/>
      <c r="R11" s="1668"/>
      <c r="S11" s="1668"/>
      <c r="T11" s="1667"/>
      <c r="U11" s="1666" t="s">
        <v>1318</v>
      </c>
      <c r="V11" s="1668"/>
      <c r="W11" s="1667"/>
      <c r="X11" s="1664" t="s">
        <v>1319</v>
      </c>
      <c r="Y11" s="1664" t="s">
        <v>1320</v>
      </c>
      <c r="Z11" s="1664" t="s">
        <v>1321</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1322</v>
      </c>
      <c r="E12" s="1673" t="s">
        <v>1323</v>
      </c>
      <c r="F12" s="1673" t="s">
        <v>1324</v>
      </c>
      <c r="G12" s="1673" t="s">
        <v>1325</v>
      </c>
      <c r="H12" s="1673" t="s">
        <v>1307</v>
      </c>
      <c r="I12" s="1674" t="s">
        <v>1326</v>
      </c>
      <c r="J12" s="1674" t="s">
        <v>1326</v>
      </c>
      <c r="K12" s="1670"/>
      <c r="L12" s="1671"/>
      <c r="M12" s="1672"/>
      <c r="N12" s="1671"/>
      <c r="O12" s="1674" t="s">
        <v>1327</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1328</v>
      </c>
      <c r="C13" s="1678">
        <v>42301</v>
      </c>
      <c r="D13" s="1679">
        <v>4.3499999999999996</v>
      </c>
      <c r="E13" s="1679">
        <v>4.3499999999999996</v>
      </c>
      <c r="F13" s="1679">
        <v>4.75</v>
      </c>
      <c r="G13" s="1679">
        <v>4.75</v>
      </c>
      <c r="H13" s="1679">
        <v>4.9000000000000004</v>
      </c>
      <c r="I13" s="1679">
        <v>2.75</v>
      </c>
      <c r="J13" s="1679">
        <v>3.25</v>
      </c>
      <c r="K13" s="1676"/>
      <c r="L13" s="1677" t="s">
        <v>1328</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1329</v>
      </c>
      <c r="Y42" s="1683" t="s">
        <v>1329</v>
      </c>
      <c r="Z42" s="1683" t="s">
        <v>1329</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1329</v>
      </c>
      <c r="Y43" s="1683" t="s">
        <v>1329</v>
      </c>
      <c r="Z43" s="1683" t="s">
        <v>1329</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1329</v>
      </c>
      <c r="Y44" s="1683" t="s">
        <v>1329</v>
      </c>
      <c r="Z44" s="1683" t="s">
        <v>1329</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1329</v>
      </c>
      <c r="Y45" s="1683" t="s">
        <v>1329</v>
      </c>
      <c r="Z45" s="1683" t="s">
        <v>1329</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1329</v>
      </c>
      <c r="Y46" s="1683" t="s">
        <v>1329</v>
      </c>
      <c r="Z46" s="1683" t="s">
        <v>1329</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1329</v>
      </c>
      <c r="Y47" s="1683" t="s">
        <v>1329</v>
      </c>
      <c r="Z47" s="1683" t="s">
        <v>1329</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1329</v>
      </c>
      <c r="Y48" s="1683" t="s">
        <v>1329</v>
      </c>
      <c r="Z48" s="1683" t="s">
        <v>1329</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1329</v>
      </c>
      <c r="Y49" s="1683" t="s">
        <v>1329</v>
      </c>
      <c r="Z49" s="1683" t="s">
        <v>1329</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1329</v>
      </c>
      <c r="Y50" s="1683" t="s">
        <v>1329</v>
      </c>
      <c r="Z50" s="1683" t="s">
        <v>1329</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1329</v>
      </c>
      <c r="V51" s="1683" t="s">
        <v>1329</v>
      </c>
      <c r="W51" s="1683" t="s">
        <v>1329</v>
      </c>
      <c r="X51" s="1683" t="s">
        <v>1329</v>
      </c>
      <c r="Y51" s="1683" t="s">
        <v>1329</v>
      </c>
      <c r="Z51" s="1683" t="s">
        <v>1329</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1329</v>
      </c>
      <c r="J55" s="1683" t="s">
        <v>1329</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1370</v>
      </c>
      <c r="E1" s="1772" t="s">
        <v>1374</v>
      </c>
      <c r="F1" s="1773" t="s">
        <v>1378</v>
      </c>
    </row>
    <row r="2" spans="1:13" ht="20.25">
      <c r="A2" s="1779" t="s">
        <v>1371</v>
      </c>
    </row>
    <row r="3" spans="1:13" ht="16.5">
      <c r="A3" s="1780" t="s">
        <v>1372</v>
      </c>
    </row>
    <row r="4" spans="1:13" ht="14.25">
      <c r="A4" s="1770" t="s">
        <v>1373</v>
      </c>
      <c r="B4" s="1775" t="s">
        <v>1375</v>
      </c>
      <c r="C4" s="1776"/>
      <c r="D4" s="1777"/>
      <c r="E4" s="1775" t="s">
        <v>27</v>
      </c>
      <c r="F4" s="1776"/>
      <c r="G4" s="1777"/>
      <c r="H4" s="1775" t="s">
        <v>1376</v>
      </c>
      <c r="I4" s="1776"/>
      <c r="J4" s="1777"/>
      <c r="K4" s="1775" t="s">
        <v>6</v>
      </c>
      <c r="L4" s="1776"/>
      <c r="M4" s="1777"/>
    </row>
    <row r="5" spans="1:13" ht="14.25">
      <c r="A5" s="1771" t="s">
        <v>1377</v>
      </c>
      <c r="B5" s="1770" t="s">
        <v>1379</v>
      </c>
      <c r="C5" s="1770" t="s">
        <v>1380</v>
      </c>
      <c r="D5" s="1770" t="s">
        <v>1381</v>
      </c>
      <c r="E5" s="1770" t="s">
        <v>1379</v>
      </c>
      <c r="F5" s="1770" t="s">
        <v>1380</v>
      </c>
      <c r="G5" s="1770" t="s">
        <v>1381</v>
      </c>
      <c r="H5" s="1770" t="s">
        <v>1379</v>
      </c>
      <c r="I5" s="1770" t="s">
        <v>1380</v>
      </c>
      <c r="J5" s="1770" t="s">
        <v>1381</v>
      </c>
      <c r="K5" s="1770" t="s">
        <v>1379</v>
      </c>
      <c r="L5" s="1770" t="s">
        <v>1380</v>
      </c>
      <c r="M5" s="1770" t="s">
        <v>1381</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46" t="str">
        <f>IF(项目基本情况!B9="房地产市场价值","估价结果一览表","结果表-2")</f>
        <v>结果表-2</v>
      </c>
      <c r="B1" s="3046"/>
      <c r="C1" s="3046"/>
      <c r="D1" s="3046"/>
      <c r="E1" s="3046"/>
      <c r="F1" s="3046"/>
      <c r="G1" s="3046"/>
      <c r="H1" s="3046"/>
      <c r="I1" s="3046"/>
    </row>
    <row r="2" spans="1:9" ht="30" customHeight="1" thickTop="1">
      <c r="A2" s="3047" t="s">
        <v>1640</v>
      </c>
      <c r="B2" s="3047" t="s">
        <v>1641</v>
      </c>
      <c r="C2" s="3047" t="s">
        <v>1642</v>
      </c>
      <c r="D2" s="3047" t="str">
        <f>结果表办!D116</f>
        <v>出让国有建设用地使用权价值</v>
      </c>
      <c r="E2" s="3047"/>
      <c r="F2" s="3047" t="str">
        <f>结果表办!F116</f>
        <v>在建建筑物价值</v>
      </c>
      <c r="G2" s="3047"/>
      <c r="H2" s="3047" t="str">
        <f>IF(项目基本情况!B9="房地产市场价值","房地产市场价值","房地产价值")</f>
        <v>房地产价值</v>
      </c>
      <c r="I2" s="3047"/>
    </row>
    <row r="3" spans="1:9" ht="15">
      <c r="A3" s="3048"/>
      <c r="B3" s="3048"/>
      <c r="C3" s="3048"/>
      <c r="D3" s="1040" t="s">
        <v>1637</v>
      </c>
      <c r="E3" s="1040" t="s">
        <v>1643</v>
      </c>
      <c r="F3" s="1040" t="s">
        <v>1637</v>
      </c>
      <c r="G3" s="1040" t="s">
        <v>1638</v>
      </c>
      <c r="H3" s="1040" t="s">
        <v>1637</v>
      </c>
      <c r="I3" s="1040" t="s">
        <v>1638</v>
      </c>
    </row>
    <row r="4" spans="1:9" ht="60">
      <c r="A4" s="1969" t="str">
        <f>项目基本情况!S2</f>
        <v>北京市东城区东直门南大街甲3号办公楼、车库用房房地产出让国有建设用地使用权及在建建筑物房地产</v>
      </c>
      <c r="B4" s="1040">
        <f>项目基本情况!C17</f>
        <v>52177.779999999992</v>
      </c>
      <c r="C4" s="1040">
        <f>项目基本情况!C18</f>
        <v>8406.27</v>
      </c>
      <c r="D4" s="1040">
        <f ca="1">结果表办!D118</f>
        <v>215178</v>
      </c>
      <c r="E4" s="1040">
        <f ca="1">结果表办!E118</f>
        <v>41240</v>
      </c>
      <c r="F4" s="1040">
        <f ca="1">结果表办!F118</f>
        <v>49820</v>
      </c>
      <c r="G4" s="1040">
        <f ca="1">结果表办!G118</f>
        <v>9548</v>
      </c>
      <c r="H4" s="1040">
        <f ca="1">结果表办!H118</f>
        <v>264998</v>
      </c>
      <c r="I4" s="1040">
        <f ca="1">结果表办!I118</f>
        <v>50788</v>
      </c>
    </row>
    <row r="5" spans="1:9" ht="30" customHeight="1">
      <c r="A5" s="3048" t="s">
        <v>1639</v>
      </c>
      <c r="B5" s="3048"/>
      <c r="C5" s="3048"/>
      <c r="D5" s="3049" t="str">
        <f ca="1">结果表办!D119</f>
        <v>贰拾壹亿伍仟壹佰柒拾捌万元整</v>
      </c>
      <c r="E5" s="3049"/>
      <c r="F5" s="3049" t="str">
        <f ca="1">结果表办!F119</f>
        <v>肆亿玖仟捌佰贰拾万元整</v>
      </c>
      <c r="G5" s="3049"/>
      <c r="H5" s="3049" t="str">
        <f ca="1">结果表办!H119</f>
        <v>贰拾陆亿肆仟玖佰玖拾捌万元整</v>
      </c>
      <c r="I5" s="3049"/>
    </row>
    <row r="6" spans="1:9" ht="15.75">
      <c r="A6" s="3050" t="str">
        <f>结果表办!A120</f>
        <v>估价师知悉的法定优先受偿款</v>
      </c>
      <c r="B6" s="3050"/>
      <c r="C6" s="3050"/>
      <c r="D6" s="3050">
        <f>结果表办!D120</f>
        <v>0</v>
      </c>
      <c r="E6" s="3050"/>
      <c r="F6" s="3050"/>
      <c r="G6" s="3050"/>
      <c r="H6" s="3050"/>
      <c r="I6" s="3050"/>
    </row>
    <row r="7" spans="1:9" ht="15">
      <c r="A7" s="3048" t="s">
        <v>1639</v>
      </c>
      <c r="B7" s="3048"/>
      <c r="C7" s="3048"/>
      <c r="D7" s="3051" t="str">
        <f>结果表办!D121</f>
        <v>零元整</v>
      </c>
      <c r="E7" s="3052"/>
      <c r="F7" s="3052"/>
      <c r="G7" s="3052"/>
      <c r="H7" s="3052"/>
      <c r="I7" s="3053"/>
    </row>
    <row r="8" spans="1:9" ht="15.75">
      <c r="A8" s="3050" t="str">
        <f>结果表办!A122</f>
        <v>房地产抵押价值</v>
      </c>
      <c r="B8" s="3050"/>
      <c r="C8" s="3050"/>
      <c r="D8" s="3050">
        <f ca="1">结果表办!D122</f>
        <v>264998</v>
      </c>
      <c r="E8" s="3050"/>
      <c r="F8" s="3050"/>
      <c r="G8" s="3050"/>
      <c r="H8" s="3050"/>
      <c r="I8" s="3050"/>
    </row>
    <row r="9" spans="1:9" ht="15">
      <c r="A9" s="3048" t="s">
        <v>1639</v>
      </c>
      <c r="B9" s="3048"/>
      <c r="C9" s="3048"/>
      <c r="D9" s="3049" t="str">
        <f ca="1">结果表办!D123</f>
        <v>贰拾陆亿肆仟玖佰玖拾捌万元整</v>
      </c>
      <c r="E9" s="3049"/>
      <c r="F9" s="3049"/>
      <c r="G9" s="3049"/>
      <c r="H9" s="3049"/>
      <c r="I9" s="3049"/>
    </row>
    <row r="10" spans="1:9" ht="15.75">
      <c r="A10" s="3050" t="str">
        <f>结果表办!A124</f>
        <v/>
      </c>
      <c r="B10" s="3050"/>
      <c r="C10" s="3050"/>
      <c r="D10" s="3050" t="str">
        <f>结果表办!D124</f>
        <v>——</v>
      </c>
      <c r="E10" s="3050"/>
      <c r="F10" s="3050"/>
      <c r="G10" s="3050"/>
      <c r="H10" s="3050"/>
      <c r="I10" s="3050"/>
    </row>
    <row r="11" spans="1:9" ht="15">
      <c r="A11" s="3048" t="s">
        <v>1639</v>
      </c>
      <c r="B11" s="3048"/>
      <c r="C11" s="3048"/>
      <c r="D11" s="3049" t="e">
        <f>结果表办!D125</f>
        <v>#VALUE!</v>
      </c>
      <c r="E11" s="3049"/>
      <c r="F11" s="3049"/>
      <c r="G11" s="3049"/>
      <c r="H11" s="3049"/>
      <c r="I11" s="3049"/>
    </row>
    <row r="12" spans="1:9" ht="15.75">
      <c r="A12" s="3050" t="str">
        <f>结果表办!A126</f>
        <v/>
      </c>
      <c r="B12" s="3050"/>
      <c r="C12" s="3050"/>
      <c r="D12" s="3050" t="str">
        <f>结果表办!D126</f>
        <v>——</v>
      </c>
      <c r="E12" s="3050"/>
      <c r="F12" s="3050"/>
      <c r="G12" s="3050"/>
      <c r="H12" s="3050"/>
      <c r="I12" s="3050"/>
    </row>
    <row r="13" spans="1:9" ht="15.75" thickBot="1">
      <c r="A13" s="3054" t="s">
        <v>1639</v>
      </c>
      <c r="B13" s="3054"/>
      <c r="C13" s="3054"/>
      <c r="D13" s="3055" t="e">
        <f>结果表办!D127</f>
        <v>#VALUE!</v>
      </c>
      <c r="E13" s="3055"/>
      <c r="F13" s="3055"/>
      <c r="G13" s="3055"/>
      <c r="H13" s="3055"/>
      <c r="I13" s="3055"/>
    </row>
    <row r="14" spans="1:9" ht="15" thickTop="1">
      <c r="A14" s="3056" t="s">
        <v>1644</v>
      </c>
      <c r="B14" s="3056"/>
      <c r="C14" s="3056"/>
      <c r="D14" s="3056"/>
      <c r="E14" s="3056"/>
      <c r="F14" s="3056"/>
      <c r="G14" s="3056"/>
      <c r="H14" s="3056"/>
      <c r="I14" s="3056"/>
    </row>
    <row r="16" spans="1:9" ht="18.75">
      <c r="A16" s="1970" t="s">
        <v>1627</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57" t="s">
        <v>1661</v>
      </c>
      <c r="B1" s="3057"/>
      <c r="C1" s="3057"/>
      <c r="D1" s="3057"/>
    </row>
    <row r="2" spans="1:4" ht="18">
      <c r="A2" s="3058" t="s">
        <v>1645</v>
      </c>
      <c r="B2" s="3058"/>
      <c r="C2" s="3058"/>
      <c r="D2" s="3058"/>
    </row>
    <row r="3" spans="1:4" ht="18.75">
      <c r="A3" s="1973" t="s">
        <v>1646</v>
      </c>
      <c r="B3" s="1973" t="s">
        <v>1647</v>
      </c>
      <c r="C3" s="1973" t="s">
        <v>1648</v>
      </c>
      <c r="D3" s="1973" t="s">
        <v>1649</v>
      </c>
    </row>
    <row r="4" spans="1:4" ht="56.25" customHeight="1">
      <c r="A4" s="1974" t="str">
        <f>项目基本情况!B4</f>
        <v xml:space="preserve"> </v>
      </c>
      <c r="B4" s="1975">
        <f>项目基本情况!C4</f>
        <v>0</v>
      </c>
      <c r="C4" s="1976"/>
      <c r="D4" s="1977" t="s">
        <v>1650</v>
      </c>
    </row>
    <row r="5" spans="1:4" ht="56.25" customHeight="1">
      <c r="A5" s="1974" t="str">
        <f>项目基本情况!D4</f>
        <v>欧红伟</v>
      </c>
      <c r="B5" s="1975">
        <f ca="1">项目基本情况!E4</f>
        <v>1120000080</v>
      </c>
      <c r="C5" s="1978"/>
      <c r="D5" s="1977" t="s">
        <v>1650</v>
      </c>
    </row>
    <row r="6" spans="1:4" ht="18">
      <c r="A6" s="3058" t="s">
        <v>1651</v>
      </c>
      <c r="B6" s="3058"/>
      <c r="C6" s="3058"/>
      <c r="D6" s="3058"/>
    </row>
    <row r="7" spans="1:4" ht="18.75">
      <c r="A7" s="1973" t="s">
        <v>1646</v>
      </c>
      <c r="B7" s="1975" t="s">
        <v>1652</v>
      </c>
      <c r="C7" s="1973" t="s">
        <v>1648</v>
      </c>
      <c r="D7" s="1973" t="s">
        <v>1649</v>
      </c>
    </row>
    <row r="8" spans="1:4" ht="56.25" customHeight="1">
      <c r="A8" s="1979" t="s">
        <v>869</v>
      </c>
      <c r="B8" s="1979" t="s">
        <v>1</v>
      </c>
      <c r="C8" s="1976"/>
      <c r="D8" s="1977" t="s">
        <v>1650</v>
      </c>
    </row>
    <row r="9" spans="1:4">
      <c r="A9" s="726"/>
      <c r="B9" s="726"/>
      <c r="C9" s="726"/>
      <c r="D9" s="726"/>
    </row>
    <row r="10" spans="1:4" ht="18.75">
      <c r="A10" s="1980" t="s">
        <v>1653</v>
      </c>
      <c r="B10" s="726"/>
      <c r="C10" s="726"/>
      <c r="D10" s="726"/>
    </row>
    <row r="11" spans="1:4" ht="30" customHeight="1">
      <c r="A11" s="3059" t="s">
        <v>1654</v>
      </c>
      <c r="B11" s="3060"/>
      <c r="C11" s="3060"/>
      <c r="D11" s="3060"/>
    </row>
    <row r="12" spans="1:4" ht="15.75">
      <c r="A12" s="30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1"/>
      <c r="C12" s="3061"/>
      <c r="D12" s="3061"/>
    </row>
    <row r="13" spans="1:4" ht="30" customHeight="1">
      <c r="A13" s="30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1"/>
      <c r="C13" s="3061"/>
      <c r="D13" s="3061"/>
    </row>
    <row r="14" spans="1:4" ht="15.75" customHeight="1">
      <c r="A14" s="3060" t="str">
        <f>IF(项目基本情况!B8="抵押","4.本次评估估价师所知悉的法定优先受偿款情况说明如下：","——")</f>
        <v>4.本次评估估价师所知悉的法定优先受偿款情况说明如下：</v>
      </c>
      <c r="B14" s="3061"/>
      <c r="C14" s="3061"/>
      <c r="D14" s="3061"/>
    </row>
    <row r="15" spans="1:4" ht="42" customHeight="1">
      <c r="A15" s="3060"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0"/>
      <c r="C15" s="3060"/>
      <c r="D15" s="3060"/>
    </row>
    <row r="16" spans="1:4" ht="30" customHeight="1">
      <c r="A16" s="3063" t="s">
        <v>1655</v>
      </c>
      <c r="B16" s="3063"/>
      <c r="C16" s="3063"/>
      <c r="D16" s="3063"/>
    </row>
    <row r="17" spans="1:4" ht="144" customHeight="1">
      <c r="A17" s="3063" t="s">
        <v>1656</v>
      </c>
      <c r="B17" s="3063"/>
      <c r="C17" s="3063"/>
      <c r="D17" s="3063"/>
    </row>
    <row r="18" spans="1:4" ht="15.75" customHeight="1">
      <c r="A18" s="3060" t="str">
        <f>IF(项目基本情况!B8="抵押",结果表办!K120,"——")</f>
        <v>故，本次评估不存在估价师知悉的法定优先受偿款</v>
      </c>
      <c r="B18" s="3060"/>
      <c r="C18" s="3060"/>
      <c r="D18" s="3060"/>
    </row>
    <row r="19" spans="1:4" ht="46.5" customHeight="1">
      <c r="A19" s="30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0"/>
      <c r="C19" s="3060"/>
      <c r="D19" s="3060"/>
    </row>
    <row r="20" spans="1:4" ht="57.75" customHeight="1">
      <c r="A20" s="3060"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0"/>
      <c r="C20" s="3060"/>
      <c r="D20" s="3060"/>
    </row>
    <row r="21" spans="1:4" ht="57.75" customHeight="1">
      <c r="A21" s="3064"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4"/>
      <c r="C21" s="3064"/>
      <c r="D21" s="3064"/>
    </row>
    <row r="22" spans="1:4" ht="18.75" customHeight="1">
      <c r="A22" s="3065" t="s">
        <v>1657</v>
      </c>
      <c r="B22" s="3065"/>
      <c r="C22" s="3065"/>
      <c r="D22" s="3065"/>
    </row>
    <row r="23" spans="1:4">
      <c r="A23" s="1981"/>
      <c r="B23" s="1953"/>
      <c r="C23" s="1953"/>
      <c r="D23" s="1953"/>
    </row>
    <row r="24" spans="1:4">
      <c r="A24" s="1981"/>
      <c r="B24" s="1953"/>
      <c r="C24" s="1953"/>
      <c r="D24" s="1953"/>
    </row>
    <row r="25" spans="1:4" ht="18.75">
      <c r="A25" s="1982" t="s">
        <v>1658</v>
      </c>
    </row>
    <row r="26" spans="1:4" ht="18">
      <c r="A26" s="1951"/>
    </row>
    <row r="27" spans="1:4" ht="18.75">
      <c r="A27" s="1951" t="s">
        <v>1659</v>
      </c>
    </row>
    <row r="30" spans="1:4" ht="18.75">
      <c r="D30" s="1982" t="s">
        <v>1660</v>
      </c>
    </row>
    <row r="31" spans="1:4" ht="13.5" customHeight="1">
      <c r="C31" s="3062">
        <v>42551</v>
      </c>
      <c r="D31" s="30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1662</v>
      </c>
    </row>
    <row r="3" spans="1:7">
      <c r="A3" s="1987" t="s">
        <v>82</v>
      </c>
      <c r="B3" s="1971" t="s">
        <v>1663</v>
      </c>
      <c r="G3" s="1988"/>
    </row>
    <row r="4" spans="1:7">
      <c r="G4" s="1988"/>
    </row>
    <row r="5" spans="1:7">
      <c r="A5" s="1990" t="s">
        <v>73</v>
      </c>
      <c r="B5" s="1971" t="s">
        <v>1664</v>
      </c>
      <c r="G5" s="1988"/>
    </row>
    <row r="6" spans="1:7">
      <c r="G6" s="1988"/>
    </row>
    <row r="7" spans="1:7">
      <c r="A7" s="1991" t="s">
        <v>135</v>
      </c>
      <c r="B7" s="1971" t="s">
        <v>1665</v>
      </c>
      <c r="G7" s="1988"/>
    </row>
    <row r="8" spans="1:7">
      <c r="G8" s="1988"/>
    </row>
    <row r="9" spans="1:7">
      <c r="A9" s="1992" t="s">
        <v>74</v>
      </c>
      <c r="B9" s="1971" t="s">
        <v>1666</v>
      </c>
    </row>
    <row r="11" spans="1:7">
      <c r="A11" s="1993" t="s">
        <v>75</v>
      </c>
      <c r="B11" s="1994" t="s">
        <v>72</v>
      </c>
    </row>
    <row r="13" spans="1:7">
      <c r="A13" s="1995" t="s">
        <v>1667</v>
      </c>
    </row>
    <row r="15" spans="1:7" ht="13.5">
      <c r="A15" s="3071" t="s">
        <v>1668</v>
      </c>
      <c r="B15" s="3066" t="s">
        <v>136</v>
      </c>
      <c r="C15" s="3067"/>
    </row>
    <row r="16" spans="1:7" ht="13.5">
      <c r="A16" s="3072"/>
      <c r="B16" s="3066" t="s">
        <v>69</v>
      </c>
      <c r="C16" s="3067"/>
    </row>
    <row r="17" spans="1:3" ht="13.5">
      <c r="A17" s="3072"/>
      <c r="B17" s="3069" t="s">
        <v>1669</v>
      </c>
      <c r="C17" s="1996" t="s">
        <v>1668</v>
      </c>
    </row>
    <row r="18" spans="1:3" ht="13.5">
      <c r="A18" s="3072"/>
      <c r="B18" s="3069"/>
      <c r="C18" s="1996" t="s">
        <v>1670</v>
      </c>
    </row>
    <row r="19" spans="1:3" ht="13.5">
      <c r="A19" s="3072"/>
      <c r="B19" s="3069"/>
      <c r="C19" s="1996" t="s">
        <v>1671</v>
      </c>
    </row>
    <row r="20" spans="1:3" ht="13.5">
      <c r="A20" s="3073"/>
      <c r="B20" s="3068" t="s">
        <v>1672</v>
      </c>
      <c r="C20" s="3067"/>
    </row>
    <row r="21" spans="1:3" ht="13.5">
      <c r="A21" s="1997" t="s">
        <v>1673</v>
      </c>
      <c r="B21" s="1998"/>
      <c r="C21" s="1999"/>
    </row>
    <row r="22" spans="1:3" ht="13.5">
      <c r="A22" s="3070" t="s">
        <v>1674</v>
      </c>
      <c r="B22" s="3068" t="s">
        <v>1675</v>
      </c>
      <c r="C22" s="3067"/>
    </row>
    <row r="23" spans="1:3" ht="13.5">
      <c r="A23" s="3070"/>
      <c r="B23" s="3068" t="s">
        <v>1676</v>
      </c>
      <c r="C23" s="3067"/>
    </row>
    <row r="24" spans="1:3" ht="13.5">
      <c r="A24" s="3070"/>
      <c r="B24" s="3068" t="s">
        <v>1677</v>
      </c>
      <c r="C24" s="3067"/>
    </row>
    <row r="25" spans="1:3" ht="13.5">
      <c r="A25" s="3070"/>
      <c r="B25" s="3069" t="s">
        <v>1678</v>
      </c>
      <c r="C25" s="1996" t="s">
        <v>1679</v>
      </c>
    </row>
    <row r="26" spans="1:3" ht="13.5">
      <c r="A26" s="3070"/>
      <c r="B26" s="3069"/>
      <c r="C26" s="1996" t="s">
        <v>1680</v>
      </c>
    </row>
    <row r="27" spans="1:3" ht="13.5">
      <c r="A27" s="3070"/>
      <c r="B27" s="3069"/>
      <c r="C27" s="1996" t="s">
        <v>1681</v>
      </c>
    </row>
    <row r="28" spans="1:3" ht="13.5">
      <c r="A28" s="3070"/>
      <c r="B28" s="3069"/>
      <c r="C28" s="1996" t="s">
        <v>1682</v>
      </c>
    </row>
    <row r="29" spans="1:3" ht="13.5">
      <c r="A29" s="3070"/>
      <c r="B29" s="3069"/>
      <c r="C29" s="1996" t="s">
        <v>1683</v>
      </c>
    </row>
    <row r="30" spans="1:3" ht="13.5">
      <c r="A30" s="3070"/>
      <c r="B30" s="3069"/>
      <c r="C30" s="1996" t="s">
        <v>1684</v>
      </c>
    </row>
    <row r="31" spans="1:3" ht="13.5">
      <c r="A31" s="3070"/>
      <c r="B31" s="3069"/>
      <c r="C31" s="1996" t="s">
        <v>1685</v>
      </c>
    </row>
    <row r="32" spans="1:3" ht="13.5">
      <c r="A32" s="3070"/>
      <c r="B32" s="3069"/>
      <c r="C32" s="1996" t="s">
        <v>1686</v>
      </c>
    </row>
    <row r="33" spans="1:3" ht="13.5">
      <c r="A33" s="3070"/>
      <c r="B33" s="3069"/>
      <c r="C33" s="1996" t="s">
        <v>1687</v>
      </c>
    </row>
    <row r="34" spans="1:3">
      <c r="A34" s="2000" t="s">
        <v>76</v>
      </c>
    </row>
    <row r="37" spans="1:3">
      <c r="A37" s="2000" t="s">
        <v>1688</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43169</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340"/>
      <c r="D12" s="2343"/>
      <c r="E12" s="1018"/>
      <c r="F12" s="1018"/>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1147</v>
      </c>
      <c r="B15" s="1018">
        <v>1120070085</v>
      </c>
      <c r="C15" s="2340">
        <v>43814</v>
      </c>
      <c r="D15" s="2344" t="s">
        <v>1147</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1331</v>
      </c>
      <c r="B24" s="1699" t="s">
        <v>1331</v>
      </c>
      <c r="C24" s="2341" t="s">
        <v>1331</v>
      </c>
      <c r="D24" s="2344" t="s">
        <v>1331</v>
      </c>
      <c r="E24" s="1699" t="s">
        <v>1331</v>
      </c>
      <c r="F24" s="1699" t="s">
        <v>1331</v>
      </c>
    </row>
    <row r="25" spans="1:7" ht="24" customHeight="1">
      <c r="A25" s="3074" t="s">
        <v>846</v>
      </c>
      <c r="B25" s="3074"/>
      <c r="C25" s="3074"/>
      <c r="D25" s="3074"/>
      <c r="E25" s="3074"/>
      <c r="F25" s="3074"/>
      <c r="G25" s="3074"/>
    </row>
    <row r="26" spans="1:7" s="1021" customFormat="1" ht="24" customHeight="1">
      <c r="A26" s="3075" t="s">
        <v>847</v>
      </c>
      <c r="B26" s="3075"/>
      <c r="C26" s="3076"/>
      <c r="D26" s="3077" t="s">
        <v>848</v>
      </c>
      <c r="E26" s="3075"/>
      <c r="F26" s="3075"/>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1382</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结果汇总</vt:lpstr>
      <vt:lpstr>结果表办</vt:lpstr>
      <vt:lpstr>成本法</vt:lpstr>
      <vt:lpstr>成本法 (元)</vt:lpstr>
      <vt:lpstr>假设开发法</vt:lpstr>
      <vt:lpstr>比较法-办公</vt:lpstr>
      <vt:lpstr>典型户型修正</vt:lpstr>
      <vt:lpstr>收益法租</vt:lpstr>
      <vt:lpstr>收益法 (元)</vt:lpstr>
      <vt:lpstr>收益法自</vt:lpstr>
      <vt:lpstr>收益法（汇总）</vt:lpstr>
      <vt:lpstr>酒店收入计算</vt:lpstr>
      <vt:lpstr>比较法-住宅</vt:lpstr>
      <vt:lpstr>比较法-商业</vt:lpstr>
      <vt:lpstr>比较法-工业</vt:lpstr>
      <vt:lpstr>结果表车</vt:lpstr>
      <vt:lpstr>比较法-车位</vt:lpstr>
      <vt:lpstr>比较法-仓储</vt:lpstr>
      <vt:lpstr>土地比较法-住宅、综合</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'比较法-车位'!Print_Area</vt:lpstr>
      <vt:lpstr>典型户型修正!Print_Area</vt:lpstr>
      <vt:lpstr>估价师及机构信息!Print_Area</vt:lpstr>
      <vt:lpstr>结果表办!Print_Area</vt:lpstr>
      <vt:lpstr>结果表车!Print_Area</vt:lpstr>
      <vt:lpstr>结果汇总!Print_Area</vt:lpstr>
      <vt:lpstr>'收益法 (元)'!Print_Area</vt:lpstr>
      <vt:lpstr>收益法车!Print_Area</vt:lpstr>
      <vt:lpstr>收益法自!Print_Area</vt:lpstr>
      <vt:lpstr>收益法租!Print_Area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think</cp:lastModifiedBy>
  <cp:lastPrinted>2018-03-07T09:04:07Z</cp:lastPrinted>
  <dcterms:created xsi:type="dcterms:W3CDTF">2015-07-13T07:17:23Z</dcterms:created>
  <dcterms:modified xsi:type="dcterms:W3CDTF">2018-03-10T02:52:31Z</dcterms:modified>
</cp:coreProperties>
</file>