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办公" sheetId="34" r:id="rId20"/>
    <sheet name="收益法 (元)" sheetId="67" r:id="rId21"/>
    <sheet name="成本法 (元)" sheetId="69" r:id="rId22"/>
    <sheet name="假设开发法" sheetId="12" state="hidden" r:id="rId23"/>
    <sheet name="收益法" sheetId="15"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19"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0">'收益法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<sst xmlns="http://schemas.openxmlformats.org/spreadsheetml/2006/main" count="7969" uniqueCount="2783">
  <si>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</si>
  <si>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</si>
  <si>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</si>
  <si>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</si>
  <si>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</si>
  <si>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</si>
  <si>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</si>
  <si>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</si>
  <si>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</si>
  <si>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</si>
  <si>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</si>
  <si>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</si>
  <si>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</si>
  <si>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</si>
  <si>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</si>
  <si>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</si>
  <si>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</si>
  <si>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</si>
  <si>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</si>
  <si>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</si>
  <si>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</si>
  <si>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</si>
  <si>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</si>
  <si>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</si>
  <si>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</si>
  <si>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</si>
  <si>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</si>
  <si>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</si>
  <si>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</si>
  <si>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</si>
  <si>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</si>
  <si>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</si>
  <si>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</si>
  <si>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</si>
  <si>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</si>
  <si>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</si>
  <si>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</si>
  <si>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</si>
  <si>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</si>
  <si>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</si>
  <si>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</si>
  <si>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</si>
  <si>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</si>
  <si>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</si>
  <si>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</si>
  <si>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</si>
  <si>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</si>
  <si>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</si>
  <si>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</si>
  <si>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</si>
  <si>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</si>
  <si>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</si>
  <si>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</si>
  <si>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</si>
  <si>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</si>
  <si>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</si>
  <si>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</si>
  <si>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</si>
  <si>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</si>
  <si>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</si>
  <si>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</si>
  <si>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</si>
  <si>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</si>
  <si>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</si>
  <si>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</si>
  <si>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</si>
  <si>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</si>
  <si>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</si>
  <si>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</si>
  <si>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</si>
  <si>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</si>
  <si>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</si>
  <si>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</si>
  <si>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</si>
  <si>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</si>
  <si>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</si>
  <si>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</si>
  <si>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</si>
  <si>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</si>
  <si>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</si>
  <si>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</si>
  <si>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</si>
  <si>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</si>
  <si>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</si>
  <si>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</si>
  <si>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</si>
  <si>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</si>
  <si>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</si>
  <si>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</si>
  <si>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</si>
  <si>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</si>
  <si>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</si>
  <si>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</si>
  <si>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</si>
  <si>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</si>
  <si>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</si>
  <si>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</si>
  <si>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</si>
  <si>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</si>
  <si>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</si>
  <si>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</si>
  <si>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</si>
  <si>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</si>
  <si>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</si>
  <si>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</si>
  <si>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</si>
  <si>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</si>
  <si>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</si>
  <si>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</si>
  <si>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</si>
  <si>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</si>
  <si>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</si>
  <si>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</si>
  <si>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</si>
  <si>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</si>
  <si>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</si>
  <si>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</si>
  <si>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</si>
  <si>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</si>
  <si>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</si>
  <si>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</si>
  <si>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</si>
  <si>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</si>
  <si>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</si>
  <si>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</si>
  <si>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</si>
  <si>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</si>
  <si>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</si>
  <si>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</si>
  <si>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</si>
  <si>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</si>
  <si>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</si>
  <si>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</si>
  <si>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</si>
  <si>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</si>
  <si>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</si>
  <si>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</si>
  <si>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</si>
  <si>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</si>
  <si>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</si>
  <si>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</si>
  <si>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</si>
  <si>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</si>
  <si>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</si>
  <si>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</si>
  <si>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</si>
  <si>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</si>
  <si>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</si>
  <si>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</si>
  <si>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</si>
  <si>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</si>
  <si>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</si>
  <si>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</si>
  <si>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</si>
  <si>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</si>
  <si>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</si>
  <si>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</si>
  <si>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</si>
  <si>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</si>
  <si>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</si>
  <si>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</si>
  <si>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</si>
  <si>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</si>
  <si>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</si>
  <si>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</si>
  <si>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</si>
  <si>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</si>
  <si>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</si>
  <si>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</si>
  <si>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</si>
  <si>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</si>
  <si>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</si>
  <si>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</si>
  <si>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</si>
  <si>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</si>
  <si>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</si>
  <si>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</si>
  <si>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</si>
  <si>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</si>
  <si>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</si>
  <si>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</si>
  <si>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</si>
  <si>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</si>
  <si>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</si>
  <si>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</si>
  <si>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</si>
  <si>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</si>
  <si>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</si>
  <si>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</si>
  <si>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</si>
  <si>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</si>
  <si>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</si>
  <si>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</si>
  <si>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</si>
  <si>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</si>
  <si>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</si>
  <si>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</si>
  <si>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</si>
  <si>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</si>
  <si>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</si>
  <si>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</si>
  <si>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</si>
  <si>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</si>
  <si>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</si>
  <si>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</si>
  <si>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</si>
  <si>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</si>
  <si>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</si>
  <si>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</si>
  <si>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</si>
  <si>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</si>
  <si>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</si>
  <si>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</si>
  <si>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</si>
  <si>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</si>
  <si>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</si>
  <si>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</si>
  <si>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</si>
  <si>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</si>
  <si>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</si>
  <si>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</si>
  <si>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</si>
  <si>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</si>
  <si>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</si>
  <si>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</si>
  <si>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</si>
  <si>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</si>
  <si>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</si>
  <si>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</si>
  <si>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</si>
  <si>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</si>
  <si>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</si>
  <si>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</si>
  <si>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</si>
  <si>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</si>
  <si>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</si>
  <si>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</si>
  <si>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</si>
  <si>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</si>
  <si>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</si>
  <si>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</si>
  <si>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</si>
  <si>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</si>
  <si>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</si>
  <si>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</si>
  <si>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</si>
  <si>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</si>
  <si>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</si>
  <si>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</si>
  <si>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</si>
  <si>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</si>
  <si>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</si>
  <si>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</si>
  <si>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</si>
  <si>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</si>
  <si>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</si>
  <si>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</si>
  <si>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</si>
  <si>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</si>
  <si>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</si>
  <si>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</si>
  <si>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</si>
  <si>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</si>
  <si>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</si>
  <si>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</si>
  <si>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</si>
  <si>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</si>
  <si>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</si>
  <si>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</si>
  <si>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</si>
  <si>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</si>
  <si>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</si>
  <si>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</si>
  <si>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</si>
  <si>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</si>
  <si>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</si>
  <si>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</si>
  <si>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</si>
  <si>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</si>
  <si>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</si>
  <si>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</si>
  <si>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</si>
  <si>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</si>
  <si>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</si>
  <si>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</si>
  <si>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</si>
  <si>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</si>
  <si>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</si>
  <si>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</si>
  <si>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</si>
  <si>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</si>
  <si>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</si>
  <si>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</si>
  <si>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</si>
  <si>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</si>
  <si>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</si>
  <si>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</si>
  <si>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</si>
  <si>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</si>
  <si>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</si>
  <si>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</si>
  <si>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</si>
  <si>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</si>
  <si>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</si>
  <si>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</si>
  <si>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</si>
  <si>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</si>
  <si>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</si>
  <si>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</si>
  <si>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</si>
  <si>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</si>
  <si>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</si>
  <si>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</si>
  <si>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</si>
  <si>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</si>
  <si>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</si>
  <si>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</si>
  <si>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</si>
  <si>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</si>
  <si>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</si>
  <si>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</si>
  <si>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</si>
  <si>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</si>
  <si>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</si>
  <si>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</si>
  <si>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</si>
  <si>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</si>
  <si>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</si>
  <si>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</si>
  <si>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</si>
  <si>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</si>
  <si>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</si>
  <si>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</si>
  <si>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</si>
  <si>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</si>
  <si>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</si>
  <si>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</si>
  <si>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</si>
  <si>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</si>
  <si>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</si>
  <si>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</si>
  <si>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</si>
  <si>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</si>
  <si>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</si>
  <si>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</si>
  <si>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</si>
  <si>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</si>
  <si>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</si>
  <si>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</si>
  <si>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</si>
  <si>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</si>
  <si>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</si>
  <si>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</si>
  <si>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</si>
  <si>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</si>
  <si>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</si>
  <si>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</si>
  <si>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</si>
  <si>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</si>
  <si>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</si>
  <si>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</si>
  <si>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</si>
  <si>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</si>
  <si>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</si>
  <si>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</si>
  <si>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</si>
  <si>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</si>
  <si>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</si>
  <si>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</si>
  <si>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</si>
  <si>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</si>
  <si>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</si>
  <si>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</si>
  <si>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</si>
  <si>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</si>
  <si>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</si>
  <si>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</si>
  <si>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</si>
  <si>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</si>
  <si>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</si>
  <si>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</si>
  <si>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</si>
  <si>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</si>
  <si>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</si>
  <si>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</si>
  <si>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</si>
  <si>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</si>
  <si>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</si>
  <si>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</si>
  <si>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</si>
  <si>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</si>
  <si>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</si>
  <si>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</si>
  <si>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</si>
  <si>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</si>
  <si>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</si>
  <si>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</si>
  <si>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</si>
  <si>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</si>
  <si>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</si>
  <si>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</si>
  <si>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</si>
  <si>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</si>
  <si>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</si>
  <si>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</si>
  <si>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</si>
  <si>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</si>
  <si>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</si>
  <si>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</si>
  <si>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</si>
  <si>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</si>
  <si>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</si>
  <si>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</si>
  <si>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</si>
  <si>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</si>
  <si>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</si>
  <si>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</si>
  <si>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</si>
  <si>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</si>
  <si>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</si>
  <si>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</si>
  <si>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</si>
  <si>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</si>
  <si>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</si>
  <si>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</si>
  <si>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</si>
  <si>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</si>
  <si>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</si>
  <si>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</si>
  <si>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</si>
  <si>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</si>
  <si>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</si>
  <si>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</si>
  <si>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</si>
  <si>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</si>
  <si>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</si>
  <si>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</si>
  <si>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</si>
  <si>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</si>
  <si>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</si>
  <si>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</si>
  <si>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</si>
  <si>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</si>
  <si>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</si>
  <si>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</si>
  <si>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</si>
  <si>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</si>
  <si>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</si>
  <si>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</si>
  <si>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</si>
  <si>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</si>
  <si>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</si>
  <si>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</si>
  <si>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</si>
  <si>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</si>
  <si>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</si>
  <si>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</si>
  <si>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</si>
  <si>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</si>
  <si>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</si>
  <si>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</si>
  <si>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</si>
  <si>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</si>
  <si>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</si>
  <si>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</si>
  <si>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</si>
  <si>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</si>
  <si>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</si>
  <si>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</si>
  <si>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</si>
  <si>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</si>
  <si>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</si>
  <si>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</si>
  <si>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</si>
  <si>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</si>
  <si>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</si>
  <si>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</si>
  <si>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</si>
  <si>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</si>
  <si>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</si>
  <si>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</si>
  <si>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</si>
  <si>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</si>
  <si>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</si>
  <si>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</si>
  <si>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</si>
  <si>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</si>
  <si>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</si>
  <si>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</si>
  <si>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</si>
  <si>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</si>
  <si>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</si>
  <si>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</si>
  <si>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</si>
  <si>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</si>
  <si>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</si>
  <si>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</si>
  <si>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</si>
  <si>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</si>
  <si>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</si>
  <si>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</si>
  <si>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</si>
  <si>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</si>
  <si>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</si>
  <si>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</si>
  <si>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</si>
  <si>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</si>
  <si>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</si>
  <si>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</si>
  <si>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</si>
  <si>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</si>
  <si>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</si>
  <si>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</si>
  <si>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</si>
  <si>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</si>
  <si>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</si>
  <si>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</si>
  <si>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</si>
  <si>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</si>
  <si>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</si>
  <si>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</si>
  <si>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</si>
  <si>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</si>
  <si>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</si>
  <si>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</si>
  <si>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</si>
  <si>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</si>
  <si>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</si>
  <si>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</si>
  <si>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</si>
  <si>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</si>
  <si>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</si>
  <si>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</si>
  <si>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</si>
  <si>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</si>
  <si>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</si>
  <si>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</si>
  <si>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</si>
  <si>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</si>
  <si>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</si>
  <si>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</si>
  <si>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</si>
  <si>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</si>
  <si>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</si>
  <si>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</si>
  <si>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</si>
  <si>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</si>
  <si>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Ⅳ-18</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</si>
  <si>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</si>
  <si>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</si>
  <si>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</si>
  <si>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</si>
  <si>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</si>
  <si>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</si>
  <si>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</si>
  <si>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</si>
  <si>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</si>
  <si>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</si>
  <si>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</si>
  <si>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</si>
  <si>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</si>
  <si>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</si>
  <si>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</si>
  <si>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</si>
  <si>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</si>
  <si>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</si>
  <si>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</si>
  <si>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</si>
  <si>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</si>
  <si>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</si>
  <si>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</si>
  <si>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</si>
  <si>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</si>
  <si>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</si>
  <si>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</si>
  <si>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</si>
  <si>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</si>
  <si>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</si>
  <si>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</si>
  <si>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</si>
  <si>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</si>
  <si>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</si>
  <si>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</si>
  <si>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</si>
  <si>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</si>
  <si>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</si>
  <si>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</si>
  <si>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</si>
  <si>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</si>
  <si>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</si>
  <si>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</si>
  <si>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</si>
  <si>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</si>
  <si>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</si>
  <si>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</si>
  <si>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</si>
  <si>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</si>
  <si>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</si>
  <si>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</si>
  <si>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</si>
  <si>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</si>
  <si>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</si>
  <si>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</si>
  <si>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</si>
  <si>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</si>
  <si>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</si>
  <si>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</si>
  <si>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</si>
  <si>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</si>
  <si>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</si>
  <si>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</si>
  <si>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</si>
  <si>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</si>
  <si>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</si>
  <si>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</si>
  <si>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</si>
  <si>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</si>
  <si>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</si>
  <si>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</si>
  <si>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</si>
  <si>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</si>
  <si>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</si>
  <si>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</si>
  <si>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</si>
  <si>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</si>
  <si>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</si>
  <si>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</si>
  <si>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</si>
  <si>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</si>
  <si>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</si>
  <si>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</si>
  <si>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</si>
  <si>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</si>
  <si>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</si>
  <si>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</si>
  <si>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</si>
  <si>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</si>
  <si>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</si>
  <si>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</si>
  <si>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</si>
  <si>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</si>
  <si>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</si>
  <si>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</si>
  <si>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</si>
  <si>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</si>
  <si>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</si>
  <si>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</si>
  <si>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</si>
  <si>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</si>
  <si>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</si>
  <si>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</si>
  <si>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</si>
  <si>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</si>
  <si>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</si>
  <si>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</si>
  <si>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</si>
  <si>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</si>
  <si>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</si>
  <si>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</si>
  <si>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</si>
  <si>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</si>
  <si>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</si>
  <si>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</si>
  <si>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</si>
  <si>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</si>
  <si>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</si>
  <si>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</si>
  <si>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</si>
  <si>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</si>
  <si>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</si>
  <si>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</si>
  <si>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</si>
  <si>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</si>
  <si>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</si>
  <si>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</si>
  <si>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</si>
  <si>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</si>
  <si>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</si>
  <si>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</si>
  <si>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</si>
  <si>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</si>
  <si>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</si>
  <si>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</si>
  <si>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</si>
  <si>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</si>
  <si>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</si>
  <si>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</si>
  <si>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</si>
  <si>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</si>
  <si>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</si>
  <si>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</si>
  <si>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</si>
  <si>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</si>
  <si>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</si>
  <si>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</si>
  <si>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</si>
  <si>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</si>
  <si>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</si>
  <si>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</si>
  <si>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</si>
  <si>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</si>
  <si>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</si>
  <si>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</si>
  <si>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</si>
  <si>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</si>
  <si>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</si>
  <si>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</si>
  <si>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</si>
  <si>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</si>
  <si>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</si>
  <si>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</si>
  <si>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</si>
  <si>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</si>
  <si>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</si>
  <si>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</si>
  <si>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</si>
  <si>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</si>
  <si>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</si>
  <si>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</si>
  <si>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</si>
  <si>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</si>
  <si>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</si>
  <si>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</si>
  <si>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</si>
  <si>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</si>
  <si>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</si>
  <si>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</si>
  <si>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</si>
  <si>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</si>
  <si>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</si>
  <si>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</si>
  <si>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</si>
  <si>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</si>
  <si>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</si>
  <si>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</si>
  <si>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</si>
  <si>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</si>
  <si>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</si>
  <si>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</si>
  <si>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</si>
  <si>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</si>
  <si>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</si>
  <si>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</si>
  <si>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</si>
  <si>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</si>
  <si>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</si>
  <si>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</si>
  <si>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</si>
  <si>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</si>
  <si>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</si>
  <si>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</si>
  <si>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</si>
  <si>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</si>
  <si>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</si>
  <si>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</si>
  <si>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</si>
  <si>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</si>
  <si>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</si>
  <si>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</si>
  <si>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</si>
  <si>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</si>
  <si>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</si>
  <si>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</si>
  <si>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</si>
  <si>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</si>
  <si>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</si>
  <si>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</si>
  <si>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</si>
  <si>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</si>
  <si>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</si>
  <si>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</si>
  <si>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</si>
  <si>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</si>
  <si>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</si>
  <si>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</si>
  <si>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</si>
  <si>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</si>
  <si>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</si>
  <si>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</si>
  <si>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</si>
  <si>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</si>
  <si>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</si>
  <si>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</si>
  <si>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</si>
  <si>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</si>
  <si>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</si>
  <si>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</si>
  <si>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</si>
  <si>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</si>
  <si>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</si>
  <si>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</si>
  <si>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</si>
  <si>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</si>
  <si>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</si>
  <si>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</si>
  <si>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</si>
  <si>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</si>
  <si>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</si>
  <si>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</si>
  <si>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</si>
  <si>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</si>
  <si>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</si>
  <si>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</si>
  <si>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</si>
  <si>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</si>
  <si>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</si>
  <si>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</si>
  <si>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</si>
  <si>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</si>
  <si>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</si>
  <si>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</si>
  <si>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</si>
  <si>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</si>
  <si>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</si>
  <si>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</si>
  <si>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</si>
  <si>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</si>
  <si>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</si>
  <si>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</si>
  <si>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</si>
  <si>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</si>
  <si>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</si>
  <si>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</si>
  <si>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</si>
  <si>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</si>
  <si>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</si>
  <si>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</si>
  <si>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</si>
  <si>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</si>
  <si>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</si>
  <si>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</si>
  <si>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</si>
  <si>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</si>
  <si>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</si>
  <si>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</si>
  <si>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</si>
  <si>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</si>
  <si>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</si>
  <si>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</si>
  <si>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</si>
  <si>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</si>
  <si>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</si>
  <si>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</si>
  <si>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</si>
  <si>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</si>
  <si>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</si>
  <si>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</si>
  <si>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</si>
  <si>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</si>
  <si>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</si>
  <si>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</si>
  <si>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</si>
  <si>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</si>
  <si>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</si>
  <si>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</si>
  <si>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</si>
  <si>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</si>
  <si>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</si>
  <si>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</si>
  <si>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</si>
  <si>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</si>
  <si>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</si>
  <si>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</si>
  <si>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</si>
  <si>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</si>
  <si>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</si>
  <si>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</si>
  <si>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</si>
  <si>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</si>
  <si>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</si>
  <si>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</si>
  <si>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</si>
  <si>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</si>
  <si>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</si>
  <si>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</si>
  <si>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</si>
  <si>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</si>
  <si>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</si>
  <si>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</si>
  <si>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</si>
  <si>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</si>
  <si>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</si>
  <si>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</si>
  <si>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</si>
  <si>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</si>
  <si>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</si>
  <si>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</si>
  <si>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</si>
  <si>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</si>
  <si>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</si>
  <si>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</si>
  <si>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</si>
  <si>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</si>
  <si>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</si>
  <si>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</si>
  <si>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</si>
  <si>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</si>
  <si>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</si>
  <si>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</si>
  <si>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</si>
  <si>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</si>
  <si>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</si>
  <si>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</si>
  <si>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</si>
  <si>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</si>
  <si>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</si>
  <si>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</si>
  <si>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</si>
  <si>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</si>
  <si>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</si>
  <si>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</si>
  <si>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</si>
  <si>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</si>
  <si>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</si>
  <si>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</si>
  <si>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</si>
  <si>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</si>
  <si>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</si>
  <si>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</si>
  <si>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</si>
  <si>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</si>
  <si>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</si>
  <si>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</si>
  <si>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</si>
  <si>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</si>
  <si>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</si>
  <si>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</si>
  <si>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</si>
  <si>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</si>
  <si>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</si>
  <si>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</si>
  <si>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</si>
  <si>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</si>
  <si>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</si>
  <si>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</si>
  <si>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</si>
  <si>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</si>
  <si>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</si>
  <si>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</si>
  <si>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</si>
  <si>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</si>
  <si>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</si>
  <si>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</si>
  <si>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</si>
  <si>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</si>
  <si>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</si>
  <si>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</si>
  <si>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</si>
  <si>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</si>
  <si>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</si>
  <si>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</si>
  <si>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</si>
  <si>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</si>
  <si>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</si>
  <si>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</si>
  <si>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</si>
  <si>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</si>
  <si>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</si>
  <si>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</si>
  <si>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</si>
  <si>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</si>
  <si>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</si>
  <si>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</si>
  <si>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</si>
  <si>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</si>
  <si>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</si>
  <si>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</si>
  <si>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</si>
  <si>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</si>
  <si>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</si>
  <si>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</si>
  <si>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</si>
  <si>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</si>
  <si>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</si>
  <si>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</si>
  <si>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</si>
  <si>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</si>
  <si>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</si>
  <si>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</si>
  <si>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</si>
  <si>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</si>
  <si>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</si>
  <si>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</si>
  <si>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</si>
  <si>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</si>
  <si>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</si>
  <si>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</si>
  <si>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</si>
  <si>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</si>
  <si>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</si>
  <si>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</si>
  <si>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</si>
  <si>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</si>
  <si>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</si>
  <si>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</si>
  <si>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</si>
  <si>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</si>
  <si>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</si>
  <si>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</si>
  <si>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</si>
  <si>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</si>
  <si>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</si>
  <si>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</si>
  <si>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</si>
  <si>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</si>
  <si>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</si>
  <si>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</si>
  <si>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</si>
  <si>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</si>
  <si>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</si>
  <si>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</si>
  <si>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</si>
  <si>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</si>
  <si>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</si>
  <si>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</si>
  <si>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</si>
  <si>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</si>
  <si>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</si>
  <si>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</si>
  <si>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</si>
  <si>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</si>
  <si>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</si>
  <si>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</si>
  <si>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</si>
  <si>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</si>
  <si>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</si>
  <si>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</si>
  <si>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</si>
  <si>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</si>
  <si>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</si>
  <si>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</si>
  <si>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</si>
  <si>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</si>
  <si>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</si>
  <si>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</si>
  <si>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</si>
  <si>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</si>
  <si>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</si>
  <si>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</si>
  <si>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</si>
  <si>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</si>
  <si>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</si>
  <si>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</si>
  <si>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</si>
  <si>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</si>
  <si>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</si>
  <si>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</si>
  <si>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</si>
  <si>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</si>
  <si>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</si>
  <si>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</si>
  <si>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</si>
  <si>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</si>
  <si>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</si>
  <si>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</si>
  <si>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</si>
  <si>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</si>
  <si>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</si>
  <si>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</si>
  <si>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</si>
  <si>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</si>
  <si>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</si>
  <si>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</si>
  <si>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</si>
  <si>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</si>
  <si>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</si>
  <si>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</si>
  <si>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</si>
  <si>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</si>
  <si>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</si>
  <si>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</si>
  <si>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</si>
  <si>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</si>
  <si>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</si>
  <si>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</si>
  <si>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</si>
  <si>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</si>
  <si>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</si>
  <si>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</si>
  <si>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</si>
  <si>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</si>
  <si>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</si>
  <si>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</si>
  <si>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</si>
  <si>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</si>
  <si>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</si>
  <si>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</si>
  <si>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</si>
  <si>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</si>
  <si>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</si>
  <si>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</si>
  <si>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</si>
  <si>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</si>
  <si>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</si>
  <si>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</si>
  <si>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</si>
  <si>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</si>
  <si>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</si>
  <si>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</si>
  <si>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</si>
  <si>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</si>
  <si>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</si>
  <si>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</si>
  <si>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</si>
  <si>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</si>
  <si>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</si>
  <si>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</si>
  <si>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</si>
  <si>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</si>
  <si>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</si>
  <si>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</si>
  <si>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</si>
  <si>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</si>
  <si>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</si>
  <si>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</si>
  <si>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</si>
  <si>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</si>
  <si>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</si>
  <si>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</si>
  <si>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</si>
  <si>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</si>
  <si>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</si>
  <si>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</si>
  <si>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</si>
  <si>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</si>
  <si>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</si>
  <si>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</si>
  <si>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</si>
  <si>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</si>
  <si>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</si>
  <si>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</si>
  <si>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</si>
  <si>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</si>
  <si>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</si>
  <si>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</si>
  <si>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</si>
  <si>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</si>
  <si>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</si>
  <si>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</si>
  <si>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</si>
  <si>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</si>
  <si>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</si>
  <si>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</si>
  <si>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</si>
  <si>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</si>
  <si>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蓝堡国际中心</t>
  </si>
  <si>
    <t>远洋国际中心</t>
  </si>
  <si>
    <t>SOHO现代城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</si>
  <si>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</si>
  <si>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</si>
  <si>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</si>
  <si>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</si>
  <si>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</si>
  <si>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</si>
  <si>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</si>
  <si>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</si>
  <si>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</si>
  <si>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</si>
  <si>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</si>
  <si>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</si>
  <si>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</si>
  <si>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</si>
  <si>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</si>
  <si>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rgb="FF000000"/>
        <rFont val="Arial"/>
        <charset val="134"/>
      </rPr>
      <t>20-25</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</si>
  <si>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</si>
  <si>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</si>
  <si>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</si>
  <si>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</si>
  <si>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</si>
  <si>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</si>
  <si>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</si>
  <si>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</si>
  <si>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</si>
  <si>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</si>
  <si>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</si>
  <si>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</si>
  <si>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</si>
  <si>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</si>
  <si>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</si>
  <si>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</si>
  <si>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</si>
  <si>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</si>
  <si>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</si>
  <si>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</si>
  <si>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</si>
  <si>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</si>
  <si>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</si>
  <si>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</si>
  <si>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</si>
  <si>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</si>
  <si>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</si>
  <si>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</si>
  <si>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</si>
  <si>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</si>
  <si>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</si>
  <si>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</si>
  <si>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</si>
  <si>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</si>
  <si>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</si>
  <si>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</si>
  <si>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</si>
  <si>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</si>
  <si>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</si>
  <si>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</si>
  <si>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</si>
  <si>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</si>
  <si>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</si>
  <si>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</si>
  <si>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</si>
  <si>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</si>
  <si>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</si>
  <si>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</si>
  <si>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</si>
  <si>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</si>
  <si>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</si>
  <si>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</si>
  <si>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</si>
  <si>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</si>
  <si>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</si>
  <si>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</si>
  <si>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</si>
  <si>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</si>
  <si>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</si>
  <si>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</si>
  <si>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简装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</si>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</sst>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vertAlign val="subscript"/>
      <sz val="10"/>
      <color theme="1"/>
      <name val="Arial"/>
      <charset val="134"/>
    </font>
    <font>
      <sz val="10"/>
      <color rgb="FF000000"/>
      <name val="宋体"/>
      <charset val="134"/>
    </font>
    <font>
      <b/>
      <vertAlign val="superscript"/>
      <sz val="8"/>
      <color rgb="FF666666"/>
      <name val="微软雅黑"/>
      <charset val="134"/>
    </font>
    <font>
      <b/>
      <sz val="11"/>
      <color rgb="FF666666"/>
      <name val="微软雅黑"/>
      <charset val="134"/>
    </font>
    <font>
      <b/>
      <sz val="10"/>
      <color indexed="8"/>
      <name val="宋体"/>
      <charset val="134"/>
    </font>
    <font>
      <sz val="10"/>
      <color theme="9" tint="-0.249977111117893"/>
      <name val="宋体"/>
      <charset val="134"/>
    </font>
    <font>
      <sz val="12"/>
      <color indexed="8"/>
      <name val="宋体"/>
      <charset val="134"/>
    </font>
    <font>
      <b/>
      <sz val="14"/>
      <color theme="1"/>
      <name val="宋体"/>
      <charset val="134"/>
    </font>
    <font>
      <b/>
      <sz val="11"/>
      <name val="宋体"/>
      <charset val="134"/>
    </font>
    <font>
      <b/>
      <sz val="11"/>
      <color rgb="FFFF0000"/>
      <name val="宋体"/>
      <charset val="134"/>
    </font>
    <font>
      <b/>
      <vertAlign val="subscript"/>
      <sz val="10"/>
      <name val="楷体_GB2312"/>
      <charset val="134"/>
    </font>
    <font>
      <sz val="14"/>
      <color theme="1"/>
      <name val="宋体"/>
      <charset val="134"/>
    </font>
    <font>
      <sz val="11"/>
      <color theme="1"/>
      <name val="宋体"/>
      <charset val="134"/>
    </font>
    <font>
      <vertAlign val="superscript"/>
      <sz val="10"/>
      <color theme="1"/>
      <name val="宋体"/>
      <charset val="134"/>
    </font>
    <font>
      <i/>
      <sz val="10"/>
      <color indexed="8"/>
      <name val="宋体"/>
      <charset val="134"/>
    </font>
    <font>
      <b/>
      <sz val="11"/>
      <color theme="1"/>
      <name val="宋体"/>
      <charset val="134"/>
    </font>
    <font>
      <b/>
      <sz val="10"/>
      <color indexed="10"/>
      <name val="宋体"/>
      <charset val="134"/>
    </font>
    <font>
      <sz val="12"/>
      <color rgb="FF000000"/>
      <name val="宋体"/>
      <charset val="134"/>
    </font>
    <font>
      <b/>
      <sz val="12"/>
      <color indexed="8"/>
      <name val="宋体"/>
      <charset val="134"/>
    </font>
    <font>
      <b/>
      <sz val="12"/>
      <color rgb="FF000000"/>
      <name val="宋体"/>
      <charset val="134"/>
    </font>
    <font>
      <b/>
      <sz val="14"/>
      <color rgb="FFFF0000"/>
      <name val="宋体"/>
      <charset val="134"/>
    </font>
    <font>
      <sz val="10"/>
      <color indexed="53"/>
      <name val="宋体"/>
      <charset val="134"/>
    </font>
    <font>
      <sz val="10"/>
      <color indexed="10"/>
      <name val="宋体"/>
      <charset val="134"/>
    </font>
    <font>
      <b/>
      <sz val="10"/>
      <color indexed="10"/>
      <name val="楷体_GB2312"/>
      <charset val="134"/>
    </font>
    <font>
      <sz val="10"/>
      <color rgb="FF707070"/>
      <name val="宋体"/>
      <charset val="134"/>
    </font>
    <font>
      <b/>
      <sz val="16"/>
      <color indexed="10"/>
      <name val="楷体_GB2312"/>
      <charset val="134"/>
    </font>
    <font>
      <sz val="14"/>
      <color rgb="FF000000"/>
      <name val="宋体"/>
      <charset val="134"/>
    </font>
    <font>
      <b/>
      <i/>
      <sz val="14"/>
      <color theme="3" tint="0.399945066682943"/>
      <name val="宋体"/>
      <charset val="134"/>
    </font>
    <font>
      <b/>
      <i/>
      <sz val="11"/>
      <color theme="3" tint="0.399945066682943"/>
      <name val="宋体"/>
      <charset val="134"/>
    </font>
    <font>
      <sz val="9"/>
      <color indexed="8"/>
      <name val="仿宋_GB2312"/>
      <charset val="134"/>
    </font>
    <font>
      <b/>
      <vertAlign val="subscript"/>
      <sz val="10"/>
      <name val="宋体"/>
      <charset val="134"/>
    </font>
    <font>
      <b/>
      <vertAlign val="subscript"/>
      <sz val="10"/>
      <name val="Arial"/>
      <charset val="134"/>
    </font>
    <font>
      <b/>
      <i/>
      <sz val="10"/>
      <color rgb="FFFF0000"/>
      <name val="宋体"/>
      <charset val="134"/>
    </font>
    <font>
      <b/>
      <sz val="16"/>
      <color indexed="10"/>
      <name val="宋体"/>
      <charset val="134"/>
    </font>
    <font>
      <b/>
      <sz val="10"/>
      <color indexed="53"/>
      <name val="宋体"/>
      <charset val="134"/>
    </font>
    <font>
      <sz val="11"/>
      <color indexed="53"/>
      <name val="宋体"/>
      <charset val="134"/>
    </font>
    <font>
      <i/>
      <sz val="11"/>
      <color theme="3" tint="0.399945066682943"/>
      <name val="宋体"/>
      <charset val="134"/>
    </font>
    <font>
      <sz val="9"/>
      <color indexed="8"/>
      <name val="宋体"/>
      <charset val="134"/>
    </font>
    <font>
      <sz val="10"/>
      <color rgb="FFFF0000"/>
      <name val="楷体_GB2312"/>
      <charset val="134"/>
    </font>
    <font>
      <sz val="10"/>
      <color indexed="8"/>
      <name val="楷体_GB2312"/>
      <charset val="134"/>
    </font>
    <font>
      <vertAlign val="superscript"/>
      <sz val="10"/>
      <color theme="1"/>
      <name val="Arial"/>
      <charset val="134"/>
    </font>
    <font>
      <sz val="11"/>
      <color indexed="10"/>
      <name val="宋体"/>
      <charset val="134"/>
    </font>
    <font>
      <i/>
      <sz val="10"/>
      <name val="宋体"/>
      <charset val="134"/>
    </font>
    <font>
      <b/>
      <sz val="14"/>
      <color rgb="FF000000"/>
      <name val="宋体"/>
      <charset val="134"/>
    </font>
    <font>
      <sz val="8"/>
      <color indexed="8"/>
      <name val="仿宋_GB2312"/>
      <charset val="134"/>
    </font>
    <font>
      <i/>
      <sz val="10"/>
      <name val="楷体_GB2312"/>
      <charset val="134"/>
    </font>
    <font>
      <b/>
      <sz val="11"/>
      <color theme="9" tint="-0.249977111117893"/>
      <name val="Arial"/>
      <charset val="134"/>
    </font>
    <font>
      <b/>
      <sz val="11"/>
      <color theme="9" tint="-0.249977111117893"/>
      <name val="宋体"/>
      <charset val="134"/>
    </font>
    <font>
      <b/>
      <sz val="11"/>
      <color indexed="10"/>
      <name val="宋体"/>
      <charset val="134"/>
    </font>
    <font>
      <b/>
      <sz val="18"/>
      <color theme="1"/>
      <name val="宋体"/>
      <charset val="134"/>
    </font>
    <font>
      <b/>
      <sz val="18"/>
      <color indexed="10"/>
      <name val="΢ȭхڬˎ̥"/>
      <charset val="134"/>
    </font>
    <font>
      <sz val="12"/>
      <color theme="1"/>
      <name val="宋体"/>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vertAlign val="superscript"/>
      <sz val="10"/>
      <color indexed="8"/>
      <name val="Arial"/>
      <charset val="134"/>
    </font>
    <font>
      <sz val="8"/>
      <color indexed="8"/>
      <name val="宋体"/>
      <charset val="134"/>
    </font>
    <font>
      <sz val="14"/>
      <color theme="9" tint="-0.249977111117893"/>
      <name val="宋体"/>
      <charset val="134"/>
    </font>
    <font>
      <vertAlign val="subscript"/>
      <sz val="10"/>
      <color indexed="8"/>
      <name val="宋体"/>
      <charset val="134"/>
    </font>
    <font>
      <b/>
      <sz val="14"/>
      <color indexed="10"/>
      <name val="宋体"/>
      <charset val="134"/>
      <scheme val="minor"/>
    </font>
    <font>
      <i/>
      <sz val="14"/>
      <color theme="3" tint="0.399945066682943"/>
      <name val="宋体"/>
      <charset val="134"/>
    </font>
    <font>
      <sz val="16"/>
      <name val="宋体"/>
      <charset val="134"/>
    </font>
    <font>
      <sz val="12"/>
      <name val="仿宋_GB2312"/>
      <charset val="134"/>
    </font>
    <font>
      <sz val="9"/>
      <name val="宋体"/>
      <charset val="134"/>
    </font>
    <font>
      <sz val="12"/>
      <name val="宋体"/>
      <charset val="134"/>
    </font>
    <font>
      <sz val="12"/>
      <name val="楷体_GB2312"/>
      <charset val="134"/>
    </font>
    <font>
      <sz val="12"/>
      <name val="宋体"/>
      <charset val="0"/>
      <scheme val="minor"/>
    </font>
    <font>
      <sz val="11"/>
      <name val="宋体"/>
      <charset val="134"/>
    </font>
    <font>
      <sz val="14"/>
      <name val="楷体_GB2312"/>
      <charset val="134"/>
    </font>
    <font>
      <sz val="10"/>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14"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9" fillId="48" borderId="0" applyNumberFormat="0" applyBorder="0" applyAlignment="0" applyProtection="0">
      <alignment vertical="center"/>
    </xf>
    <xf numFmtId="0" fontId="169" fillId="49" borderId="0" applyNumberFormat="0" applyBorder="0" applyAlignment="0" applyProtection="0">
      <alignment vertical="center"/>
    </xf>
    <xf numFmtId="0" fontId="168" fillId="50"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2" xfId="0" applyNumberFormat="1" applyFont="1" applyFill="1" applyBorder="1" applyAlignment="1" applyProtection="1">
      <alignment vertical="center" wrapText="1"/>
      <protection locked="0"/>
    </xf>
    <xf numFmtId="0" fontId="54" fillId="14" borderId="123"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20"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4" fillId="2" borderId="27" xfId="0" applyFont="1" applyFill="1" applyBorder="1" applyAlignment="1" applyProtection="1">
      <alignment vertical="center"/>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68" fillId="2" borderId="0" xfId="0" applyFont="1" applyFill="1" applyAlignment="1" applyProtection="1">
      <alignment vertical="center"/>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187" fontId="74" fillId="2" borderId="7" xfId="0" applyNumberFormat="1" applyFont="1" applyFill="1" applyBorder="1" applyAlignment="1" applyProtection="1">
      <alignment horizontal="right" vertical="center"/>
    </xf>
    <xf numFmtId="0" fontId="33"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186" fontId="103" fillId="0" borderId="6" xfId="0" applyNumberFormat="1" applyFont="1" applyFill="1" applyBorder="1" applyAlignment="1" applyProtection="1">
      <alignment horizontal="center" vertical="center" wrapText="1"/>
      <protection locked="0"/>
    </xf>
    <xf numFmtId="186" fontId="103" fillId="0" borderId="14"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102" fillId="0" borderId="16"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6"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9"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5"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5"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bmp"/><Relationship Id="rId6" Type="http://schemas.openxmlformats.org/officeDocument/2006/relationships/image" Target="../media/image8.bmp"/><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144780</xdr:colOff>
      <xdr:row>0</xdr:row>
      <xdr:rowOff>68580</xdr:rowOff>
    </xdr:from>
    <xdr:to>
      <xdr:col>6</xdr:col>
      <xdr:colOff>525780</xdr:colOff>
      <xdr:row>26</xdr:row>
      <xdr:rowOff>3810</xdr:rowOff>
    </xdr:to>
    <xdr:pic>
      <xdr:nvPicPr>
        <xdr:cNvPr id="2" name="图片 1"/>
        <xdr:cNvPicPr>
          <a:picLocks noChangeAspect="1"/>
        </xdr:cNvPicPr>
      </xdr:nvPicPr>
      <xdr:blipFill>
        <a:blip r:embed="rId1"/>
        <a:stretch>
          <a:fillRect/>
        </a:stretch>
      </xdr:blipFill>
      <xdr:spPr>
        <a:xfrm>
          <a:off x="144780" y="68580"/>
          <a:ext cx="4438650" cy="4392930"/>
        </a:xfrm>
        <a:prstGeom prst="rect">
          <a:avLst/>
        </a:prstGeom>
        <a:noFill/>
        <a:ln w="9525">
          <a:noFill/>
        </a:ln>
      </xdr:spPr>
    </xdr:pic>
    <xdr:clientData/>
  </xdr:twoCellAnchor>
  <xdr:twoCellAnchor editAs="oneCell">
    <xdr:from>
      <xdr:col>7</xdr:col>
      <xdr:colOff>281305</xdr:colOff>
      <xdr:row>0</xdr:row>
      <xdr:rowOff>15875</xdr:rowOff>
    </xdr:from>
    <xdr:to>
      <xdr:col>23</xdr:col>
      <xdr:colOff>304800</xdr:colOff>
      <xdr:row>24</xdr:row>
      <xdr:rowOff>3810</xdr:rowOff>
    </xdr:to>
    <xdr:pic>
      <xdr:nvPicPr>
        <xdr:cNvPr id="3" name="图片 2"/>
        <xdr:cNvPicPr>
          <a:picLocks noChangeAspect="1"/>
        </xdr:cNvPicPr>
      </xdr:nvPicPr>
      <xdr:blipFill>
        <a:blip r:embed="rId2"/>
        <a:stretch>
          <a:fillRect/>
        </a:stretch>
      </xdr:blipFill>
      <xdr:spPr>
        <a:xfrm>
          <a:off x="5015230" y="15875"/>
          <a:ext cx="10843895" cy="4102735"/>
        </a:xfrm>
        <a:prstGeom prst="rect">
          <a:avLst/>
        </a:prstGeom>
        <a:noFill/>
        <a:ln w="9525">
          <a:noFill/>
        </a:ln>
      </xdr:spPr>
    </xdr:pic>
    <xdr:clientData/>
  </xdr:twoCellAnchor>
  <xdr:twoCellAnchor editAs="oneCell">
    <xdr:from>
      <xdr:col>7</xdr:col>
      <xdr:colOff>53340</xdr:colOff>
      <xdr:row>24</xdr:row>
      <xdr:rowOff>91440</xdr:rowOff>
    </xdr:from>
    <xdr:to>
      <xdr:col>24</xdr:col>
      <xdr:colOff>190500</xdr:colOff>
      <xdr:row>49</xdr:row>
      <xdr:rowOff>167640</xdr:rowOff>
    </xdr:to>
    <xdr:pic>
      <xdr:nvPicPr>
        <xdr:cNvPr id="4" name="图片 3"/>
        <xdr:cNvPicPr>
          <a:picLocks noChangeAspect="1"/>
        </xdr:cNvPicPr>
      </xdr:nvPicPr>
      <xdr:blipFill>
        <a:blip r:embed="rId3"/>
        <a:stretch>
          <a:fillRect/>
        </a:stretch>
      </xdr:blipFill>
      <xdr:spPr>
        <a:xfrm>
          <a:off x="4787265" y="4206240"/>
          <a:ext cx="11633835" cy="4362450"/>
        </a:xfrm>
        <a:prstGeom prst="rect">
          <a:avLst/>
        </a:prstGeom>
        <a:noFill/>
        <a:ln w="9525">
          <a:noFill/>
        </a:ln>
      </xdr:spPr>
    </xdr:pic>
    <xdr:clientData/>
  </xdr:twoCellAnchor>
  <xdr:twoCellAnchor editAs="oneCell">
    <xdr:from>
      <xdr:col>7</xdr:col>
      <xdr:colOff>380365</xdr:colOff>
      <xdr:row>50</xdr:row>
      <xdr:rowOff>60960</xdr:rowOff>
    </xdr:from>
    <xdr:to>
      <xdr:col>24</xdr:col>
      <xdr:colOff>594360</xdr:colOff>
      <xdr:row>76</xdr:row>
      <xdr:rowOff>24765</xdr:rowOff>
    </xdr:to>
    <xdr:pic>
      <xdr:nvPicPr>
        <xdr:cNvPr id="5" name="图片 4"/>
        <xdr:cNvPicPr>
          <a:picLocks noChangeAspect="1"/>
        </xdr:cNvPicPr>
      </xdr:nvPicPr>
      <xdr:blipFill>
        <a:blip r:embed="rId4"/>
        <a:stretch>
          <a:fillRect/>
        </a:stretch>
      </xdr:blipFill>
      <xdr:spPr>
        <a:xfrm>
          <a:off x="5114290" y="8633460"/>
          <a:ext cx="11710670" cy="4421505"/>
        </a:xfrm>
        <a:prstGeom prst="rect">
          <a:avLst/>
        </a:prstGeom>
        <a:noFill/>
        <a:ln w="9525">
          <a:noFill/>
        </a:ln>
      </xdr:spPr>
    </xdr:pic>
    <xdr:clientData/>
  </xdr:twoCellAnchor>
  <xdr:twoCellAnchor editAs="oneCell">
    <xdr:from>
      <xdr:col>7</xdr:col>
      <xdr:colOff>510540</xdr:colOff>
      <xdr:row>76</xdr:row>
      <xdr:rowOff>114300</xdr:rowOff>
    </xdr:from>
    <xdr:to>
      <xdr:col>26</xdr:col>
      <xdr:colOff>350520</xdr:colOff>
      <xdr:row>104</xdr:row>
      <xdr:rowOff>144780</xdr:rowOff>
    </xdr:to>
    <xdr:pic>
      <xdr:nvPicPr>
        <xdr:cNvPr id="6" name="图片 5"/>
        <xdr:cNvPicPr>
          <a:picLocks noChangeAspect="1"/>
        </xdr:cNvPicPr>
      </xdr:nvPicPr>
      <xdr:blipFill>
        <a:blip r:embed="rId5"/>
        <a:stretch>
          <a:fillRect/>
        </a:stretch>
      </xdr:blipFill>
      <xdr:spPr>
        <a:xfrm>
          <a:off x="5244465" y="13144500"/>
          <a:ext cx="12689205" cy="4831080"/>
        </a:xfrm>
        <a:prstGeom prst="rect">
          <a:avLst/>
        </a:prstGeom>
        <a:noFill/>
        <a:ln w="9525">
          <a:noFill/>
        </a:ln>
      </xdr:spPr>
    </xdr:pic>
    <xdr:clientData/>
  </xdr:twoCellAnchor>
  <xdr:twoCellAnchor editAs="oneCell">
    <xdr:from>
      <xdr:col>7</xdr:col>
      <xdr:colOff>0</xdr:colOff>
      <xdr:row>105</xdr:row>
      <xdr:rowOff>0</xdr:rowOff>
    </xdr:from>
    <xdr:to>
      <xdr:col>22</xdr:col>
      <xdr:colOff>46351</xdr:colOff>
      <xdr:row>149</xdr:row>
      <xdr:rowOff>56200</xdr:rowOff>
    </xdr:to>
    <xdr:pic>
      <xdr:nvPicPr>
        <xdr:cNvPr id="7" name="图片 6"/>
        <xdr:cNvPicPr>
          <a:picLocks noChangeAspect="1"/>
        </xdr:cNvPicPr>
      </xdr:nvPicPr>
      <xdr:blipFill>
        <a:blip r:embed="rId6"/>
        <a:stretch>
          <a:fillRect/>
        </a:stretch>
      </xdr:blipFill>
      <xdr:spPr>
        <a:xfrm>
          <a:off x="4733925" y="18002250"/>
          <a:ext cx="10189845" cy="7599680"/>
        </a:xfrm>
        <a:prstGeom prst="rect">
          <a:avLst/>
        </a:prstGeom>
      </xdr:spPr>
    </xdr:pic>
    <xdr:clientData/>
  </xdr:twoCellAnchor>
  <xdr:twoCellAnchor editAs="oneCell">
    <xdr:from>
      <xdr:col>7</xdr:col>
      <xdr:colOff>0</xdr:colOff>
      <xdr:row>150</xdr:row>
      <xdr:rowOff>0</xdr:rowOff>
    </xdr:from>
    <xdr:to>
      <xdr:col>21</xdr:col>
      <xdr:colOff>617864</xdr:colOff>
      <xdr:row>193</xdr:row>
      <xdr:rowOff>160983</xdr:rowOff>
    </xdr:to>
    <xdr:pic>
      <xdr:nvPicPr>
        <xdr:cNvPr id="8" name="图片 7"/>
        <xdr:cNvPicPr>
          <a:picLocks noChangeAspect="1"/>
        </xdr:cNvPicPr>
      </xdr:nvPicPr>
      <xdr:blipFill>
        <a:blip r:embed="rId7"/>
        <a:stretch>
          <a:fillRect/>
        </a:stretch>
      </xdr:blipFill>
      <xdr:spPr>
        <a:xfrm>
          <a:off x="4733925" y="25717500"/>
          <a:ext cx="10085705" cy="75330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7" customWidth="1"/>
    <col min="2" max="2" width="81" style="3718" customWidth="1"/>
    <col min="3" max="16384" width="9" style="3719"/>
  </cols>
  <sheetData>
    <row r="1" s="3714" customFormat="1" ht="16.5" spans="1:2">
      <c r="A1" s="3720" t="s">
        <v>0</v>
      </c>
      <c r="B1" s="3721" t="s">
        <v>1</v>
      </c>
    </row>
    <row r="2" s="3715" customFormat="1" ht="15" spans="1:2">
      <c r="A2" s="3722" t="s">
        <v>2</v>
      </c>
      <c r="B2" s="3723" t="str">
        <f>'预评函-封皮'!B37:I37</f>
        <v>北京市房地产抵押价值预评估</v>
      </c>
    </row>
    <row r="3" s="3716" customFormat="1" spans="1:2">
      <c r="A3" s="3724" t="s">
        <v>3</v>
      </c>
      <c r="B3" s="3725">
        <f>'预评函-封皮'!B40</f>
        <v>0</v>
      </c>
    </row>
    <row r="4" s="3716" customFormat="1" spans="1:2">
      <c r="A4" s="3724" t="s">
        <v>4</v>
      </c>
      <c r="B4" s="3725" t="str">
        <f ca="1">'预评函-封皮'!B46</f>
        <v>（注册号：0)、（注册号：0)</v>
      </c>
    </row>
    <row r="5" s="3714" customFormat="1" ht="15" spans="1:2">
      <c r="A5" s="3726" t="s">
        <v>5</v>
      </c>
      <c r="B5" s="3727" t="str">
        <f>'预评函-封皮'!B49</f>
        <v>康正预评字号</v>
      </c>
    </row>
    <row r="6" s="3715" customFormat="1" ht="15" spans="1:2">
      <c r="A6" s="3722" t="s">
        <v>6</v>
      </c>
      <c r="B6" s="3723" t="str">
        <f>'预评函-1'!A4</f>
        <v>受贵公司委托，我公司对北京市房地产抵押价值进行了预评估。</v>
      </c>
    </row>
    <row r="7" s="3716" customFormat="1" spans="1:2">
      <c r="A7" s="3724" t="s">
        <v>7</v>
      </c>
      <c r="B7" s="3725" t="str">
        <f>'预评函-1'!A7</f>
        <v>估价对象为北京市房地产，为所有。根据《国有土地使用证》[]，估价对象（分摊）出让国有建设用地使用权面积为0平方米，建筑面积为112.13平方米。</v>
      </c>
    </row>
    <row r="8" s="3716" customFormat="1" spans="1:2">
      <c r="A8" s="3724" t="s">
        <v>8</v>
      </c>
      <c r="B8" s="3725" t="str">
        <f>'预评函-1'!A8</f>
        <v>估价对象简述。项目推广名，项目类型（用途），估价对象分布，各用途面积明细情况：XX用途建筑面积XX平方米，XX用途建筑面积XX平方米，……。复杂面积清单需设‘附表’列示：抵押物清单详见附表</v>
      </c>
    </row>
    <row r="9" s="3716" customFormat="1" spans="1:2">
      <c r="A9" s="3724" t="s">
        <v>9</v>
      </c>
      <c r="B9" s="3725" t="str">
        <f>'预评函-1'!A10</f>
        <v>估价对象为北京市房地产,属开发建设的，该项目尚在开发建设中。根据《国有土地使用证》[]，估价对象（分摊）出让国有建设用地使用权面积为0平方米，规划建筑面积为112.13平方米。</v>
      </c>
    </row>
    <row r="10" s="3716" customFormat="1" spans="1:2">
      <c r="A10" s="3724" t="s">
        <v>10</v>
      </c>
      <c r="B10" s="37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6" customFormat="1" spans="1:2">
      <c r="A11" s="3724" t="s">
        <v>11</v>
      </c>
      <c r="B11" s="372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6" customFormat="1" spans="1:2">
      <c r="A12" s="3724" t="s">
        <v>12</v>
      </c>
      <c r="B12" s="3725" t="str">
        <f>'预评函-1'!A15</f>
        <v>2025年7月8日</v>
      </c>
    </row>
    <row r="13" s="3716" customFormat="1" spans="1:2">
      <c r="A13" s="3724" t="s">
        <v>13</v>
      </c>
      <c r="B13" s="3725" t="str">
        <f>'预评函-1'!A18</f>
        <v>本次估价的“房地产价值”是指在正常市场情况下，在价值时点2025年7月8日，估价对象规划用途为，土地取得方式为出让，出让国有建设用地使用权剩余土地使用年限为，假定未设立法定优先受偿款下的房地产市场价值。</v>
      </c>
    </row>
    <row r="14" s="3716" customFormat="1" spans="1:2">
      <c r="A14" s="3724" t="s">
        <v>14</v>
      </c>
      <c r="B14" s="372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6" customFormat="1" spans="1:2">
      <c r="A15" s="3724" t="s">
        <v>15</v>
      </c>
      <c r="B15" s="3725" t="str">
        <f>'预评函-1'!A20</f>
        <v>本次估价的“房地产抵押价值”是指估价对象在价值时点的“房地产价值”扣减估价师于价值时点所知悉的法定优先受偿款后的余额。</v>
      </c>
    </row>
    <row r="16" s="3716" customFormat="1" spans="1:2">
      <c r="A16" s="3724" t="s">
        <v>16</v>
      </c>
      <c r="B16" s="3725" t="str">
        <f>'预评函-1'!A21</f>
        <v>法定优先受偿款是指假定在价值时点实现抵押权时，法律规定优先于本次抵押贷款受偿的款额，包括发包人拖欠承包人的建筑工程款，已抵押担保的债权数额以及其他法定优先受偿款。</v>
      </c>
    </row>
    <row r="17" s="3716" customFormat="1" spans="1:2">
      <c r="A17" s="3724" t="s">
        <v>17</v>
      </c>
      <c r="B17" s="3725" t="str">
        <f>'预评函-1'!A22</f>
        <v>本次估价的“抵押净值”是指估价对象“房地产抵押价值”减去估价对象在价值时点以“房地产销售收入”为基数计算的预计抵押权实现进行处置时需缴纳的各项费用、税金等相关费用后的价值。</v>
      </c>
    </row>
    <row r="18" s="3714" customFormat="1" ht="15" spans="1:2">
      <c r="A18" s="3726" t="s">
        <v>18</v>
      </c>
      <c r="B18" s="3727" t="str">
        <f>'预评函-1'!A24</f>
        <v>本次评估采用的主估价方法为比较法和收益法。</v>
      </c>
    </row>
    <row r="19" s="3715" customFormat="1" ht="15" spans="1:2">
      <c r="A19" s="3722" t="s">
        <v>19</v>
      </c>
      <c r="B19" s="372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6" customFormat="1" spans="1:2">
      <c r="A20" s="3724" t="s">
        <v>20</v>
      </c>
      <c r="B20" s="3725">
        <f ca="1">'预评函-2'!D5</f>
        <v>278</v>
      </c>
    </row>
    <row r="21" s="3716" customFormat="1" spans="1:2">
      <c r="A21" s="3724" t="s">
        <v>21</v>
      </c>
      <c r="B21" s="3725">
        <f ca="1">'预评函-2'!D7</f>
        <v>24812</v>
      </c>
    </row>
    <row r="22" s="3716" customFormat="1" spans="1:2">
      <c r="A22" s="3724" t="s">
        <v>22</v>
      </c>
      <c r="B22" s="3725" t="str">
        <f ca="1">'预评函-2'!D6</f>
        <v>贰佰柒拾捌万元整</v>
      </c>
    </row>
    <row r="23" s="3716" customFormat="1" spans="1:2">
      <c r="A23" s="3724" t="s">
        <v>23</v>
      </c>
      <c r="B23" s="3725" t="str">
        <f>'预评函-2'!B8</f>
        <v>2.估价师知悉的法定优先受偿款</v>
      </c>
    </row>
    <row r="24" s="3716" customFormat="1" spans="1:2">
      <c r="A24" s="3724" t="s">
        <v>24</v>
      </c>
      <c r="B24" s="3725">
        <f>'预评函-2'!D8</f>
        <v>0</v>
      </c>
    </row>
    <row r="25" s="3716" customFormat="1" spans="1:2">
      <c r="A25" s="3724" t="s">
        <v>25</v>
      </c>
      <c r="B25" s="3725" t="str">
        <f>'预评函-2'!D9</f>
        <v>零元整</v>
      </c>
    </row>
    <row r="26" s="3716" customFormat="1" spans="1:2">
      <c r="A26" s="3724" t="s">
        <v>26</v>
      </c>
      <c r="B26" s="3725">
        <f>'预评函-2'!D10</f>
        <v>0</v>
      </c>
    </row>
    <row r="27" s="3716" customFormat="1" spans="1:2">
      <c r="A27" s="3724" t="s">
        <v>27</v>
      </c>
      <c r="B27" s="3725">
        <f>'预评函-2'!D11</f>
        <v>0</v>
      </c>
    </row>
    <row r="28" s="3716" customFormat="1" spans="1:2">
      <c r="A28" s="3724" t="s">
        <v>28</v>
      </c>
      <c r="B28" s="3725">
        <f>'预评函-2'!D12</f>
        <v>0</v>
      </c>
    </row>
    <row r="29" s="3716" customFormat="1" spans="1:2">
      <c r="A29" s="3724" t="s">
        <v>29</v>
      </c>
      <c r="B29" s="3725" t="str">
        <f>'预评函-2'!B13</f>
        <v>3.房地产抵押价值</v>
      </c>
    </row>
    <row r="30" s="3716" customFormat="1" spans="1:2">
      <c r="A30" s="3724" t="s">
        <v>30</v>
      </c>
      <c r="B30" s="3725">
        <f ca="1">'预评函-2'!D13</f>
        <v>278</v>
      </c>
    </row>
    <row r="31" s="3716" customFormat="1" spans="1:2">
      <c r="A31" s="3724" t="s">
        <v>31</v>
      </c>
      <c r="B31" s="3725">
        <f ca="1">'预评函-2'!D15</f>
        <v>24812</v>
      </c>
    </row>
    <row r="32" s="3716" customFormat="1" spans="1:2">
      <c r="A32" s="3724" t="s">
        <v>32</v>
      </c>
      <c r="B32" s="3725" t="str">
        <f ca="1">'预评函-2'!D14</f>
        <v>贰佰柒拾捌万元整</v>
      </c>
    </row>
    <row r="33" s="3716" customFormat="1" spans="1:2">
      <c r="A33" s="3724" t="s">
        <v>33</v>
      </c>
      <c r="B33" s="3725" t="str">
        <f>'预评函-2'!B16</f>
        <v>——</v>
      </c>
    </row>
    <row r="34" s="3716" customFormat="1" spans="1:2">
      <c r="A34" s="3724" t="s">
        <v>34</v>
      </c>
      <c r="B34" s="3725" t="str">
        <f ca="1">'预评函-2'!D16</f>
        <v>——</v>
      </c>
    </row>
    <row r="35" s="3716" customFormat="1" spans="1:2">
      <c r="A35" s="3724" t="s">
        <v>35</v>
      </c>
      <c r="B35" s="3725" t="str">
        <f ca="1">'预评函-2'!D18</f>
        <v>——</v>
      </c>
    </row>
    <row r="36" s="3716" customFormat="1" spans="1:2">
      <c r="A36" s="3724" t="s">
        <v>36</v>
      </c>
      <c r="B36" s="3725" t="e">
        <f ca="1">'预评函-2'!D17</f>
        <v>#VALUE!</v>
      </c>
    </row>
    <row r="37" s="3716" customFormat="1" spans="1:2">
      <c r="A37" s="3724" t="s">
        <v>37</v>
      </c>
      <c r="B37" s="3725" t="str">
        <f>'预评函-2'!B19</f>
        <v>——</v>
      </c>
    </row>
    <row r="38" s="3716" customFormat="1" spans="1:2">
      <c r="A38" s="3724" t="s">
        <v>38</v>
      </c>
      <c r="B38" s="3725" t="str">
        <f ca="1">'预评函-2'!D19</f>
        <v>——</v>
      </c>
    </row>
    <row r="39" s="3716" customFormat="1" spans="1:2">
      <c r="A39" s="3724" t="s">
        <v>39</v>
      </c>
      <c r="B39" s="3725" t="str">
        <f ca="1">'预评函-2'!D21</f>
        <v>——</v>
      </c>
    </row>
    <row r="40" s="3716" customFormat="1" spans="1:2">
      <c r="A40" s="3724" t="s">
        <v>40</v>
      </c>
      <c r="B40" s="3725" t="e">
        <f ca="1">'预评函-2'!D20</f>
        <v>#VALUE!</v>
      </c>
    </row>
    <row r="41" s="3716" customFormat="1" spans="1:2">
      <c r="A41" s="3724" t="s">
        <v>41</v>
      </c>
      <c r="B41" s="3725" t="str">
        <f>'预评函-3'!A4</f>
        <v>北京市房地产</v>
      </c>
    </row>
    <row r="42" s="3716" customFormat="1" spans="1:2">
      <c r="A42" s="3724" t="s">
        <v>42</v>
      </c>
      <c r="B42" s="3725" t="str">
        <f>'预评函-3'!B2</f>
        <v>建筑面积</v>
      </c>
    </row>
    <row r="43" s="3716" customFormat="1" spans="1:2">
      <c r="A43" s="3724" t="s">
        <v>43</v>
      </c>
      <c r="B43" s="3725">
        <f>'预评函-3'!B4</f>
        <v>112.13</v>
      </c>
    </row>
    <row r="44" s="3716" customFormat="1" spans="1:2">
      <c r="A44" s="3724" t="s">
        <v>44</v>
      </c>
      <c r="B44" s="3725" t="str">
        <f>'预评函-3'!C2</f>
        <v>(分摊)土地面积</v>
      </c>
    </row>
    <row r="45" s="3716" customFormat="1" spans="1:2">
      <c r="A45" s="3724" t="s">
        <v>45</v>
      </c>
      <c r="B45" s="3725">
        <f>'预评函-3'!C4</f>
        <v>0</v>
      </c>
    </row>
    <row r="46" s="3716" customFormat="1" spans="1:2">
      <c r="A46" s="3724" t="s">
        <v>46</v>
      </c>
      <c r="B46" s="3725" t="str">
        <f>'预评函-3'!D2</f>
        <v>出让国有建设用地使用权价值</v>
      </c>
    </row>
    <row r="47" s="3716" customFormat="1" spans="1:2">
      <c r="A47" s="3724" t="s">
        <v>47</v>
      </c>
      <c r="B47" s="3725">
        <f ca="1">'预评函-3'!D4</f>
        <v>159</v>
      </c>
    </row>
    <row r="48" s="3716" customFormat="1" spans="1:2">
      <c r="A48" s="3724" t="s">
        <v>48</v>
      </c>
      <c r="B48" s="3725">
        <f ca="1">'预评函-3'!E4</f>
        <v>14143</v>
      </c>
    </row>
    <row r="49" s="3716" customFormat="1" spans="1:2">
      <c r="A49" s="3724" t="s">
        <v>49</v>
      </c>
      <c r="B49" s="3725" t="str">
        <f ca="1">'预评函-3'!D5</f>
        <v>壹佰伍拾玖万元整</v>
      </c>
    </row>
    <row r="50" s="3716" customFormat="1" spans="1:2">
      <c r="A50" s="3724" t="s">
        <v>50</v>
      </c>
      <c r="B50" s="3725" t="str">
        <f>'预评函-3'!F2</f>
        <v>在建建筑物价值</v>
      </c>
    </row>
    <row r="51" s="3716" customFormat="1" spans="1:2">
      <c r="A51" s="3724" t="s">
        <v>51</v>
      </c>
      <c r="B51" s="3725">
        <f ca="1">'预评函-3'!F4</f>
        <v>120</v>
      </c>
    </row>
    <row r="52" s="3716" customFormat="1" spans="1:2">
      <c r="A52" s="3724" t="s">
        <v>52</v>
      </c>
      <c r="B52" s="3725">
        <f ca="1">'预评函-3'!G4</f>
        <v>10669</v>
      </c>
    </row>
    <row r="53" s="3716" customFormat="1" spans="1:2">
      <c r="A53" s="3724" t="s">
        <v>53</v>
      </c>
      <c r="B53" s="3725" t="str">
        <f ca="1">'预评函-3'!F5</f>
        <v>壹佰贰拾万元整</v>
      </c>
    </row>
    <row r="54" s="3716" customFormat="1" spans="1:2">
      <c r="A54" s="3724" t="s">
        <v>54</v>
      </c>
      <c r="B54" s="3725" t="str">
        <f>'预评函-3'!A8</f>
        <v>房地产抵押价值</v>
      </c>
    </row>
    <row r="55" s="3716" customFormat="1" spans="1:2">
      <c r="A55" s="3724" t="s">
        <v>55</v>
      </c>
      <c r="B55" s="3725" t="str">
        <f>'预评函-3'!A10</f>
        <v/>
      </c>
    </row>
    <row r="56" s="3716" customFormat="1" spans="1:2">
      <c r="A56" s="3724" t="s">
        <v>56</v>
      </c>
      <c r="B56" s="3725" t="str">
        <f>'预评函-3'!A12</f>
        <v/>
      </c>
    </row>
    <row r="57" s="3714" customFormat="1" ht="15" spans="1:2">
      <c r="A57" s="3726" t="s">
        <v>57</v>
      </c>
      <c r="B57" s="3727" t="str">
        <f>'预评函-3'!A6</f>
        <v>估价师知悉的法定优先受偿款</v>
      </c>
    </row>
    <row r="58" s="3715" customFormat="1" ht="15" spans="1:2">
      <c r="A58" s="3722" t="s">
        <v>58</v>
      </c>
      <c r="B58" s="3723" t="str">
        <f>'预评函-4'!A12</f>
        <v>2.本《评估意见函》仅供金融机构进行内部审核使用，不做其他目的之用。</v>
      </c>
    </row>
    <row r="59" s="3716" customFormat="1" spans="1:2">
      <c r="A59" s="3724" t="s">
        <v>59</v>
      </c>
      <c r="B59" s="3725" t="str">
        <f>'预评函-4'!A13</f>
        <v>3.抵押双方在办理抵押登记手续时，应使用本公司出具的正式《房地产评估报告》，特提醒报告使用者注意。</v>
      </c>
    </row>
    <row r="60" s="3716" customFormat="1" spans="1:2">
      <c r="A60" s="3724" t="s">
        <v>60</v>
      </c>
      <c r="B60" s="3725" t="str">
        <f>'预评函-4'!A14</f>
        <v>4.本次评估估价师所知悉的法定优先受偿款情况说明如下：</v>
      </c>
    </row>
    <row r="61" s="3716" customFormat="1" spans="1:2">
      <c r="A61" s="3724" t="s">
        <v>61</v>
      </c>
      <c r="B61" s="372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6" customFormat="1" spans="1:2">
      <c r="A62" s="3724" t="s">
        <v>62</v>
      </c>
      <c r="B62" s="3725" t="str">
        <f>'预评函-4'!A16</f>
        <v>（2）根据《工程款支付情况说明》，截至价值时点，估价对象不存在应付未付工程款项。（只要没有施工方盖章的，均“设定”进行表述）</v>
      </c>
    </row>
    <row r="63" s="3716" customFormat="1" spans="1:2">
      <c r="A63" s="3724" t="s">
        <v>63</v>
      </c>
      <c r="B63" s="37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6" customFormat="1" spans="1:2">
      <c r="A64" s="3724" t="s">
        <v>64</v>
      </c>
      <c r="B64" s="3725" t="str">
        <f>'预评函-4'!A18</f>
        <v>故，本次评估不存在估价师知悉的法定优先受偿款</v>
      </c>
    </row>
    <row r="65" s="3716" customFormat="1" spans="1:2">
      <c r="A65" s="3724" t="s">
        <v>65</v>
      </c>
      <c r="B65" s="372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6" customFormat="1" spans="1:2">
      <c r="A66" s="3724" t="s">
        <v>66</v>
      </c>
      <c r="B66" s="372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6" customFormat="1" spans="1:2">
      <c r="A67" s="3724" t="s">
        <v>67</v>
      </c>
      <c r="B67" s="372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6" customFormat="1" spans="1:2">
      <c r="A68" s="3724" t="s">
        <v>68</v>
      </c>
      <c r="B68" s="3725" t="str">
        <f>'预评函-4'!A22</f>
        <v>8.其他需特殊说明事项：无（注意调整序号）</v>
      </c>
    </row>
    <row r="69" s="3714" customFormat="1" ht="15" spans="1:2">
      <c r="A69" s="3726" t="s">
        <v>69</v>
      </c>
      <c r="B69" s="3728">
        <f>'预评函-4'!C31</f>
        <v>42551</v>
      </c>
    </row>
    <row r="70" ht="15" spans="1:2">
      <c r="A70" s="3729" t="s">
        <v>70</v>
      </c>
      <c r="B70" s="3730">
        <f>'预评函-4'!A4</f>
        <v>0</v>
      </c>
    </row>
    <row r="71" spans="1:2">
      <c r="A71" s="3724" t="s">
        <v>71</v>
      </c>
      <c r="B71" s="3725">
        <f ca="1">'预评函-4'!B4</f>
        <v>0</v>
      </c>
    </row>
    <row r="72" spans="1:2">
      <c r="A72" s="3724" t="s">
        <v>72</v>
      </c>
      <c r="B72" s="3731">
        <f>'预评函-4'!A5</f>
        <v>0</v>
      </c>
    </row>
    <row r="73" s="3714" customFormat="1" ht="15" spans="1:2">
      <c r="A73" s="3726" t="s">
        <v>73</v>
      </c>
      <c r="B73" s="3727">
        <f ca="1">'预评函-4'!B5</f>
        <v>0</v>
      </c>
    </row>
    <row r="74" ht="15" spans="1:2">
      <c r="A74" s="3717" t="s">
        <v>74</v>
      </c>
      <c r="B74" s="371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15" sqref="C15"/>
    </sheetView>
  </sheetViews>
  <sheetFormatPr defaultColWidth="9" defaultRowHeight="13.5"/>
  <cols>
    <col min="1" max="1" width="13.5" style="3557" customWidth="1"/>
    <col min="2" max="2" width="23.25" style="3558" customWidth="1"/>
    <col min="3" max="3" width="13" style="3559" customWidth="1"/>
    <col min="4" max="4" width="5.75" style="3560" customWidth="1"/>
    <col min="5" max="5" width="7.125" style="3560" customWidth="1"/>
    <col min="6" max="6" width="10.625" style="3560" customWidth="1"/>
    <col min="7" max="7" width="7.5" style="3560" customWidth="1"/>
    <col min="8" max="8" width="11.875" style="3559" customWidth="1"/>
    <col min="9" max="9" width="11.625" style="3559" customWidth="1"/>
    <col min="10" max="10" width="9" style="3559" customWidth="1"/>
    <col min="11" max="19" width="9" style="3560" customWidth="1"/>
    <col min="20" max="23" width="9" style="3559" customWidth="1"/>
    <col min="24" max="28" width="15.125" style="3559" customWidth="1"/>
    <col min="29" max="16384" width="9" style="3558"/>
  </cols>
  <sheetData>
    <row r="1" s="3556" customFormat="1" ht="40.5" spans="1:28">
      <c r="A1" s="3561" t="s">
        <v>206</v>
      </c>
      <c r="B1" s="3562" t="s">
        <v>207</v>
      </c>
      <c r="C1" s="3563" t="s">
        <v>208</v>
      </c>
      <c r="D1" s="3564" t="s">
        <v>209</v>
      </c>
      <c r="E1" s="3565" t="s">
        <v>210</v>
      </c>
      <c r="F1" s="3565" t="s">
        <v>211</v>
      </c>
      <c r="G1" s="3565" t="s">
        <v>212</v>
      </c>
      <c r="H1" s="3565" t="s">
        <v>213</v>
      </c>
      <c r="I1" s="3565" t="s">
        <v>214</v>
      </c>
      <c r="J1" s="3565" t="s">
        <v>215</v>
      </c>
      <c r="K1" s="3565" t="s">
        <v>216</v>
      </c>
      <c r="L1" s="3565" t="s">
        <v>217</v>
      </c>
      <c r="M1" s="3565" t="s">
        <v>218</v>
      </c>
      <c r="N1" s="3565" t="s">
        <v>219</v>
      </c>
      <c r="O1" s="3565" t="s">
        <v>220</v>
      </c>
      <c r="P1" s="3564" t="s">
        <v>221</v>
      </c>
      <c r="Q1" s="3564" t="s">
        <v>222</v>
      </c>
      <c r="R1" s="3565" t="s">
        <v>223</v>
      </c>
      <c r="S1" s="3565" t="s">
        <v>224</v>
      </c>
      <c r="T1" s="3574" t="s">
        <v>225</v>
      </c>
      <c r="U1" s="3565" t="s">
        <v>226</v>
      </c>
      <c r="V1" s="3565" t="s">
        <v>227</v>
      </c>
      <c r="W1" s="3565" t="s">
        <v>228</v>
      </c>
      <c r="X1" s="3565" t="s">
        <v>229</v>
      </c>
      <c r="Y1" s="3565" t="s">
        <v>230</v>
      </c>
      <c r="Z1" s="3565" t="s">
        <v>231</v>
      </c>
      <c r="AA1" s="3565" t="s">
        <v>232</v>
      </c>
      <c r="AB1" s="3565" t="s">
        <v>233</v>
      </c>
    </row>
    <row r="2" spans="1:28">
      <c r="A2" s="3566" t="s">
        <v>124</v>
      </c>
      <c r="B2" s="3566" t="s">
        <v>234</v>
      </c>
      <c r="C2" s="3567" t="s">
        <v>235</v>
      </c>
      <c r="D2" s="3560" t="s">
        <v>236</v>
      </c>
      <c r="E2" s="3560" t="s">
        <v>237</v>
      </c>
      <c r="F2" s="3560" t="s">
        <v>159</v>
      </c>
      <c r="G2" s="3560">
        <v>20</v>
      </c>
      <c r="H2" s="3560" t="s">
        <v>159</v>
      </c>
      <c r="I2" s="3560" t="s">
        <v>238</v>
      </c>
      <c r="J2" s="3560" t="s">
        <v>239</v>
      </c>
      <c r="K2" s="3560" t="s">
        <v>240</v>
      </c>
      <c r="L2" s="3560" t="s">
        <v>240</v>
      </c>
      <c r="M2" s="3560" t="s">
        <v>240</v>
      </c>
      <c r="N2" s="3560" t="s">
        <v>240</v>
      </c>
      <c r="O2" s="3560" t="s">
        <v>240</v>
      </c>
      <c r="P2" s="3560" t="s">
        <v>240</v>
      </c>
      <c r="Q2" s="3560" t="s">
        <v>240</v>
      </c>
      <c r="R2" s="3560" t="s">
        <v>241</v>
      </c>
      <c r="S2" s="3560" t="s">
        <v>240</v>
      </c>
      <c r="T2" s="3560" t="s">
        <v>242</v>
      </c>
      <c r="U2" s="3560" t="s">
        <v>240</v>
      </c>
      <c r="V2" s="3560" t="s">
        <v>243</v>
      </c>
      <c r="W2" s="3560" t="s">
        <v>240</v>
      </c>
      <c r="X2" s="3559" t="s">
        <v>244</v>
      </c>
      <c r="Y2" s="3559" t="s">
        <v>245</v>
      </c>
      <c r="Z2" s="3559" t="s">
        <v>246</v>
      </c>
      <c r="AA2" s="3559" t="s">
        <v>247</v>
      </c>
      <c r="AB2" s="3559" t="s">
        <v>248</v>
      </c>
    </row>
    <row r="3" spans="1:28">
      <c r="A3" s="3566" t="s">
        <v>249</v>
      </c>
      <c r="B3" s="3568" t="s">
        <v>250</v>
      </c>
      <c r="C3" s="3569" t="s">
        <v>251</v>
      </c>
      <c r="D3" s="3560" t="s">
        <v>252</v>
      </c>
      <c r="E3" s="3560" t="s">
        <v>124</v>
      </c>
      <c r="F3" s="3560" t="s">
        <v>160</v>
      </c>
      <c r="G3" s="3560">
        <v>40</v>
      </c>
      <c r="H3" s="3560" t="s">
        <v>160</v>
      </c>
      <c r="I3" s="3560" t="s">
        <v>253</v>
      </c>
      <c r="J3" s="3560" t="s">
        <v>254</v>
      </c>
      <c r="K3" s="3560" t="s">
        <v>255</v>
      </c>
      <c r="L3" s="3560" t="s">
        <v>255</v>
      </c>
      <c r="M3" s="3560" t="s">
        <v>255</v>
      </c>
      <c r="N3" s="3560" t="s">
        <v>255</v>
      </c>
      <c r="O3" s="3560" t="s">
        <v>255</v>
      </c>
      <c r="P3" s="3560" t="s">
        <v>255</v>
      </c>
      <c r="Q3" s="3560" t="s">
        <v>255</v>
      </c>
      <c r="R3" s="3560" t="s">
        <v>256</v>
      </c>
      <c r="S3" s="3560" t="s">
        <v>255</v>
      </c>
      <c r="T3" s="3560" t="s">
        <v>257</v>
      </c>
      <c r="U3" s="3560" t="s">
        <v>255</v>
      </c>
      <c r="V3" s="3560" t="s">
        <v>258</v>
      </c>
      <c r="W3" s="3560" t="s">
        <v>255</v>
      </c>
      <c r="X3" s="3559" t="s">
        <v>259</v>
      </c>
      <c r="Z3" s="3559" t="s">
        <v>260</v>
      </c>
      <c r="AB3" s="3559" t="s">
        <v>261</v>
      </c>
    </row>
    <row r="4" spans="1:28">
      <c r="A4" s="3566" t="s">
        <v>262</v>
      </c>
      <c r="B4" s="3566" t="s">
        <v>263</v>
      </c>
      <c r="C4" s="3567" t="s">
        <v>264</v>
      </c>
      <c r="D4" s="3560" t="s">
        <v>124</v>
      </c>
      <c r="E4" s="3560" t="s">
        <v>265</v>
      </c>
      <c r="F4" s="3560" t="s">
        <v>161</v>
      </c>
      <c r="G4" s="3560">
        <v>50</v>
      </c>
      <c r="H4" s="3560" t="s">
        <v>161</v>
      </c>
      <c r="I4" s="3560" t="s">
        <v>266</v>
      </c>
      <c r="K4" s="3560" t="s">
        <v>267</v>
      </c>
      <c r="L4" s="3560" t="s">
        <v>267</v>
      </c>
      <c r="M4" s="3560" t="s">
        <v>267</v>
      </c>
      <c r="N4" s="3560" t="s">
        <v>267</v>
      </c>
      <c r="O4" s="3560" t="s">
        <v>267</v>
      </c>
      <c r="P4" s="3560" t="s">
        <v>267</v>
      </c>
      <c r="Q4" s="3560" t="s">
        <v>267</v>
      </c>
      <c r="R4" s="3560" t="s">
        <v>268</v>
      </c>
      <c r="S4" s="3560" t="s">
        <v>267</v>
      </c>
      <c r="T4" s="3560" t="s">
        <v>269</v>
      </c>
      <c r="U4" s="3560" t="s">
        <v>267</v>
      </c>
      <c r="W4" s="3560" t="s">
        <v>267</v>
      </c>
      <c r="X4" s="3559" t="s">
        <v>270</v>
      </c>
      <c r="Z4" s="3559" t="s">
        <v>271</v>
      </c>
      <c r="AB4" s="3559" t="s">
        <v>272</v>
      </c>
    </row>
    <row r="5" spans="1:28">
      <c r="A5" s="3566" t="s">
        <v>273</v>
      </c>
      <c r="B5" s="3566" t="s">
        <v>274</v>
      </c>
      <c r="C5" s="3567" t="s">
        <v>275</v>
      </c>
      <c r="F5" s="3560" t="s">
        <v>162</v>
      </c>
      <c r="G5" s="3560">
        <v>70</v>
      </c>
      <c r="H5" s="3560" t="s">
        <v>276</v>
      </c>
      <c r="I5" s="3560" t="s">
        <v>277</v>
      </c>
      <c r="K5" s="3560" t="s">
        <v>278</v>
      </c>
      <c r="L5" s="3560" t="s">
        <v>278</v>
      </c>
      <c r="M5" s="3560" t="s">
        <v>278</v>
      </c>
      <c r="N5" s="3560" t="s">
        <v>278</v>
      </c>
      <c r="O5" s="3560" t="s">
        <v>278</v>
      </c>
      <c r="P5" s="3560" t="s">
        <v>278</v>
      </c>
      <c r="Q5" s="3560" t="s">
        <v>278</v>
      </c>
      <c r="R5" s="3560" t="s">
        <v>279</v>
      </c>
      <c r="S5" s="3560" t="s">
        <v>278</v>
      </c>
      <c r="T5" s="3560" t="s">
        <v>280</v>
      </c>
      <c r="U5" s="3560" t="s">
        <v>278</v>
      </c>
      <c r="W5" s="3560" t="s">
        <v>278</v>
      </c>
      <c r="X5" s="3559" t="s">
        <v>281</v>
      </c>
      <c r="Z5" s="3559" t="s">
        <v>282</v>
      </c>
      <c r="AB5" s="3559" t="s">
        <v>283</v>
      </c>
    </row>
    <row r="6" spans="1:28">
      <c r="A6" s="3566" t="s">
        <v>284</v>
      </c>
      <c r="B6" s="3568" t="s">
        <v>285</v>
      </c>
      <c r="C6" s="3570" t="s">
        <v>286</v>
      </c>
      <c r="F6" s="3560" t="s">
        <v>276</v>
      </c>
      <c r="H6" s="3560" t="s">
        <v>164</v>
      </c>
      <c r="I6" s="3560" t="s">
        <v>287</v>
      </c>
      <c r="K6" s="3560" t="s">
        <v>288</v>
      </c>
      <c r="L6" s="3560" t="s">
        <v>288</v>
      </c>
      <c r="M6" s="3560" t="s">
        <v>288</v>
      </c>
      <c r="N6" s="3560" t="s">
        <v>288</v>
      </c>
      <c r="O6" s="3560" t="s">
        <v>288</v>
      </c>
      <c r="P6" s="3560" t="s">
        <v>288</v>
      </c>
      <c r="Q6" s="3560" t="s">
        <v>288</v>
      </c>
      <c r="R6" s="3560" t="s">
        <v>289</v>
      </c>
      <c r="S6" s="3560" t="s">
        <v>288</v>
      </c>
      <c r="T6" s="3560"/>
      <c r="U6" s="3560" t="s">
        <v>288</v>
      </c>
      <c r="W6" s="3560" t="s">
        <v>288</v>
      </c>
      <c r="X6" s="3559" t="s">
        <v>290</v>
      </c>
      <c r="Z6" s="3559" t="s">
        <v>291</v>
      </c>
      <c r="AB6" s="3559" t="s">
        <v>292</v>
      </c>
    </row>
    <row r="7" spans="1:28">
      <c r="A7" s="3566" t="s">
        <v>293</v>
      </c>
      <c r="B7" s="3568" t="s">
        <v>294</v>
      </c>
      <c r="C7" s="3567" t="s">
        <v>295</v>
      </c>
      <c r="F7" s="3560" t="s">
        <v>296</v>
      </c>
      <c r="H7" s="3560" t="s">
        <v>162</v>
      </c>
      <c r="I7" s="3560" t="s">
        <v>297</v>
      </c>
      <c r="X7" s="3559" t="s">
        <v>298</v>
      </c>
      <c r="Z7" s="3559" t="s">
        <v>299</v>
      </c>
      <c r="AB7" s="3559" t="s">
        <v>300</v>
      </c>
    </row>
    <row r="8" spans="1:28">
      <c r="A8" s="3566" t="s">
        <v>301</v>
      </c>
      <c r="B8" s="3566" t="s">
        <v>302</v>
      </c>
      <c r="C8" s="3567" t="s">
        <v>303</v>
      </c>
      <c r="F8" s="3560" t="s">
        <v>304</v>
      </c>
      <c r="H8" s="3560" t="s">
        <v>231</v>
      </c>
      <c r="I8" s="3560" t="s">
        <v>305</v>
      </c>
      <c r="X8" s="3559" t="s">
        <v>306</v>
      </c>
      <c r="Z8" s="3559" t="s">
        <v>307</v>
      </c>
      <c r="AB8" s="3559" t="s">
        <v>308</v>
      </c>
    </row>
    <row r="9" spans="1:28">
      <c r="A9" s="3566" t="s">
        <v>309</v>
      </c>
      <c r="B9" s="3566" t="s">
        <v>310</v>
      </c>
      <c r="C9" s="3567" t="s">
        <v>311</v>
      </c>
      <c r="F9" s="3560" t="s">
        <v>164</v>
      </c>
      <c r="H9" s="3560"/>
      <c r="I9" s="3559" t="s">
        <v>312</v>
      </c>
      <c r="X9" s="3559" t="s">
        <v>313</v>
      </c>
      <c r="Z9" s="3559" t="s">
        <v>314</v>
      </c>
      <c r="AB9" s="3559" t="s">
        <v>315</v>
      </c>
    </row>
    <row r="10" spans="1:28">
      <c r="A10" s="3566" t="s">
        <v>316</v>
      </c>
      <c r="B10" s="3566" t="s">
        <v>317</v>
      </c>
      <c r="C10" s="3567" t="s">
        <v>318</v>
      </c>
      <c r="F10" s="3560" t="s">
        <v>231</v>
      </c>
      <c r="I10" s="3559" t="s">
        <v>319</v>
      </c>
      <c r="Z10" s="3559" t="s">
        <v>320</v>
      </c>
      <c r="AB10" s="3559" t="s">
        <v>321</v>
      </c>
    </row>
    <row r="11" spans="1:28">
      <c r="A11" s="3566" t="s">
        <v>322</v>
      </c>
      <c r="B11" s="3566" t="s">
        <v>323</v>
      </c>
      <c r="C11" s="3567" t="s">
        <v>324</v>
      </c>
      <c r="F11" s="3560" t="s">
        <v>124</v>
      </c>
      <c r="I11" s="3559" t="s">
        <v>325</v>
      </c>
      <c r="Z11" s="3559" t="s">
        <v>326</v>
      </c>
      <c r="AB11" s="3559" t="s">
        <v>327</v>
      </c>
    </row>
    <row r="12" spans="1:28">
      <c r="A12" s="3566" t="s">
        <v>328</v>
      </c>
      <c r="B12" s="3566" t="s">
        <v>329</v>
      </c>
      <c r="C12" s="3567" t="s">
        <v>330</v>
      </c>
      <c r="I12" s="3559" t="s">
        <v>331</v>
      </c>
      <c r="Z12" s="3559" t="s">
        <v>332</v>
      </c>
      <c r="AB12" s="3559" t="s">
        <v>333</v>
      </c>
    </row>
    <row r="13" spans="1:26">
      <c r="A13" s="3566" t="s">
        <v>334</v>
      </c>
      <c r="B13" s="3566" t="s">
        <v>335</v>
      </c>
      <c r="C13" s="3567" t="s">
        <v>336</v>
      </c>
      <c r="I13" s="3559" t="s">
        <v>337</v>
      </c>
      <c r="Z13" s="3559" t="s">
        <v>338</v>
      </c>
    </row>
    <row r="14" spans="1:26">
      <c r="A14" s="3566" t="s">
        <v>339</v>
      </c>
      <c r="B14" s="3566" t="s">
        <v>340</v>
      </c>
      <c r="C14" s="3560" t="s">
        <v>124</v>
      </c>
      <c r="I14" s="3559" t="s">
        <v>341</v>
      </c>
      <c r="Z14" s="3559" t="s">
        <v>342</v>
      </c>
    </row>
    <row r="15" spans="1:9">
      <c r="A15" s="3566" t="s">
        <v>343</v>
      </c>
      <c r="B15" s="3566" t="s">
        <v>344</v>
      </c>
      <c r="C15" s="3567"/>
      <c r="I15" s="3559" t="s">
        <v>345</v>
      </c>
    </row>
    <row r="16" spans="1:3">
      <c r="A16" s="3566" t="s">
        <v>346</v>
      </c>
      <c r="B16" s="3566" t="s">
        <v>347</v>
      </c>
      <c r="C16" s="3567"/>
    </row>
    <row r="17" spans="1:3">
      <c r="A17" s="3566" t="s">
        <v>348</v>
      </c>
      <c r="B17" s="3566" t="s">
        <v>349</v>
      </c>
      <c r="C17" s="3567"/>
    </row>
    <row r="18" spans="1:3">
      <c r="A18" s="3566" t="s">
        <v>350</v>
      </c>
      <c r="B18" s="3566" t="s">
        <v>351</v>
      </c>
      <c r="C18" s="3567"/>
    </row>
    <row r="19" spans="1:3">
      <c r="A19" s="3566" t="s">
        <v>352</v>
      </c>
      <c r="B19" s="3566" t="s">
        <v>353</v>
      </c>
      <c r="C19" s="3567"/>
    </row>
    <row r="20" spans="1:3">
      <c r="A20" s="3566" t="s">
        <v>354</v>
      </c>
      <c r="B20" s="3566" t="s">
        <v>353</v>
      </c>
      <c r="C20" s="3567"/>
    </row>
    <row r="21" spans="1:3">
      <c r="A21" s="3566" t="s">
        <v>276</v>
      </c>
      <c r="B21" s="3566" t="s">
        <v>353</v>
      </c>
      <c r="C21" s="3567"/>
    </row>
    <row r="22" spans="1:3">
      <c r="A22" s="3566" t="s">
        <v>355</v>
      </c>
      <c r="B22" s="3566" t="s">
        <v>353</v>
      </c>
      <c r="C22" s="3567"/>
    </row>
    <row r="23" spans="1:3">
      <c r="A23" s="3566" t="s">
        <v>356</v>
      </c>
      <c r="B23" s="3566" t="s">
        <v>353</v>
      </c>
      <c r="C23" s="3567"/>
    </row>
    <row r="24" spans="1:3">
      <c r="A24" s="3566" t="s">
        <v>357</v>
      </c>
      <c r="B24" s="3566" t="s">
        <v>353</v>
      </c>
      <c r="C24" s="3567"/>
    </row>
    <row r="25" spans="1:3">
      <c r="A25" s="3566" t="s">
        <v>358</v>
      </c>
      <c r="B25" s="3566" t="s">
        <v>353</v>
      </c>
      <c r="C25" s="3567"/>
    </row>
    <row r="26" spans="1:3">
      <c r="A26" s="3566" t="s">
        <v>359</v>
      </c>
      <c r="B26" s="3566" t="s">
        <v>353</v>
      </c>
      <c r="C26" s="3567"/>
    </row>
    <row r="27" spans="1:3">
      <c r="A27" s="3566" t="s">
        <v>353</v>
      </c>
      <c r="B27" s="3566" t="s">
        <v>353</v>
      </c>
      <c r="C27" s="3567"/>
    </row>
    <row r="28" spans="1:3">
      <c r="A28" s="3566" t="s">
        <v>353</v>
      </c>
      <c r="B28" s="3566" t="s">
        <v>353</v>
      </c>
      <c r="C28" s="3567"/>
    </row>
    <row r="29" spans="1:3">
      <c r="A29" s="3566" t="s">
        <v>353</v>
      </c>
      <c r="B29" s="3566" t="s">
        <v>353</v>
      </c>
      <c r="C29" s="3567"/>
    </row>
    <row r="30" spans="1:3">
      <c r="A30" s="3566" t="s">
        <v>353</v>
      </c>
      <c r="B30" s="3566" t="s">
        <v>353</v>
      </c>
      <c r="C30" s="3567"/>
    </row>
    <row r="31" spans="1:3">
      <c r="A31" s="3566" t="s">
        <v>353</v>
      </c>
      <c r="B31" s="3566" t="s">
        <v>353</v>
      </c>
      <c r="C31" s="3567"/>
    </row>
    <row r="32" spans="1:3">
      <c r="A32" s="3566" t="s">
        <v>353</v>
      </c>
      <c r="B32" s="3566" t="s">
        <v>353</v>
      </c>
      <c r="C32" s="3567"/>
    </row>
    <row r="33" spans="1:3">
      <c r="A33" s="3566" t="s">
        <v>353</v>
      </c>
      <c r="B33" s="3566" t="s">
        <v>353</v>
      </c>
      <c r="C33" s="3567"/>
    </row>
    <row r="34" spans="1:3">
      <c r="A34" s="3566" t="s">
        <v>353</v>
      </c>
      <c r="B34" s="3566" t="s">
        <v>353</v>
      </c>
      <c r="C34" s="3567"/>
    </row>
    <row r="35" spans="1:3">
      <c r="A35" s="3566" t="s">
        <v>353</v>
      </c>
      <c r="B35" s="3566" t="s">
        <v>353</v>
      </c>
      <c r="C35" s="3567"/>
    </row>
    <row r="36" spans="1:3">
      <c r="A36" s="3566" t="s">
        <v>353</v>
      </c>
      <c r="B36" s="3566" t="s">
        <v>353</v>
      </c>
      <c r="C36" s="3567"/>
    </row>
    <row r="37" spans="1:3">
      <c r="A37" s="3566" t="s">
        <v>353</v>
      </c>
      <c r="B37" s="3566" t="s">
        <v>353</v>
      </c>
      <c r="C37" s="3567"/>
    </row>
    <row r="38" spans="1:3">
      <c r="A38" s="3566" t="s">
        <v>353</v>
      </c>
      <c r="B38" s="3566" t="s">
        <v>353</v>
      </c>
      <c r="C38" s="3567"/>
    </row>
    <row r="39" spans="1:3">
      <c r="A39" s="3566" t="s">
        <v>353</v>
      </c>
      <c r="B39" s="3566" t="s">
        <v>353</v>
      </c>
      <c r="C39" s="3567"/>
    </row>
    <row r="40" spans="1:3">
      <c r="A40" s="3566" t="s">
        <v>353</v>
      </c>
      <c r="B40" s="3566" t="s">
        <v>353</v>
      </c>
      <c r="C40" s="3567"/>
    </row>
    <row r="41" spans="1:3">
      <c r="A41" s="3566" t="s">
        <v>353</v>
      </c>
      <c r="B41" s="3566" t="s">
        <v>353</v>
      </c>
      <c r="C41" s="3567"/>
    </row>
    <row r="42" spans="1:3">
      <c r="A42" s="3566" t="s">
        <v>353</v>
      </c>
      <c r="B42" s="3566" t="s">
        <v>353</v>
      </c>
      <c r="C42" s="3567"/>
    </row>
    <row r="43" spans="1:3">
      <c r="A43" s="3566" t="s">
        <v>353</v>
      </c>
      <c r="B43" s="3566" t="s">
        <v>353</v>
      </c>
      <c r="C43" s="3567"/>
    </row>
    <row r="44" spans="1:3">
      <c r="A44" s="3566" t="s">
        <v>353</v>
      </c>
      <c r="B44" s="3566" t="s">
        <v>353</v>
      </c>
      <c r="C44" s="3567"/>
    </row>
    <row r="45" spans="1:3">
      <c r="A45" s="3566" t="s">
        <v>353</v>
      </c>
      <c r="B45" s="3566" t="s">
        <v>353</v>
      </c>
      <c r="C45" s="3567"/>
    </row>
    <row r="46" spans="1:3">
      <c r="A46" s="3566" t="s">
        <v>353</v>
      </c>
      <c r="B46" s="3566" t="s">
        <v>353</v>
      </c>
      <c r="C46" s="3567"/>
    </row>
    <row r="47" spans="1:3">
      <c r="A47" s="3566" t="s">
        <v>353</v>
      </c>
      <c r="B47" s="3566" t="s">
        <v>353</v>
      </c>
      <c r="C47" s="3567"/>
    </row>
    <row r="48" spans="1:3">
      <c r="A48" s="3566" t="s">
        <v>353</v>
      </c>
      <c r="B48" s="3566" t="s">
        <v>353</v>
      </c>
      <c r="C48" s="3567"/>
    </row>
    <row r="49" spans="1:3">
      <c r="A49" s="3566" t="s">
        <v>353</v>
      </c>
      <c r="B49" s="3566" t="s">
        <v>353</v>
      </c>
      <c r="C49" s="3567"/>
    </row>
    <row r="50" spans="1:3">
      <c r="A50" s="3566" t="s">
        <v>353</v>
      </c>
      <c r="B50" s="3566" t="s">
        <v>353</v>
      </c>
      <c r="C50" s="3567"/>
    </row>
    <row r="51" spans="1:4">
      <c r="A51" s="3571" t="s">
        <v>360</v>
      </c>
      <c r="B51" s="35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2" t="s">
        <v>361</v>
      </c>
    </row>
    <row r="52" spans="1:4">
      <c r="A52" s="3571" t="s">
        <v>362</v>
      </c>
      <c r="B52" s="3571" t="s">
        <v>363</v>
      </c>
      <c r="C52" s="3559" t="s">
        <v>364</v>
      </c>
      <c r="D52" s="3559" t="s">
        <v>365</v>
      </c>
    </row>
    <row r="53" spans="1:3">
      <c r="A53" s="3563" t="s">
        <v>366</v>
      </c>
      <c r="B53" s="3572" t="s">
        <v>367</v>
      </c>
      <c r="C53" s="35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3"/>
      <c r="B54" s="3572" t="s">
        <v>368</v>
      </c>
      <c r="C54" s="3559" t="s">
        <v>369</v>
      </c>
    </row>
    <row r="55" spans="1:3">
      <c r="A55" s="3563"/>
      <c r="B55" s="3572" t="s">
        <v>370</v>
      </c>
      <c r="C55" s="3559" t="s">
        <v>371</v>
      </c>
    </row>
    <row r="56" spans="1:3">
      <c r="A56" s="3563"/>
      <c r="B56" s="3572" t="s">
        <v>372</v>
      </c>
      <c r="C56" s="3559" t="s">
        <v>373</v>
      </c>
    </row>
    <row r="57" spans="1:3">
      <c r="A57" s="3563"/>
      <c r="B57" s="3572" t="s">
        <v>374</v>
      </c>
      <c r="C57" s="3559" t="s">
        <v>375</v>
      </c>
    </row>
    <row r="58" spans="1:2">
      <c r="A58" s="3573"/>
      <c r="B58" s="3559"/>
    </row>
    <row r="59" spans="1:2">
      <c r="A59" s="3573"/>
      <c r="B59" s="3559"/>
    </row>
    <row r="60" spans="1:2">
      <c r="A60" s="3573"/>
      <c r="B60" s="3559"/>
    </row>
    <row r="61" spans="1:2">
      <c r="A61" s="3573"/>
      <c r="B61" s="3559"/>
    </row>
    <row r="62" spans="1:2">
      <c r="A62" s="3573"/>
      <c r="B62" s="3559"/>
    </row>
    <row r="63" spans="1:2">
      <c r="A63" s="3573"/>
      <c r="B63" s="3559"/>
    </row>
    <row r="64" spans="1:2">
      <c r="A64" s="3573"/>
      <c r="B64" s="3559"/>
    </row>
    <row r="65" spans="1:2">
      <c r="A65" s="3573"/>
      <c r="B65" s="3559"/>
    </row>
    <row r="66" spans="1:2">
      <c r="A66" s="3573"/>
      <c r="B66" s="3559"/>
    </row>
    <row r="67" spans="1:2">
      <c r="A67" s="3573"/>
      <c r="B67" s="3559"/>
    </row>
    <row r="68" spans="1:2">
      <c r="A68" s="3573"/>
      <c r="B68" s="3559"/>
    </row>
    <row r="69" spans="1:2">
      <c r="A69" s="3573"/>
      <c r="B69" s="3559"/>
    </row>
    <row r="70" spans="1:2">
      <c r="A70" s="3573"/>
      <c r="B70" s="3559"/>
    </row>
    <row r="71" spans="1:2">
      <c r="A71" s="3573"/>
      <c r="B71" s="3559"/>
    </row>
    <row r="72" spans="1:2">
      <c r="A72" s="3573"/>
      <c r="B72" s="3559"/>
    </row>
    <row r="73" spans="1:2">
      <c r="A73" s="3573"/>
      <c r="B73" s="3559"/>
    </row>
    <row r="74" spans="1:2">
      <c r="A74" s="3573"/>
      <c r="B74" s="3559"/>
    </row>
    <row r="75" spans="1:2">
      <c r="A75" s="3573"/>
      <c r="B75" s="3559"/>
    </row>
    <row r="76" spans="1:2">
      <c r="A76" s="3573"/>
      <c r="B76" s="3559"/>
    </row>
    <row r="77" spans="1:2">
      <c r="A77" s="3573"/>
      <c r="B77" s="3559"/>
    </row>
    <row r="78" spans="1:2">
      <c r="A78" s="3573"/>
      <c r="B78" s="3559"/>
    </row>
    <row r="79" spans="1:2">
      <c r="A79" s="3573"/>
      <c r="B79" s="3559"/>
    </row>
    <row r="80" spans="1:2">
      <c r="A80" s="3573"/>
      <c r="B80" s="3559"/>
    </row>
    <row r="81" spans="1:2">
      <c r="A81" s="3573"/>
      <c r="B81" s="3559"/>
    </row>
    <row r="82" spans="1:2">
      <c r="A82" s="3573"/>
      <c r="B82" s="3559"/>
    </row>
    <row r="83" spans="1:2">
      <c r="A83" s="3573"/>
      <c r="B83" s="3559"/>
    </row>
    <row r="84" spans="1:2">
      <c r="A84" s="3573"/>
      <c r="B84" s="3559"/>
    </row>
    <row r="85" spans="1:2">
      <c r="A85" s="3573"/>
      <c r="B85" s="3559"/>
    </row>
    <row r="86" spans="1:2">
      <c r="A86" s="3573"/>
      <c r="B86" s="3559"/>
    </row>
    <row r="87" spans="1:2">
      <c r="A87" s="3573"/>
      <c r="B87" s="3559"/>
    </row>
    <row r="88" spans="1:2">
      <c r="A88" s="3573"/>
      <c r="B88" s="3559"/>
    </row>
    <row r="89" spans="1:2">
      <c r="A89" s="3573"/>
      <c r="B89" s="3559"/>
    </row>
    <row r="90" spans="1:2">
      <c r="A90" s="3573"/>
      <c r="B90" s="3559"/>
    </row>
    <row r="91" spans="1:2">
      <c r="A91" s="3573"/>
      <c r="B91" s="3559"/>
    </row>
    <row r="92" spans="1:2">
      <c r="A92" s="3573"/>
      <c r="B92" s="3559"/>
    </row>
    <row r="93" spans="1:2">
      <c r="A93" s="3573"/>
      <c r="B93" s="3559"/>
    </row>
    <row r="94" spans="1:2">
      <c r="A94" s="3573"/>
      <c r="B94" s="3559"/>
    </row>
    <row r="95" spans="1:2">
      <c r="A95" s="3573"/>
      <c r="B95" s="3559"/>
    </row>
    <row r="96" spans="1:2">
      <c r="A96" s="3573"/>
      <c r="B96" s="3559"/>
    </row>
    <row r="97" spans="1:2">
      <c r="A97" s="3573"/>
      <c r="B97" s="3559"/>
    </row>
    <row r="98" spans="1:2">
      <c r="A98" s="3573"/>
      <c r="B98" s="3559"/>
    </row>
    <row r="99" spans="1:2">
      <c r="A99" s="3573"/>
      <c r="B99" s="3559"/>
    </row>
    <row r="100" spans="1:2">
      <c r="A100" s="3573"/>
      <c r="B100" s="3559"/>
    </row>
    <row r="101" spans="1:2">
      <c r="A101" s="3573"/>
      <c r="B101" s="3559"/>
    </row>
    <row r="102" spans="1:2">
      <c r="A102" s="3573"/>
      <c r="B102" s="3559"/>
    </row>
    <row r="103" spans="1:2">
      <c r="A103" s="3573"/>
      <c r="B103" s="3559"/>
    </row>
    <row r="104" spans="1:2">
      <c r="A104" s="3573"/>
      <c r="B104" s="3559"/>
    </row>
    <row r="105" spans="1:2">
      <c r="A105" s="3573"/>
      <c r="B105" s="3559"/>
    </row>
    <row r="106" spans="1:2">
      <c r="A106" s="3573"/>
      <c r="B106" s="3559"/>
    </row>
    <row r="107" spans="1:2">
      <c r="A107" s="3573"/>
      <c r="B107" s="3559"/>
    </row>
    <row r="108" spans="1:2">
      <c r="A108" s="3573"/>
      <c r="B108" s="3559"/>
    </row>
    <row r="109" spans="1:2">
      <c r="A109" s="3573"/>
      <c r="B109" s="3559"/>
    </row>
    <row r="110" spans="1:2">
      <c r="A110" s="3573"/>
      <c r="B110" s="3559"/>
    </row>
    <row r="111" spans="1:2">
      <c r="A111" s="3573"/>
      <c r="B111" s="3559"/>
    </row>
    <row r="112" spans="1:2">
      <c r="A112" s="3573"/>
      <c r="B112" s="3559"/>
    </row>
    <row r="113" spans="1:2">
      <c r="A113" s="3573"/>
      <c r="B113" s="3559"/>
    </row>
    <row r="114" spans="1:2">
      <c r="A114" s="3573"/>
      <c r="B114" s="3559"/>
    </row>
    <row r="115" spans="1:2">
      <c r="A115" s="3573"/>
      <c r="B115" s="3559"/>
    </row>
    <row r="116" spans="1:2">
      <c r="A116" s="3573"/>
      <c r="B116" s="3559"/>
    </row>
    <row r="117" spans="1:2">
      <c r="A117" s="3573"/>
      <c r="B117" s="3559"/>
    </row>
    <row r="118" spans="1:2">
      <c r="A118" s="3573"/>
      <c r="B118" s="3559"/>
    </row>
    <row r="119" spans="1:2">
      <c r="A119" s="3573"/>
      <c r="B119" s="3559"/>
    </row>
    <row r="120" spans="1:2">
      <c r="A120" s="3573"/>
      <c r="B120" s="3559"/>
    </row>
    <row r="121" spans="1:2">
      <c r="A121" s="3573"/>
      <c r="B121" s="3559"/>
    </row>
    <row r="122" spans="1:2">
      <c r="A122" s="3573"/>
      <c r="B122" s="3559"/>
    </row>
    <row r="123" spans="1:2">
      <c r="A123" s="3573"/>
      <c r="B123" s="3559"/>
    </row>
    <row r="124" spans="1:2">
      <c r="A124" s="3573"/>
      <c r="B124" s="3559"/>
    </row>
    <row r="125" spans="1:2">
      <c r="A125" s="3573"/>
      <c r="B125" s="3559"/>
    </row>
    <row r="126" spans="1:2">
      <c r="A126" s="3573"/>
      <c r="B126" s="3559"/>
    </row>
    <row r="127" spans="1:2">
      <c r="A127" s="3573"/>
      <c r="B127" s="355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496"/>
    <col min="8" max="8" width="5.5" style="3496" customWidth="1"/>
    <col min="9" max="13" width="9.5" style="3497" customWidth="1"/>
    <col min="14" max="18" width="9.5" style="3496" customWidth="1"/>
    <col min="19" max="16384" width="15.25" style="3496"/>
  </cols>
  <sheetData>
    <row r="1" spans="1:18">
      <c r="A1" s="3498" t="s">
        <v>376</v>
      </c>
      <c r="B1" s="3499"/>
      <c r="C1" s="3499"/>
      <c r="D1" s="3499"/>
      <c r="E1" s="3499"/>
      <c r="F1" s="3500"/>
      <c r="I1" s="3549" t="s">
        <v>377</v>
      </c>
      <c r="J1" s="76"/>
      <c r="K1" s="76"/>
      <c r="L1" s="76"/>
      <c r="M1" s="76"/>
      <c r="N1" s="3550"/>
      <c r="O1" s="3550"/>
      <c r="P1" s="3550"/>
      <c r="Q1" s="3550"/>
      <c r="R1" s="3550"/>
    </row>
    <row r="2" spans="1:18">
      <c r="A2" s="3501"/>
      <c r="B2" s="3502"/>
      <c r="C2" s="3502"/>
      <c r="D2" s="3502"/>
      <c r="E2" s="3502"/>
      <c r="F2" s="3503"/>
      <c r="I2" s="3551" t="s">
        <v>378</v>
      </c>
      <c r="J2" s="3551"/>
      <c r="K2" s="3551"/>
      <c r="L2" s="3551"/>
      <c r="M2" s="3551"/>
      <c r="N2" s="3551"/>
      <c r="O2" s="3551"/>
      <c r="P2" s="3551"/>
      <c r="Q2" s="3551"/>
      <c r="R2" s="3551"/>
    </row>
    <row r="3" spans="1:18">
      <c r="A3" s="512" t="s">
        <v>379</v>
      </c>
      <c r="B3" s="3504">
        <f>项目基本情况!D3</f>
        <v>45846</v>
      </c>
      <c r="C3" s="513"/>
      <c r="D3" s="513"/>
      <c r="E3" s="513"/>
      <c r="F3" s="3503"/>
      <c r="I3" s="3552"/>
      <c r="J3" s="3552" t="s">
        <v>380</v>
      </c>
      <c r="K3" s="3552" t="s">
        <v>381</v>
      </c>
      <c r="L3" s="3552" t="s">
        <v>382</v>
      </c>
      <c r="M3" s="3552" t="s">
        <v>383</v>
      </c>
      <c r="N3" s="3553" t="s">
        <v>384</v>
      </c>
      <c r="O3" s="3553" t="s">
        <v>385</v>
      </c>
      <c r="P3" s="3553" t="s">
        <v>386</v>
      </c>
      <c r="Q3" s="3553" t="s">
        <v>387</v>
      </c>
      <c r="R3" s="3553" t="s">
        <v>388</v>
      </c>
    </row>
    <row r="4" spans="1:18">
      <c r="A4" s="512" t="s">
        <v>389</v>
      </c>
      <c r="B4" s="513" t="s">
        <v>390</v>
      </c>
      <c r="C4" s="513" t="s">
        <v>391</v>
      </c>
      <c r="D4" s="513" t="s">
        <v>392</v>
      </c>
      <c r="E4" s="513" t="s">
        <v>393</v>
      </c>
      <c r="F4" s="3503"/>
      <c r="I4" s="3552" t="s">
        <v>394</v>
      </c>
      <c r="J4" s="3552">
        <v>80</v>
      </c>
      <c r="K4" s="3552">
        <v>70</v>
      </c>
      <c r="L4" s="3552">
        <v>20</v>
      </c>
      <c r="M4" s="3552">
        <v>30</v>
      </c>
      <c r="N4" s="513">
        <v>45</v>
      </c>
      <c r="O4" s="513">
        <v>60</v>
      </c>
      <c r="P4" s="513">
        <v>50</v>
      </c>
      <c r="Q4" s="513">
        <v>20</v>
      </c>
      <c r="R4" s="513">
        <v>375</v>
      </c>
    </row>
    <row r="5" spans="1:18">
      <c r="A5" s="3505">
        <v>40</v>
      </c>
      <c r="B5" s="3504">
        <v>46375</v>
      </c>
      <c r="C5" s="513">
        <f>ROUNDDOWN(MIN((B5-B3)/365,A5),2)</f>
        <v>1.44</v>
      </c>
      <c r="D5" s="3506">
        <f>IF(ISERROR(ROUND(POWER(1+E5,A5-C5)*(POWER(1+E5,C5)-1)/(POWER(1+E5,A5)-1),3)),0,ROUND(POWER(1+E5,A5-C5)*(POWER(1+E5,C5)-1)/(POWER(1+E5,A5)-1),4))</f>
        <v>0.0694</v>
      </c>
      <c r="E5" s="3507">
        <v>0.04</v>
      </c>
      <c r="F5" s="3503"/>
      <c r="I5" s="3552" t="s">
        <v>395</v>
      </c>
      <c r="J5" s="3552">
        <v>70</v>
      </c>
      <c r="K5" s="3552">
        <v>60</v>
      </c>
      <c r="L5" s="3552">
        <v>15</v>
      </c>
      <c r="M5" s="3552">
        <v>25</v>
      </c>
      <c r="N5" s="513">
        <v>40</v>
      </c>
      <c r="O5" s="513">
        <v>50</v>
      </c>
      <c r="P5" s="513">
        <v>40</v>
      </c>
      <c r="Q5" s="513">
        <v>15</v>
      </c>
      <c r="R5" s="513">
        <v>315</v>
      </c>
    </row>
    <row r="6" spans="1:18">
      <c r="A6" s="3505">
        <v>50</v>
      </c>
      <c r="B6" s="3504">
        <v>50028</v>
      </c>
      <c r="C6" s="513">
        <f>ROUNDDOWN(MIN((B6-B3)/365,A6),2)</f>
        <v>11.45</v>
      </c>
      <c r="D6" s="3506">
        <f>IF(ISERROR(ROUND(POWER(1+E6,A6-C6)*(POWER(1+E6,C6)-1)/(POWER(1+E6,A6)-1),3)),0,ROUND(POWER(1+E6,A6-C6)*(POWER(1+E6,C6)-1)/(POWER(1+E6,A6)-1),4))</f>
        <v>0.421</v>
      </c>
      <c r="E6" s="3507">
        <v>0.04</v>
      </c>
      <c r="F6" s="3503"/>
      <c r="I6" s="3552" t="s">
        <v>396</v>
      </c>
      <c r="J6" s="3552">
        <v>60</v>
      </c>
      <c r="K6" s="3552">
        <v>50</v>
      </c>
      <c r="L6" s="3552">
        <v>10</v>
      </c>
      <c r="M6" s="3552">
        <v>20</v>
      </c>
      <c r="N6" s="513">
        <v>35</v>
      </c>
      <c r="O6" s="513">
        <v>40</v>
      </c>
      <c r="P6" s="513">
        <v>30</v>
      </c>
      <c r="Q6" s="513">
        <v>10</v>
      </c>
      <c r="R6" s="513">
        <v>255</v>
      </c>
    </row>
    <row r="7" spans="1:6">
      <c r="A7" s="3505">
        <v>70</v>
      </c>
      <c r="B7" s="3504">
        <v>57333</v>
      </c>
      <c r="C7" s="513">
        <f>ROUNDDOWN(MIN((B7-B3)/365,A7),2)</f>
        <v>31.47</v>
      </c>
      <c r="D7" s="3506">
        <f>IF(ISERROR(ROUND(POWER(1+E7,A7-C7)*(POWER(1+E7,C7)-1)/(POWER(1+E7,A7)-1),3)),0,ROUND(POWER(1+E7,A7-C7)*(POWER(1+E7,C7)-1)/(POWER(1+E7,A7)-1),4))</f>
        <v>0.7576</v>
      </c>
      <c r="E7" s="3507">
        <v>0.04</v>
      </c>
      <c r="F7" s="3503"/>
    </row>
    <row r="8" spans="1:6">
      <c r="A8" s="3501"/>
      <c r="B8" s="3502"/>
      <c r="C8" s="3502"/>
      <c r="D8" s="3502"/>
      <c r="E8" s="3502"/>
      <c r="F8" s="3503"/>
    </row>
    <row r="9" spans="1:6">
      <c r="A9" s="512" t="s">
        <v>397</v>
      </c>
      <c r="B9" s="513"/>
      <c r="C9" s="513"/>
      <c r="D9" s="513"/>
      <c r="E9" s="513"/>
      <c r="F9" s="574"/>
    </row>
    <row r="10" spans="1:6">
      <c r="A10" s="512" t="s">
        <v>398</v>
      </c>
      <c r="B10" s="513"/>
      <c r="C10" s="513"/>
      <c r="D10" s="513" t="s">
        <v>393</v>
      </c>
      <c r="E10" s="513"/>
      <c r="F10" s="574" t="s">
        <v>392</v>
      </c>
    </row>
    <row r="11" spans="1:6">
      <c r="A11" s="512" t="s">
        <v>399</v>
      </c>
      <c r="B11" s="3508">
        <v>70</v>
      </c>
      <c r="C11" s="513" t="s">
        <v>400</v>
      </c>
      <c r="D11" s="3509">
        <v>0.045</v>
      </c>
      <c r="E11" s="513" t="s">
        <v>401</v>
      </c>
      <c r="F11" s="3510">
        <f>ROUND(1-(1/(POWER(1+D11,B11))),4)</f>
        <v>0.9541</v>
      </c>
    </row>
    <row r="12" spans="1:6">
      <c r="A12" s="512" t="s">
        <v>402</v>
      </c>
      <c r="B12" s="3508">
        <v>40</v>
      </c>
      <c r="C12" s="513" t="s">
        <v>403</v>
      </c>
      <c r="D12" s="3509">
        <v>0.045</v>
      </c>
      <c r="E12" s="513" t="s">
        <v>404</v>
      </c>
      <c r="F12" s="3510">
        <f>ROUND(1-(1/(POWER(1+D12,B12))),4)</f>
        <v>0.8281</v>
      </c>
    </row>
    <row r="13" spans="1:6">
      <c r="A13" s="512" t="s">
        <v>405</v>
      </c>
      <c r="B13" s="513"/>
      <c r="C13" s="513"/>
      <c r="D13" s="3502"/>
      <c r="E13" s="3502"/>
      <c r="F13" s="3503"/>
    </row>
    <row r="14" spans="1:6">
      <c r="A14" s="512" t="s">
        <v>406</v>
      </c>
      <c r="B14" s="3508">
        <v>5000</v>
      </c>
      <c r="C14" s="3511"/>
      <c r="D14" s="3502"/>
      <c r="E14" s="3502"/>
      <c r="F14" s="3503"/>
    </row>
    <row r="15" spans="1:6">
      <c r="A15" s="512" t="s">
        <v>407</v>
      </c>
      <c r="B15" s="513">
        <f>ROUND(B14*F12/F11,2)</f>
        <v>4339.69</v>
      </c>
      <c r="C15" s="513">
        <f>ROUND(F12/F11,4)</f>
        <v>0.8679</v>
      </c>
      <c r="D15" s="3502"/>
      <c r="E15" s="3502"/>
      <c r="F15" s="3503"/>
    </row>
    <row r="16" spans="1:6">
      <c r="A16" s="512" t="s">
        <v>408</v>
      </c>
      <c r="B16" s="513"/>
      <c r="C16" s="513"/>
      <c r="D16" s="3502"/>
      <c r="E16" s="3502"/>
      <c r="F16" s="3503"/>
    </row>
    <row r="17" spans="1:6">
      <c r="A17" s="512" t="s">
        <v>407</v>
      </c>
      <c r="B17" s="3509">
        <v>4810</v>
      </c>
      <c r="C17" s="3511"/>
      <c r="D17" s="3502"/>
      <c r="E17" s="3502"/>
      <c r="F17" s="3503"/>
    </row>
    <row r="18" ht="14.25" spans="1:6">
      <c r="A18" s="3512" t="s">
        <v>406</v>
      </c>
      <c r="B18" s="577">
        <f>ROUND(B17*F11/F12,2)</f>
        <v>5541.87</v>
      </c>
      <c r="C18" s="577">
        <f>ROUND(F11/F12,4)</f>
        <v>1.1522</v>
      </c>
      <c r="D18" s="3513"/>
      <c r="E18" s="3513"/>
      <c r="F18" s="3514"/>
    </row>
    <row r="19" ht="14.25"/>
    <row r="20" s="3495" customFormat="1" ht="14.25" spans="1:13">
      <c r="A20" s="3515" t="s">
        <v>409</v>
      </c>
      <c r="B20" s="3516"/>
      <c r="C20" s="3516"/>
      <c r="D20" s="3516"/>
      <c r="E20" s="3516"/>
      <c r="F20" s="3516"/>
      <c r="G20" s="3517"/>
      <c r="I20" s="3554" t="s">
        <v>410</v>
      </c>
      <c r="J20" s="3554" t="s">
        <v>411</v>
      </c>
      <c r="K20" s="3554"/>
      <c r="L20" s="3554"/>
      <c r="M20" s="3554"/>
    </row>
    <row r="21" spans="1:10">
      <c r="A21" s="3518"/>
      <c r="B21" s="3519" t="s">
        <v>412</v>
      </c>
      <c r="C21" s="3519" t="s">
        <v>391</v>
      </c>
      <c r="D21" s="3519" t="s">
        <v>413</v>
      </c>
      <c r="E21" s="3519" t="s">
        <v>392</v>
      </c>
      <c r="F21" s="3519" t="s">
        <v>414</v>
      </c>
      <c r="G21" s="3520" t="s">
        <v>415</v>
      </c>
      <c r="I21" s="3497">
        <v>5</v>
      </c>
      <c r="J21" s="3497">
        <v>54.2</v>
      </c>
    </row>
    <row r="22" spans="1:11">
      <c r="A22" s="3518" t="s">
        <v>416</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4">
      <c r="A23" s="3518" t="s">
        <v>417</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418</v>
      </c>
      <c r="N23" s="3555" t="s">
        <v>419</v>
      </c>
    </row>
    <row r="24" spans="1:14">
      <c r="A24" s="3518" t="s">
        <v>420</v>
      </c>
      <c r="B24" s="3521">
        <v>70</v>
      </c>
      <c r="C24" s="3521">
        <v>50</v>
      </c>
      <c r="D24" s="3522">
        <v>0.04</v>
      </c>
      <c r="E24" s="3519">
        <f t="shared" si="0"/>
        <v>0.918</v>
      </c>
      <c r="F24" s="3522">
        <f>F23</f>
        <v>0.7</v>
      </c>
      <c r="G24" s="3520">
        <f t="shared" si="1"/>
        <v>94.3</v>
      </c>
      <c r="I24" s="3497">
        <v>20</v>
      </c>
      <c r="J24" s="3497">
        <v>81</v>
      </c>
      <c r="K24" s="3497">
        <f t="shared" si="2"/>
        <v>6.90000000000001</v>
      </c>
      <c r="L24" s="3497" t="s">
        <v>421</v>
      </c>
      <c r="N24" s="3555">
        <v>10</v>
      </c>
    </row>
    <row r="25" spans="1:14">
      <c r="A25" s="3518" t="s">
        <v>422</v>
      </c>
      <c r="B25" s="3521">
        <v>70</v>
      </c>
      <c r="C25" s="3521">
        <v>60</v>
      </c>
      <c r="D25" s="3522">
        <v>0.04</v>
      </c>
      <c r="E25" s="3519">
        <f t="shared" si="0"/>
        <v>0.967</v>
      </c>
      <c r="F25" s="3522">
        <f>F24</f>
        <v>0.7</v>
      </c>
      <c r="G25" s="3520">
        <f t="shared" si="1"/>
        <v>97.7</v>
      </c>
      <c r="I25" s="3497">
        <v>25</v>
      </c>
      <c r="J25" s="3497">
        <v>86.3</v>
      </c>
      <c r="K25" s="3497">
        <f t="shared" si="2"/>
        <v>5.3</v>
      </c>
      <c r="L25" s="3497" t="s">
        <v>423</v>
      </c>
      <c r="N25" s="3555">
        <v>8</v>
      </c>
    </row>
    <row r="26" spans="1:14">
      <c r="A26" s="3523"/>
      <c r="B26" s="3524"/>
      <c r="C26" s="3524"/>
      <c r="D26" s="3524"/>
      <c r="E26" s="3524"/>
      <c r="F26" s="3524"/>
      <c r="G26" s="3525"/>
      <c r="I26" s="3497">
        <v>30</v>
      </c>
      <c r="J26" s="3497">
        <v>90.5</v>
      </c>
      <c r="K26" s="3497">
        <f t="shared" si="2"/>
        <v>4.2</v>
      </c>
      <c r="L26" s="3497" t="s">
        <v>424</v>
      </c>
      <c r="N26" s="3555">
        <v>5</v>
      </c>
    </row>
    <row r="27" spans="1:14">
      <c r="A27" s="3523" t="s">
        <v>425</v>
      </c>
      <c r="B27" s="3524"/>
      <c r="C27" s="3524"/>
      <c r="D27" s="3524"/>
      <c r="E27" s="3524"/>
      <c r="F27" s="3524"/>
      <c r="G27" s="3525"/>
      <c r="I27" s="3497">
        <v>35</v>
      </c>
      <c r="J27" s="3497">
        <v>93.8</v>
      </c>
      <c r="K27" s="3497">
        <f t="shared" si="2"/>
        <v>3.3</v>
      </c>
      <c r="L27" s="3497" t="s">
        <v>426</v>
      </c>
      <c r="N27" s="3555">
        <v>3</v>
      </c>
    </row>
    <row r="28" spans="1:14">
      <c r="A28" s="3523" t="s">
        <v>427</v>
      </c>
      <c r="B28" s="3524"/>
      <c r="C28" s="3524"/>
      <c r="D28" s="3524"/>
      <c r="E28" s="3524"/>
      <c r="F28" s="3524"/>
      <c r="G28" s="3525"/>
      <c r="I28" s="3497">
        <v>40</v>
      </c>
      <c r="J28" s="3497">
        <v>96.4</v>
      </c>
      <c r="K28" s="3497">
        <f t="shared" si="2"/>
        <v>2.60000000000001</v>
      </c>
      <c r="L28" s="3497" t="s">
        <v>428</v>
      </c>
      <c r="N28" s="3555">
        <v>2</v>
      </c>
    </row>
    <row r="29" spans="1:11">
      <c r="A29" s="3523" t="s">
        <v>429</v>
      </c>
      <c r="B29" s="3524"/>
      <c r="C29" s="3524"/>
      <c r="D29" s="3524"/>
      <c r="E29" s="3524"/>
      <c r="F29" s="3524"/>
      <c r="G29" s="3525"/>
      <c r="I29" s="3497">
        <v>45</v>
      </c>
      <c r="J29" s="3497">
        <v>98.4</v>
      </c>
      <c r="K29" s="3497">
        <f t="shared" si="2"/>
        <v>2</v>
      </c>
    </row>
    <row r="30" spans="1:11">
      <c r="A30" s="3523" t="s">
        <v>430</v>
      </c>
      <c r="B30" s="3524"/>
      <c r="C30" s="3524"/>
      <c r="D30" s="3524"/>
      <c r="E30" s="3524"/>
      <c r="F30" s="3524"/>
      <c r="G30" s="3525"/>
      <c r="I30" s="3497">
        <v>50</v>
      </c>
      <c r="J30" s="3497">
        <v>100</v>
      </c>
      <c r="K30" s="3497">
        <f t="shared" si="2"/>
        <v>1.59999999999999</v>
      </c>
    </row>
    <row r="31" spans="1:9">
      <c r="A31" s="3523" t="s">
        <v>431</v>
      </c>
      <c r="B31" s="3524"/>
      <c r="C31" s="3524"/>
      <c r="D31" s="3524"/>
      <c r="E31" s="3524"/>
      <c r="F31" s="3524"/>
      <c r="G31" s="3525"/>
      <c r="I31" s="3497" t="s">
        <v>432</v>
      </c>
    </row>
    <row r="32" spans="1:7">
      <c r="A32" s="3523" t="s">
        <v>433</v>
      </c>
      <c r="B32" s="3524"/>
      <c r="C32" s="3524"/>
      <c r="D32" s="3524"/>
      <c r="E32" s="3524"/>
      <c r="F32" s="3524"/>
      <c r="G32" s="3525"/>
    </row>
    <row r="33" spans="1:10">
      <c r="A33" s="3523" t="s">
        <v>434</v>
      </c>
      <c r="B33" s="3524"/>
      <c r="C33" s="3524"/>
      <c r="D33" s="3524"/>
      <c r="E33" s="3524"/>
      <c r="F33" s="3524"/>
      <c r="G33" s="3525"/>
      <c r="I33" s="3497" t="s">
        <v>410</v>
      </c>
      <c r="J33" s="3497" t="s">
        <v>435</v>
      </c>
    </row>
    <row r="34" spans="1:10">
      <c r="A34" s="3523" t="s">
        <v>436</v>
      </c>
      <c r="B34" s="3524"/>
      <c r="C34" s="3524"/>
      <c r="D34" s="3524"/>
      <c r="E34" s="3524"/>
      <c r="F34" s="3524"/>
      <c r="G34" s="3525"/>
      <c r="I34" s="3497">
        <v>5</v>
      </c>
      <c r="J34" s="3497">
        <v>55.1</v>
      </c>
    </row>
    <row r="35" spans="1:11">
      <c r="A35" s="3523" t="s">
        <v>437</v>
      </c>
      <c r="B35" s="3524"/>
      <c r="C35" s="3524"/>
      <c r="D35" s="3524"/>
      <c r="E35" s="3524"/>
      <c r="F35" s="3524"/>
      <c r="G35" s="3525"/>
      <c r="I35" s="3497">
        <v>10</v>
      </c>
      <c r="J35" s="3497">
        <v>67</v>
      </c>
      <c r="K35" s="3497">
        <f>J35-J34</f>
        <v>11.9</v>
      </c>
    </row>
    <row r="36" spans="1:14">
      <c r="A36" s="3523" t="s">
        <v>438</v>
      </c>
      <c r="B36" s="3524"/>
      <c r="C36" s="3524"/>
      <c r="D36" s="3524"/>
      <c r="E36" s="3524"/>
      <c r="F36" s="3524"/>
      <c r="G36" s="3525"/>
      <c r="I36" s="3497">
        <v>15</v>
      </c>
      <c r="J36" s="3497">
        <v>76.3</v>
      </c>
      <c r="K36" s="3497">
        <f t="shared" ref="K36:K41" si="3">J36-J35</f>
        <v>9.3</v>
      </c>
      <c r="L36" s="3497" t="s">
        <v>418</v>
      </c>
      <c r="N36" s="3555" t="s">
        <v>419</v>
      </c>
    </row>
    <row r="37" spans="1:14">
      <c r="A37" s="3523" t="s">
        <v>439</v>
      </c>
      <c r="B37" s="3524"/>
      <c r="C37" s="3524"/>
      <c r="D37" s="3524"/>
      <c r="E37" s="3524"/>
      <c r="F37" s="3524"/>
      <c r="G37" s="3525"/>
      <c r="I37" s="3497">
        <v>20</v>
      </c>
      <c r="J37" s="3497">
        <v>83.6</v>
      </c>
      <c r="K37" s="3497">
        <f t="shared" si="3"/>
        <v>7.3</v>
      </c>
      <c r="L37" s="3497" t="s">
        <v>421</v>
      </c>
      <c r="N37" s="3555">
        <v>10</v>
      </c>
    </row>
    <row r="38" spans="1:14">
      <c r="A38" s="3523" t="s">
        <v>440</v>
      </c>
      <c r="B38" s="3524"/>
      <c r="C38" s="3524"/>
      <c r="D38" s="3524"/>
      <c r="E38" s="3524"/>
      <c r="F38" s="3524"/>
      <c r="G38" s="3525"/>
      <c r="I38" s="3497">
        <v>25</v>
      </c>
      <c r="J38" s="3497">
        <v>89.3</v>
      </c>
      <c r="K38" s="3497">
        <f t="shared" si="3"/>
        <v>5.7</v>
      </c>
      <c r="L38" s="3497" t="s">
        <v>423</v>
      </c>
      <c r="N38" s="3555">
        <v>8</v>
      </c>
    </row>
    <row r="39" spans="1:14">
      <c r="A39" s="3523"/>
      <c r="B39" s="3524"/>
      <c r="C39" s="3524"/>
      <c r="D39" s="3524"/>
      <c r="E39" s="3524"/>
      <c r="F39" s="3524"/>
      <c r="G39" s="3525"/>
      <c r="I39" s="3497">
        <v>30</v>
      </c>
      <c r="J39" s="3497">
        <v>93.8</v>
      </c>
      <c r="K39" s="3497">
        <f t="shared" si="3"/>
        <v>4.5</v>
      </c>
      <c r="L39" s="3497" t="s">
        <v>424</v>
      </c>
      <c r="N39" s="3555">
        <v>6</v>
      </c>
    </row>
    <row r="40" spans="1:14">
      <c r="A40" s="3526" t="s">
        <v>441</v>
      </c>
      <c r="B40" s="3527"/>
      <c r="C40" s="3527"/>
      <c r="D40" s="3527"/>
      <c r="E40" s="3527"/>
      <c r="F40" s="3527"/>
      <c r="G40" s="3528"/>
      <c r="I40" s="3497">
        <v>35</v>
      </c>
      <c r="J40" s="3497">
        <v>97.2</v>
      </c>
      <c r="K40" s="3497">
        <f t="shared" si="3"/>
        <v>3.40000000000001</v>
      </c>
      <c r="L40" s="3497" t="s">
        <v>426</v>
      </c>
      <c r="N40" s="3555">
        <v>3</v>
      </c>
    </row>
    <row r="41" spans="1:11">
      <c r="A41" s="3529" t="s">
        <v>442</v>
      </c>
      <c r="B41" s="3530" t="s">
        <v>443</v>
      </c>
      <c r="C41" s="3531" t="s">
        <v>444</v>
      </c>
      <c r="D41" s="3531" t="s">
        <v>445</v>
      </c>
      <c r="E41" s="3532"/>
      <c r="F41" s="3533"/>
      <c r="G41" s="3534"/>
      <c r="I41" s="3497">
        <v>40</v>
      </c>
      <c r="J41" s="3497">
        <v>100</v>
      </c>
      <c r="K41" s="3497">
        <f t="shared" si="3"/>
        <v>2.8</v>
      </c>
    </row>
    <row r="42" spans="1:7">
      <c r="A42" s="3529" t="s">
        <v>233</v>
      </c>
      <c r="B42" s="3530" t="s">
        <v>446</v>
      </c>
      <c r="C42" s="3531" t="s">
        <v>446</v>
      </c>
      <c r="D42" s="3535" t="s">
        <v>447</v>
      </c>
      <c r="E42" s="3527" t="s">
        <v>448</v>
      </c>
      <c r="F42" s="3527"/>
      <c r="G42" s="3528"/>
    </row>
    <row r="43" spans="1:10">
      <c r="A43" s="3529" t="s">
        <v>232</v>
      </c>
      <c r="B43" s="3530" t="s">
        <v>449</v>
      </c>
      <c r="C43" s="3531" t="s">
        <v>450</v>
      </c>
      <c r="D43" s="3531" t="s">
        <v>451</v>
      </c>
      <c r="E43" s="3532" t="s">
        <v>452</v>
      </c>
      <c r="F43" s="3533"/>
      <c r="G43" s="3534"/>
      <c r="I43" s="3497" t="s">
        <v>410</v>
      </c>
      <c r="J43" s="3497" t="s">
        <v>453</v>
      </c>
    </row>
    <row r="44" spans="1:10">
      <c r="A44" s="3529" t="s">
        <v>454</v>
      </c>
      <c r="B44" s="3530" t="s">
        <v>455</v>
      </c>
      <c r="C44" s="3531" t="s">
        <v>456</v>
      </c>
      <c r="D44" s="3535">
        <v>0.5</v>
      </c>
      <c r="E44" s="3532" t="s">
        <v>457</v>
      </c>
      <c r="F44" s="3533"/>
      <c r="G44" s="3534"/>
      <c r="I44" s="3497">
        <v>30</v>
      </c>
      <c r="J44" s="3497">
        <v>81.7</v>
      </c>
    </row>
    <row r="45" ht="14.25" spans="1:11">
      <c r="A45" s="3536" t="s">
        <v>458</v>
      </c>
      <c r="B45" s="3537" t="s">
        <v>446</v>
      </c>
      <c r="C45" s="3538" t="s">
        <v>446</v>
      </c>
      <c r="D45" s="3538" t="s">
        <v>459</v>
      </c>
      <c r="E45" s="3539" t="s">
        <v>460</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row r="48" ht="14.25"/>
    <row r="49" spans="1:1">
      <c r="A49" s="3498" t="s">
        <v>461</v>
      </c>
    </row>
    <row r="50" spans="1:4">
      <c r="A50" s="3541" t="s">
        <v>462</v>
      </c>
      <c r="B50" s="3541" t="s">
        <v>463</v>
      </c>
      <c r="C50" s="3541" t="s">
        <v>464</v>
      </c>
      <c r="D50" s="3541" t="s">
        <v>465</v>
      </c>
    </row>
    <row r="51" spans="1:4">
      <c r="A51" s="3541" t="s">
        <v>466</v>
      </c>
      <c r="B51" s="3511">
        <f>B52+B53</f>
        <v>15000</v>
      </c>
      <c r="C51" s="3542">
        <f>D51/B51</f>
        <v>2666.66666666667</v>
      </c>
      <c r="D51" s="3511">
        <f>D52+D53</f>
        <v>40000000</v>
      </c>
    </row>
    <row r="52" spans="1:4">
      <c r="A52" s="3543" t="s">
        <v>467</v>
      </c>
      <c r="B52" s="3544">
        <v>10000</v>
      </c>
      <c r="C52" s="3544">
        <v>1500</v>
      </c>
      <c r="D52" s="3545">
        <f>C52*B52</f>
        <v>15000000</v>
      </c>
    </row>
    <row r="53" spans="1:4">
      <c r="A53" s="3543" t="s">
        <v>468</v>
      </c>
      <c r="B53" s="3544">
        <v>5000</v>
      </c>
      <c r="C53" s="3544">
        <v>5000</v>
      </c>
      <c r="D53" s="3545">
        <f>C53*B53</f>
        <v>25000000</v>
      </c>
    </row>
    <row r="54" spans="1:4">
      <c r="A54" s="3541" t="s">
        <v>469</v>
      </c>
      <c r="B54" s="3511">
        <f>B51</f>
        <v>15000</v>
      </c>
      <c r="C54" s="3509">
        <v>700</v>
      </c>
      <c r="D54" s="3511">
        <f t="shared" ref="D54:D55" si="5">C54*B54</f>
        <v>10500000</v>
      </c>
    </row>
    <row r="55" spans="1:4">
      <c r="A55" s="3541" t="s">
        <v>470</v>
      </c>
      <c r="B55" s="3511">
        <f>B51</f>
        <v>15000</v>
      </c>
      <c r="C55" s="3509">
        <v>1500</v>
      </c>
      <c r="D55" s="3511">
        <f t="shared" si="5"/>
        <v>22500000</v>
      </c>
    </row>
    <row r="56" spans="1:4">
      <c r="A56" s="3541" t="s">
        <v>471</v>
      </c>
      <c r="B56" s="3511">
        <f>B51</f>
        <v>15000</v>
      </c>
      <c r="C56" s="3546">
        <f>C51+C54+C55</f>
        <v>4866.66666666667</v>
      </c>
      <c r="D56" s="3511">
        <f>D51+D54+D55</f>
        <v>73000000</v>
      </c>
    </row>
    <row r="58" spans="1:4">
      <c r="A58" s="3541" t="s">
        <v>472</v>
      </c>
      <c r="B58" s="3547">
        <v>0.05</v>
      </c>
      <c r="C58" s="3511">
        <f>C56*(1+B58)</f>
        <v>5110</v>
      </c>
      <c r="D58" s="3511">
        <f>D56*B58</f>
        <v>3650000</v>
      </c>
    </row>
    <row r="60" spans="1:4">
      <c r="A60" s="3541" t="s">
        <v>473</v>
      </c>
      <c r="B60" s="3509">
        <v>3500</v>
      </c>
      <c r="C60" s="3509">
        <f>C53</f>
        <v>5000</v>
      </c>
      <c r="D60" s="3511">
        <f>C60*B60</f>
        <v>17500000</v>
      </c>
    </row>
    <row r="62" spans="1:4">
      <c r="A62" s="3541" t="s">
        <v>388</v>
      </c>
      <c r="B62" s="3509">
        <f>B51</f>
        <v>15000</v>
      </c>
      <c r="C62" s="3548">
        <f>D62/B62</f>
        <v>6276.66666666667</v>
      </c>
      <c r="D62" s="350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C38" sqref="C38"/>
    </sheetView>
  </sheetViews>
  <sheetFormatPr defaultColWidth="10" defaultRowHeight="12.75"/>
  <cols>
    <col min="1" max="1" width="16.875" style="2951" customWidth="1"/>
    <col min="2" max="2" width="10" style="2951" customWidth="1"/>
    <col min="3" max="3" width="11.5" style="2951" customWidth="1"/>
    <col min="4" max="4" width="10" style="2951" customWidth="1"/>
    <col min="5" max="5" width="12.625" style="2951" customWidth="1"/>
    <col min="6" max="6" width="10" style="2951" customWidth="1"/>
    <col min="7" max="7" width="10.75" style="2951" customWidth="1"/>
    <col min="8" max="8" width="10" style="2951" customWidth="1"/>
    <col min="9" max="9" width="11.125" style="3243" customWidth="1"/>
    <col min="10" max="10" width="10" style="3146" customWidth="1"/>
    <col min="11" max="11" width="10" style="3340" customWidth="1"/>
    <col min="12" max="13" width="10" style="3341" customWidth="1"/>
    <col min="14" max="14" width="10" style="3146" customWidth="1"/>
    <col min="15" max="15" width="10" style="1005" customWidth="1"/>
    <col min="16" max="17" width="10" style="3146"/>
    <col min="18" max="18" width="10" style="3146" customWidth="1"/>
    <col min="19" max="30" width="10" style="3146"/>
    <col min="31" max="16384" width="10" style="2951"/>
  </cols>
  <sheetData>
    <row r="1" ht="13.5" spans="1:28">
      <c r="A1" s="3342" t="s">
        <v>474</v>
      </c>
      <c r="B1" s="3343" t="str">
        <f>IF(B10="北京市","北京市",C10)&amp;F10&amp;IF(结果表!G1="在建","出让国有建设用地使用权及在建建筑物",IF(结果表!G1="土地","出让国有建设用地使用权",))&amp;B9&amp;"预评估"</f>
        <v>北京市房地产抵押价值预评估</v>
      </c>
      <c r="C1" s="3344"/>
      <c r="D1" s="3344"/>
      <c r="E1" s="3344"/>
      <c r="F1" s="3344"/>
      <c r="G1" s="3344"/>
      <c r="H1" s="3344"/>
      <c r="I1" s="3459"/>
      <c r="J1" s="2901"/>
      <c r="K1" s="3460"/>
      <c r="L1" s="3461"/>
      <c r="M1" s="3461"/>
      <c r="N1" s="3388"/>
      <c r="O1" s="3251"/>
      <c r="P1" s="3388"/>
      <c r="Q1" s="3388"/>
      <c r="R1" s="3388"/>
      <c r="S1" s="2952" t="str">
        <f>IF(B10="北京市","北京市",C10)&amp;F10&amp;IF(结果表!G1="在建","出让国有建设用地使用权及在建建筑物房地产抵押价值",IF(结果表!G1="土地","出让国有建设用地使用权抵押价值",B9))</f>
        <v>北京市房地产抵押价值</v>
      </c>
      <c r="T1" s="2951"/>
      <c r="U1" s="2951"/>
      <c r="V1" s="2951"/>
      <c r="W1" s="2951"/>
      <c r="X1" s="2951"/>
      <c r="Y1" s="2951"/>
      <c r="Z1" s="2951"/>
      <c r="AA1" s="2951"/>
      <c r="AB1" s="2951"/>
    </row>
    <row r="2" spans="1:28">
      <c r="A2" s="3345" t="s">
        <v>475</v>
      </c>
      <c r="B2" s="3346"/>
      <c r="C2" s="3347"/>
      <c r="D2" s="3348"/>
      <c r="E2" s="3349"/>
      <c r="F2" s="3349"/>
      <c r="G2" s="3350"/>
      <c r="H2" s="3350"/>
      <c r="I2" s="3350"/>
      <c r="J2" s="2901"/>
      <c r="K2" s="3460"/>
      <c r="L2" s="3461"/>
      <c r="M2" s="3461"/>
      <c r="N2" s="3388"/>
      <c r="O2" s="3251"/>
      <c r="P2" s="3388"/>
      <c r="Q2" s="3388"/>
      <c r="R2" s="3388"/>
      <c r="S2" s="2952" t="str">
        <f>IF(B10="北京市","北京市",C10)&amp;F10&amp;IF(结果表!G1="在建","出让国有建设用地使用权及在建建筑物房地产",IF(结果表!G1="土地","出让国有建设用地使用权","房地产"))</f>
        <v>北京市房地产</v>
      </c>
      <c r="T2" s="2951"/>
      <c r="U2" s="2951"/>
      <c r="V2" s="2951"/>
      <c r="W2" s="2951"/>
      <c r="X2" s="2951"/>
      <c r="Y2" s="2951"/>
      <c r="Z2" s="2951"/>
      <c r="AA2" s="2951"/>
      <c r="AB2" s="2951"/>
    </row>
    <row r="3" spans="1:28">
      <c r="A3" s="2100" t="s">
        <v>476</v>
      </c>
      <c r="B3" s="3351"/>
      <c r="C3" s="3352" t="s">
        <v>477</v>
      </c>
      <c r="D3" s="3351">
        <v>45846</v>
      </c>
      <c r="E3" s="3350"/>
      <c r="F3" s="3350"/>
      <c r="G3" s="3350"/>
      <c r="H3" s="3350"/>
      <c r="I3" s="3350"/>
      <c r="J3" s="2901"/>
      <c r="K3" s="3460"/>
      <c r="L3" s="3461"/>
      <c r="M3" s="3461"/>
      <c r="N3" s="3388"/>
      <c r="O3" s="3251"/>
      <c r="P3" s="3388"/>
      <c r="Q3" s="3388"/>
      <c r="R3" s="3388"/>
      <c r="S3" s="2952"/>
      <c r="T3" s="2951"/>
      <c r="U3" s="2951"/>
      <c r="V3" s="2951"/>
      <c r="W3" s="2951"/>
      <c r="X3" s="2951"/>
      <c r="Y3" s="2951"/>
      <c r="Z3" s="2951"/>
      <c r="AA3" s="2951"/>
      <c r="AB3" s="2951"/>
    </row>
    <row r="4" ht="13.5" spans="1:28">
      <c r="A4" s="2125" t="s">
        <v>478</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5"/>
      <c r="K4" s="3462" t="str">
        <f ca="1">CONCATENATE(B4,"（注册号：",C4,")、",D4,"（注册号：",E4,")")</f>
        <v>（注册号：0)、（注册号：0)</v>
      </c>
      <c r="L4" s="3461"/>
      <c r="M4" s="3461"/>
      <c r="N4" s="3388"/>
      <c r="O4" s="3251"/>
      <c r="P4" s="3388"/>
      <c r="Q4" s="3388"/>
      <c r="R4" s="3388"/>
      <c r="S4" s="2952"/>
      <c r="T4" s="2951"/>
      <c r="U4" s="2951"/>
      <c r="V4" s="2951"/>
      <c r="W4" s="2951"/>
      <c r="X4" s="2951"/>
      <c r="Y4" s="2951"/>
      <c r="Z4" s="2951"/>
      <c r="AA4" s="2951"/>
      <c r="AB4" s="2951"/>
    </row>
    <row r="5" ht="13.5" spans="1:28">
      <c r="A5" s="3356" t="s">
        <v>479</v>
      </c>
      <c r="B5" s="3357"/>
      <c r="C5" s="3358"/>
      <c r="D5" s="3359"/>
      <c r="E5" s="3056"/>
      <c r="F5" s="3056"/>
      <c r="G5" s="3056"/>
      <c r="H5" s="3056"/>
      <c r="I5" s="3056"/>
      <c r="J5" s="2935"/>
      <c r="K5" s="3462" t="str">
        <f ca="1">IF(F4="——","",IF(H4="——",F4&amp;"（注册号："&amp;G4&amp;")",CONCATENATE(F4,"（注册号：",G4,")、",H4,"（注册号：",I4,")")))</f>
        <v>（注册号：0)、（注册号：0)</v>
      </c>
      <c r="L5" s="3461"/>
      <c r="M5" s="3461"/>
      <c r="N5" s="3388"/>
      <c r="O5" s="3251"/>
      <c r="P5" s="3388"/>
      <c r="Q5" s="3388"/>
      <c r="R5" s="3388"/>
      <c r="S5" s="2951"/>
      <c r="T5" s="2951"/>
      <c r="U5" s="2951"/>
      <c r="V5" s="2951"/>
      <c r="W5" s="2951"/>
      <c r="X5" s="2951"/>
      <c r="Y5" s="2951"/>
      <c r="Z5" s="2951"/>
      <c r="AA5" s="2951"/>
      <c r="AB5" s="2951"/>
    </row>
    <row r="6" spans="1:18">
      <c r="A6" s="3360" t="s">
        <v>480</v>
      </c>
      <c r="B6" s="3361"/>
      <c r="C6" s="3362"/>
      <c r="D6" s="3363"/>
      <c r="E6" s="3349"/>
      <c r="F6" s="3056"/>
      <c r="G6" s="3056"/>
      <c r="H6" s="3056"/>
      <c r="I6" s="3056"/>
      <c r="J6" s="2935"/>
      <c r="K6" s="3463" t="str">
        <f>IF(COUNTIF(B6,"*上海银行*"),"上海银行","")</f>
        <v/>
      </c>
      <c r="L6" s="3464"/>
      <c r="M6" s="3464"/>
      <c r="N6" s="2935"/>
      <c r="O6" s="3465"/>
      <c r="P6" s="2935"/>
      <c r="Q6" s="2935"/>
      <c r="R6" s="2935"/>
    </row>
    <row r="7" spans="1:18">
      <c r="A7" s="3360" t="s">
        <v>481</v>
      </c>
      <c r="B7" s="3364"/>
      <c r="C7" s="3362"/>
      <c r="D7" s="3363"/>
      <c r="E7" s="3349"/>
      <c r="F7" s="3056"/>
      <c r="G7" s="3056"/>
      <c r="H7" s="3056"/>
      <c r="I7" s="3056"/>
      <c r="J7" s="2935"/>
      <c r="K7" s="3466"/>
      <c r="L7" s="3464"/>
      <c r="M7" s="3464"/>
      <c r="N7" s="2935"/>
      <c r="O7" s="3465"/>
      <c r="P7" s="2935"/>
      <c r="Q7" s="2935"/>
      <c r="R7" s="2935"/>
    </row>
    <row r="8" spans="1:18">
      <c r="A8" s="3365" t="s">
        <v>482</v>
      </c>
      <c r="B8" s="3366" t="s">
        <v>363</v>
      </c>
      <c r="C8" s="3367"/>
      <c r="D8" s="3368" t="s">
        <v>483</v>
      </c>
      <c r="E8" s="3369" t="s">
        <v>368</v>
      </c>
      <c r="F8" s="3370"/>
      <c r="G8" s="3350"/>
      <c r="H8" s="3350"/>
      <c r="I8" s="3350"/>
      <c r="J8" s="2935"/>
      <c r="K8" s="3467"/>
      <c r="L8" s="3464"/>
      <c r="M8" s="3464"/>
      <c r="N8" s="2935"/>
      <c r="O8" s="3465"/>
      <c r="P8" s="2935"/>
      <c r="Q8" s="2935"/>
      <c r="R8" s="2935"/>
    </row>
    <row r="9" ht="13.5" spans="1:18">
      <c r="A9" s="3371" t="s">
        <v>484</v>
      </c>
      <c r="B9" s="3372" t="s">
        <v>368</v>
      </c>
      <c r="C9" s="3373"/>
      <c r="D9" s="3374"/>
      <c r="E9" s="3372"/>
      <c r="F9" s="3375"/>
      <c r="G9" s="3376"/>
      <c r="H9" s="3376"/>
      <c r="I9" s="3376"/>
      <c r="J9" s="2935"/>
      <c r="K9" s="3466"/>
      <c r="L9" s="3464"/>
      <c r="M9" s="3464"/>
      <c r="N9" s="2935"/>
      <c r="O9" s="3465"/>
      <c r="P9" s="2935"/>
      <c r="Q9" s="2935"/>
      <c r="R9" s="2935"/>
    </row>
    <row r="10" ht="13.5" spans="1:18">
      <c r="A10" s="3377" t="s">
        <v>485</v>
      </c>
      <c r="B10" s="3378" t="s">
        <v>486</v>
      </c>
      <c r="C10" s="3379"/>
      <c r="D10" s="3359"/>
      <c r="E10" s="3380" t="s">
        <v>487</v>
      </c>
      <c r="F10" s="3381"/>
      <c r="G10" s="3382"/>
      <c r="H10" s="3383"/>
      <c r="I10" s="3468"/>
      <c r="J10" s="2935"/>
      <c r="K10" s="3466"/>
      <c r="L10" s="3464"/>
      <c r="M10" s="3464"/>
      <c r="N10" s="2935"/>
      <c r="O10" s="3465"/>
      <c r="P10" s="2935"/>
      <c r="Q10" s="2935"/>
      <c r="R10" s="2935"/>
    </row>
    <row r="11" spans="1:18">
      <c r="A11" s="3384" t="s">
        <v>488</v>
      </c>
      <c r="B11" s="3385" t="s">
        <v>489</v>
      </c>
      <c r="C11" s="3386"/>
      <c r="D11" s="3387"/>
      <c r="E11" s="3388"/>
      <c r="F11" s="3388"/>
      <c r="G11" s="3388"/>
      <c r="H11" s="3388"/>
      <c r="I11" s="3388"/>
      <c r="J11" s="3469"/>
      <c r="K11" s="3470"/>
      <c r="L11" s="3464"/>
      <c r="M11" s="3464"/>
      <c r="N11" s="2935"/>
      <c r="O11" s="3465"/>
      <c r="P11" s="2935"/>
      <c r="Q11" s="2935"/>
      <c r="R11" s="2935"/>
    </row>
    <row r="12" spans="1:30">
      <c r="A12" s="3389" t="s">
        <v>490</v>
      </c>
      <c r="B12" s="2144" t="s">
        <v>491</v>
      </c>
      <c r="C12" s="3390" t="s">
        <v>492</v>
      </c>
      <c r="D12" s="3390" t="s">
        <v>493</v>
      </c>
      <c r="E12" s="3390" t="s">
        <v>494</v>
      </c>
      <c r="F12" s="3390" t="s">
        <v>495</v>
      </c>
      <c r="G12" s="3390" t="s">
        <v>496</v>
      </c>
      <c r="H12" s="3390" t="s">
        <v>497</v>
      </c>
      <c r="I12" s="3471" t="s">
        <v>231</v>
      </c>
      <c r="J12" s="3472"/>
      <c r="K12" s="3464"/>
      <c r="L12" s="3464"/>
      <c r="M12" s="2935"/>
      <c r="N12" s="3465"/>
      <c r="O12" s="2935"/>
      <c r="P12" s="2935"/>
      <c r="Q12" s="2935"/>
      <c r="AD12" s="2951"/>
    </row>
    <row r="13" spans="1:30">
      <c r="A13" s="3391" t="s">
        <v>498</v>
      </c>
      <c r="B13" s="3392" t="s">
        <v>499</v>
      </c>
      <c r="C13" s="3393"/>
      <c r="D13" s="3393"/>
      <c r="E13" s="3393">
        <v>56490</v>
      </c>
      <c r="F13" s="3393"/>
      <c r="G13" s="3393"/>
      <c r="H13" s="3393"/>
      <c r="I13" s="3393"/>
      <c r="J13" s="3472"/>
      <c r="K13" s="3464"/>
      <c r="L13" s="3464"/>
      <c r="M13" s="2935"/>
      <c r="N13" s="3465"/>
      <c r="O13" s="2935"/>
      <c r="P13" s="2935"/>
      <c r="Q13" s="2935"/>
      <c r="AD13" s="2951"/>
    </row>
    <row r="14" spans="1:30">
      <c r="A14" s="2130"/>
      <c r="B14" s="3392" t="s">
        <v>500</v>
      </c>
      <c r="C14" s="3394"/>
      <c r="D14" s="3394"/>
      <c r="E14" s="3394">
        <v>50</v>
      </c>
      <c r="F14" s="3394"/>
      <c r="G14" s="3394"/>
      <c r="H14" s="3394"/>
      <c r="I14" s="3394"/>
      <c r="J14" s="3473"/>
      <c r="K14" s="3464"/>
      <c r="L14" s="3464"/>
      <c r="M14" s="2935"/>
      <c r="N14" s="3465"/>
      <c r="O14" s="2935"/>
      <c r="P14" s="2935"/>
      <c r="Q14" s="2935"/>
      <c r="AD14" s="2951"/>
    </row>
    <row r="15" spans="1:30">
      <c r="A15" s="2137"/>
      <c r="B15" s="3395" t="s">
        <v>501</v>
      </c>
      <c r="C15" s="3396" t="str">
        <f>IF(A13="出让",IF(C13="","",ROUNDDOWN(MIN((C13-$D$3)/365,C14),2)),C14)</f>
        <v/>
      </c>
      <c r="D15" s="3396" t="str">
        <f>IF(A13="出让",IF(D13="","",ROUNDDOWN(MIN((D13-$D$3)/365,D14),2)),D14)</f>
        <v/>
      </c>
      <c r="E15" s="3396">
        <f>IF(A13="出让",IF(E13="","",ROUNDDOWN(MIN((E13-$D$3)/365,E14),2)),E14)</f>
        <v>29.16</v>
      </c>
      <c r="F15" s="3396" t="str">
        <f>IF(A13="出让",IF(F13="","",ROUNDDOWN(MIN((F13-$D$3)/365,F14),2)),F14)</f>
        <v/>
      </c>
      <c r="G15" s="3396" t="str">
        <f>IF(A13="出让",IF(G13="","",ROUNDDOWN(MIN((G13-$D$3)/365,G14),2)),G14)</f>
        <v/>
      </c>
      <c r="H15" s="3396" t="str">
        <f>IF(A13="出让",IF(H13="","",ROUNDDOWN(MIN((H13-$D$3)/365,H14),2)),H14)</f>
        <v/>
      </c>
      <c r="I15" s="3396" t="str">
        <f>IF(A13="出让",IF(I13="","",ROUNDDOWN(MIN((I13-$D$3)/365,I14),2)),I14)</f>
        <v/>
      </c>
      <c r="J15" s="3474"/>
      <c r="K15" s="3475"/>
      <c r="L15" s="3475"/>
      <c r="M15" s="2936"/>
      <c r="N15" s="3475"/>
      <c r="O15" s="2936"/>
      <c r="P15" s="2935"/>
      <c r="Q15" s="2935"/>
      <c r="AD15" s="2951"/>
    </row>
    <row r="16" spans="1:18">
      <c r="A16" s="3380" t="s">
        <v>502</v>
      </c>
      <c r="B16" s="3397"/>
      <c r="C16" s="3398"/>
      <c r="D16" s="3399"/>
      <c r="E16" s="3400" t="s">
        <v>503</v>
      </c>
      <c r="F16" s="3401"/>
      <c r="G16" s="3402"/>
      <c r="H16" s="3402"/>
      <c r="I16" s="3476"/>
      <c r="J16" s="2935"/>
      <c r="K16" s="3477"/>
      <c r="L16" s="3475"/>
      <c r="M16" s="3475"/>
      <c r="N16" s="2936"/>
      <c r="O16" s="3475"/>
      <c r="P16" s="2936"/>
      <c r="Q16" s="2935"/>
      <c r="R16" s="2935"/>
    </row>
    <row r="17" spans="1:22">
      <c r="A17" s="2113" t="s">
        <v>504</v>
      </c>
      <c r="B17" s="2100" t="s">
        <v>505</v>
      </c>
      <c r="C17" s="1068">
        <f>'数据-汇总表'!E3</f>
        <v>112.13</v>
      </c>
      <c r="D17" s="2157" t="s">
        <v>506</v>
      </c>
      <c r="E17" s="3403" t="s">
        <v>507</v>
      </c>
      <c r="F17" s="3404"/>
      <c r="G17" s="3404"/>
      <c r="H17" s="3404"/>
      <c r="I17" s="3478"/>
      <c r="J17" s="2935"/>
      <c r="K17" s="3479"/>
      <c r="L17" s="3475"/>
      <c r="M17" s="3475"/>
      <c r="N17" s="2936"/>
      <c r="O17" s="3475"/>
      <c r="P17" s="2936"/>
      <c r="Q17" s="2935"/>
      <c r="R17" s="2935"/>
      <c r="S17" s="2935"/>
      <c r="T17" s="2935"/>
      <c r="U17" s="2935"/>
      <c r="V17" s="2935"/>
    </row>
    <row r="18" ht="24.75" spans="1:22">
      <c r="A18" s="3405" t="s">
        <v>508</v>
      </c>
      <c r="B18" s="2125" t="s">
        <v>509</v>
      </c>
      <c r="C18" s="3406">
        <f>'数据-汇总表'!D3</f>
        <v>0</v>
      </c>
      <c r="D18" s="2150" t="s">
        <v>506</v>
      </c>
      <c r="E18" s="3407" t="s">
        <v>510</v>
      </c>
      <c r="F18" s="3408"/>
      <c r="G18" s="3408"/>
      <c r="H18" s="3408"/>
      <c r="I18" s="3480"/>
      <c r="J18" s="2935"/>
      <c r="K18" s="3479"/>
      <c r="L18" s="3475"/>
      <c r="M18" s="3475"/>
      <c r="N18" s="2936"/>
      <c r="O18" s="3475"/>
      <c r="P18" s="2936"/>
      <c r="Q18" s="2935"/>
      <c r="R18" s="2935"/>
      <c r="S18" s="2935"/>
      <c r="T18" s="2935"/>
      <c r="U18" s="2935"/>
      <c r="V18" s="2935"/>
    </row>
    <row r="19" ht="37.5" spans="1:22">
      <c r="A19" s="2167" t="s">
        <v>511</v>
      </c>
      <c r="B19" s="2105" t="s">
        <v>512</v>
      </c>
      <c r="C19" s="3409"/>
      <c r="D19" s="3410" t="s">
        <v>513</v>
      </c>
      <c r="E19" s="3411"/>
      <c r="F19" s="3412" t="str">
        <f>IF(AND(C19="是",E19="否"),"是否提供他项权证或相关说明","")</f>
        <v/>
      </c>
      <c r="G19" s="3413"/>
      <c r="H19" s="3056"/>
      <c r="I19" s="3056"/>
      <c r="J19" s="2935"/>
      <c r="K19" s="3466"/>
      <c r="L19" s="3464"/>
      <c r="M19" s="3464"/>
      <c r="N19" s="2936"/>
      <c r="O19" s="3475"/>
      <c r="P19" s="2936"/>
      <c r="Q19" s="2935"/>
      <c r="R19" s="2935"/>
      <c r="S19" s="2935"/>
      <c r="T19" s="2935"/>
      <c r="U19" s="2935"/>
      <c r="V19" s="2935"/>
    </row>
    <row r="20" spans="1:28">
      <c r="A20" s="3414" t="s">
        <v>514</v>
      </c>
      <c r="B20" s="3415" t="s">
        <v>515</v>
      </c>
      <c r="C20" s="3416"/>
      <c r="D20" s="3417" t="s">
        <v>516</v>
      </c>
      <c r="E20" s="3418"/>
      <c r="F20" s="3419" t="s">
        <v>517</v>
      </c>
      <c r="G20" s="3056"/>
      <c r="H20" s="3056"/>
      <c r="I20" s="3056"/>
      <c r="J20" s="2935"/>
      <c r="K20" s="3262" t="s">
        <v>518</v>
      </c>
      <c r="L20" s="22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51"/>
      <c r="X20" s="2951"/>
      <c r="Y20" s="2951"/>
      <c r="Z20" s="2951"/>
      <c r="AA20" s="2951"/>
      <c r="AB20" s="2951"/>
    </row>
    <row r="21" ht="24.75" spans="1:28">
      <c r="A21" s="3414"/>
      <c r="B21" s="3420" t="s">
        <v>519</v>
      </c>
      <c r="C21" s="3421" t="s">
        <v>520</v>
      </c>
      <c r="D21" s="3422" t="s">
        <v>521</v>
      </c>
      <c r="E21" s="3423" t="s">
        <v>520</v>
      </c>
      <c r="F21" s="3424"/>
      <c r="G21" s="3056"/>
      <c r="H21" s="3056"/>
      <c r="I21" s="3056"/>
      <c r="J21" s="2935"/>
      <c r="K21" s="3262"/>
      <c r="L21" s="22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51"/>
      <c r="X21" s="2951"/>
      <c r="Y21" s="2951"/>
      <c r="Z21" s="2951"/>
      <c r="AA21" s="2951"/>
      <c r="AB21" s="2951"/>
    </row>
    <row r="22" ht="24.75" spans="1:28">
      <c r="A22" s="3414"/>
      <c r="B22" s="3425" t="s">
        <v>522</v>
      </c>
      <c r="C22" s="3421" t="s">
        <v>523</v>
      </c>
      <c r="D22" s="3350"/>
      <c r="E22" s="3350"/>
      <c r="F22" s="3350"/>
      <c r="G22" s="3056"/>
      <c r="H22" s="3056"/>
      <c r="I22" s="3056"/>
      <c r="J22" s="2935"/>
      <c r="K22" s="3262"/>
      <c r="L22" s="22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51"/>
      <c r="X22" s="2951"/>
      <c r="Y22" s="2951"/>
      <c r="Z22" s="2951"/>
      <c r="AA22" s="2951"/>
      <c r="AB22" s="2951"/>
    </row>
    <row r="23" spans="1:22">
      <c r="A23" s="3426" t="s">
        <v>524</v>
      </c>
      <c r="B23" s="2926" t="s">
        <v>525</v>
      </c>
      <c r="C23" s="3427"/>
      <c r="D23" s="3428" t="s">
        <v>525</v>
      </c>
      <c r="E23" s="3429"/>
      <c r="F23" s="3350"/>
      <c r="G23" s="3056"/>
      <c r="H23" s="3056"/>
      <c r="I23" s="3056"/>
      <c r="J23" s="2935"/>
      <c r="K23" s="3483"/>
      <c r="L23" s="2264"/>
      <c r="M23" s="3464"/>
      <c r="N23" s="2936"/>
      <c r="O23" s="3475"/>
      <c r="P23" s="2936"/>
      <c r="Q23" s="2935"/>
      <c r="R23" s="2935"/>
      <c r="S23" s="2935"/>
      <c r="T23" s="2935"/>
      <c r="U23" s="2935"/>
      <c r="V23" s="2935"/>
    </row>
    <row r="24" spans="1:22">
      <c r="A24" s="3426"/>
      <c r="B24" s="2926" t="s">
        <v>526</v>
      </c>
      <c r="C24" s="3430"/>
      <c r="D24" s="3426" t="s">
        <v>526</v>
      </c>
      <c r="E24" s="3431"/>
      <c r="F24" s="3350"/>
      <c r="G24" s="3056"/>
      <c r="H24" s="3056"/>
      <c r="I24" s="3056"/>
      <c r="J24" s="2935"/>
      <c r="K24" s="3483"/>
      <c r="L24" s="2264"/>
      <c r="M24" s="3464"/>
      <c r="N24" s="2936"/>
      <c r="O24" s="3475"/>
      <c r="P24" s="2936"/>
      <c r="Q24" s="2935"/>
      <c r="R24" s="2935"/>
      <c r="S24" s="2935"/>
      <c r="T24" s="2935"/>
      <c r="U24" s="2935"/>
      <c r="V24" s="2935"/>
    </row>
    <row r="25" spans="1:22">
      <c r="A25" s="3426"/>
      <c r="B25" s="2926" t="s">
        <v>527</v>
      </c>
      <c r="C25" s="3430"/>
      <c r="D25" s="3426" t="s">
        <v>527</v>
      </c>
      <c r="E25" s="3431"/>
      <c r="F25" s="3350"/>
      <c r="G25" s="3056"/>
      <c r="H25" s="3056"/>
      <c r="I25" s="3056"/>
      <c r="J25" s="2935"/>
      <c r="K25" s="3466"/>
      <c r="L25" s="3464"/>
      <c r="M25" s="3464"/>
      <c r="N25" s="2936"/>
      <c r="O25" s="3475"/>
      <c r="P25" s="2936"/>
      <c r="Q25" s="2935"/>
      <c r="R25" s="2935"/>
      <c r="S25" s="2935"/>
      <c r="T25" s="2935"/>
      <c r="U25" s="2935"/>
      <c r="V25" s="2935"/>
    </row>
    <row r="26" ht="13.5" spans="1:22">
      <c r="A26" s="3432"/>
      <c r="B26" s="3433" t="s">
        <v>528</v>
      </c>
      <c r="C26" s="3434"/>
      <c r="D26" s="3432" t="s">
        <v>528</v>
      </c>
      <c r="E26" s="3435"/>
      <c r="F26" s="3376"/>
      <c r="G26" s="3376"/>
      <c r="H26" s="3376"/>
      <c r="I26" s="3376"/>
      <c r="J26" s="2935"/>
      <c r="K26" s="3466"/>
      <c r="L26" s="3464"/>
      <c r="M26" s="3464"/>
      <c r="N26" s="2936"/>
      <c r="O26" s="3475"/>
      <c r="P26" s="2936"/>
      <c r="Q26" s="2935"/>
      <c r="R26" s="2935"/>
      <c r="S26" s="2935"/>
      <c r="T26" s="2935"/>
      <c r="U26" s="2935"/>
      <c r="V26" s="2935"/>
    </row>
    <row r="27" ht="13.5" spans="1:22">
      <c r="A27" s="2130" t="s">
        <v>529</v>
      </c>
      <c r="B27" s="2137" t="s">
        <v>530</v>
      </c>
      <c r="C27" s="3436"/>
      <c r="D27" s="3437"/>
      <c r="E27" s="3056"/>
      <c r="F27" s="3056"/>
      <c r="G27" s="3056"/>
      <c r="H27" s="3056"/>
      <c r="I27" s="3056"/>
      <c r="J27" s="2935"/>
      <c r="K27" s="3477"/>
      <c r="L27" s="3475"/>
      <c r="M27" s="3475"/>
      <c r="N27" s="2936"/>
      <c r="O27" s="3475"/>
      <c r="P27" s="2936"/>
      <c r="Q27" s="2935"/>
      <c r="R27" s="2935"/>
      <c r="S27" s="2935"/>
      <c r="T27" s="2935"/>
      <c r="U27" s="2935"/>
      <c r="V27" s="2935"/>
    </row>
    <row r="28" spans="1:22">
      <c r="A28" s="2130"/>
      <c r="B28" s="2100" t="s">
        <v>531</v>
      </c>
      <c r="C28" s="3438"/>
      <c r="D28" s="3439"/>
      <c r="E28" s="3056"/>
      <c r="F28" s="3056"/>
      <c r="G28" s="3056"/>
      <c r="H28" s="3056"/>
      <c r="I28" s="3056"/>
      <c r="J28" s="2935"/>
      <c r="K28" s="3466"/>
      <c r="L28" s="3464"/>
      <c r="M28" s="3464"/>
      <c r="N28" s="2935"/>
      <c r="O28" s="3465"/>
      <c r="P28" s="2935"/>
      <c r="Q28" s="2935"/>
      <c r="R28" s="2935"/>
      <c r="S28" s="2935"/>
      <c r="T28" s="2935"/>
      <c r="U28" s="2935"/>
      <c r="V28" s="2935"/>
    </row>
    <row r="29" spans="1:22">
      <c r="A29" s="2130"/>
      <c r="B29" s="2100" t="s">
        <v>532</v>
      </c>
      <c r="C29" s="3440"/>
      <c r="D29" s="3441"/>
      <c r="E29" s="3056"/>
      <c r="F29" s="3056"/>
      <c r="G29" s="3056"/>
      <c r="H29" s="3056"/>
      <c r="I29" s="3056"/>
      <c r="J29" s="2935"/>
      <c r="K29" s="3466"/>
      <c r="L29" s="3464"/>
      <c r="M29" s="3464"/>
      <c r="N29" s="2935"/>
      <c r="O29" s="3465"/>
      <c r="P29" s="2935"/>
      <c r="Q29" s="2935"/>
      <c r="R29" s="2935"/>
      <c r="S29" s="2935"/>
      <c r="T29" s="2935"/>
      <c r="U29" s="2935"/>
      <c r="V29" s="2935"/>
    </row>
    <row r="30" spans="1:22">
      <c r="A30" s="2137"/>
      <c r="B30" s="2100" t="s">
        <v>533</v>
      </c>
      <c r="C30" s="3442"/>
      <c r="D30" s="3443"/>
      <c r="E30" s="3056"/>
      <c r="F30" s="3056"/>
      <c r="G30" s="3056"/>
      <c r="H30" s="3056"/>
      <c r="I30" s="3056"/>
      <c r="J30" s="2935"/>
      <c r="K30" s="3466"/>
      <c r="L30" s="3464"/>
      <c r="M30" s="3464"/>
      <c r="N30" s="2935"/>
      <c r="O30" s="3465"/>
      <c r="P30" s="2935"/>
      <c r="Q30" s="2935"/>
      <c r="R30" s="2935"/>
      <c r="S30" s="2935"/>
      <c r="T30" s="2935"/>
      <c r="U30" s="2935"/>
      <c r="V30" s="2935"/>
    </row>
    <row r="31" spans="1:22">
      <c r="A31" s="3444" t="s">
        <v>534</v>
      </c>
      <c r="B31" s="3445"/>
      <c r="C31" s="2255" t="str">
        <f>IF(B31="现房","成新及维护状况正常否",IF(B31="在建","工程状态是否正常",IF(B31="土地","是否闲置","-")))</f>
        <v>-</v>
      </c>
      <c r="D31" s="2220"/>
      <c r="E31" s="3446"/>
      <c r="F31" s="3056"/>
      <c r="G31" s="3056"/>
      <c r="H31" s="3056"/>
      <c r="I31" s="3056"/>
      <c r="J31" s="2935"/>
      <c r="K31" s="3463"/>
      <c r="L31" s="3464"/>
      <c r="M31" s="3464"/>
      <c r="N31" s="2935"/>
      <c r="O31" s="3465"/>
      <c r="P31" s="2935"/>
      <c r="Q31" s="2935"/>
      <c r="R31" s="2935"/>
      <c r="S31" s="2935"/>
      <c r="T31" s="2935"/>
      <c r="U31" s="2935"/>
      <c r="V31" s="2935"/>
    </row>
    <row r="32" spans="1:22">
      <c r="A32" s="2637"/>
      <c r="B32" s="3445"/>
      <c r="C32" s="2255" t="str">
        <f>IF(B32="现房","成新及维护状况是否正常",IF(B32="在建","工程状态是否正常",IF(B32="土地","是否闲置","-")))</f>
        <v>-</v>
      </c>
      <c r="D32" s="2220"/>
      <c r="E32" s="3446"/>
      <c r="F32" s="3056"/>
      <c r="G32" s="3056"/>
      <c r="H32" s="3056"/>
      <c r="I32" s="3056"/>
      <c r="J32" s="2935"/>
      <c r="K32" s="3466"/>
      <c r="L32" s="3464"/>
      <c r="M32" s="3464"/>
      <c r="N32" s="2935"/>
      <c r="O32" s="3465"/>
      <c r="P32" s="2935"/>
      <c r="Q32" s="2935"/>
      <c r="R32" s="2935"/>
      <c r="S32" s="2935"/>
      <c r="T32" s="2935"/>
      <c r="U32" s="2935"/>
      <c r="V32" s="2935"/>
    </row>
    <row r="33" spans="1:22">
      <c r="A33" s="2637"/>
      <c r="B33" s="3447"/>
      <c r="C33" s="2636" t="str">
        <f>IF(B33="现房","成新及维护状况是否正常",IF(B33="在建","工程状态是否正常",IF(B33="土地","是否闲置","-")))</f>
        <v>-</v>
      </c>
      <c r="D33" s="2111"/>
      <c r="E33" s="3448"/>
      <c r="F33" s="3056"/>
      <c r="G33" s="3056"/>
      <c r="H33" s="3056"/>
      <c r="I33" s="3056"/>
      <c r="J33" s="2935"/>
      <c r="K33" s="3466"/>
      <c r="L33" s="3464"/>
      <c r="M33" s="3464"/>
      <c r="N33" s="2935"/>
      <c r="O33" s="3465"/>
      <c r="P33" s="2935"/>
      <c r="Q33" s="2935"/>
      <c r="R33" s="2935"/>
      <c r="S33" s="2935"/>
      <c r="T33" s="2935"/>
      <c r="U33" s="2935"/>
      <c r="V33" s="2935"/>
    </row>
    <row r="34" spans="1:22">
      <c r="A34" s="2100" t="s">
        <v>535</v>
      </c>
      <c r="B34" s="625"/>
      <c r="C34" s="625"/>
      <c r="D34" s="625"/>
      <c r="E34" s="625"/>
      <c r="F34" s="625"/>
      <c r="G34" s="625"/>
      <c r="H34" s="625"/>
      <c r="I34" s="3056"/>
      <c r="J34" s="2935"/>
      <c r="K34" s="1068">
        <f>COUNTIF(B34:H34,"——")</f>
        <v>0</v>
      </c>
      <c r="L34" s="2144" t="s">
        <v>536</v>
      </c>
      <c r="M34" s="2144" t="s">
        <v>537</v>
      </c>
      <c r="N34" s="2144" t="s">
        <v>538</v>
      </c>
      <c r="O34" s="2144" t="s">
        <v>539</v>
      </c>
      <c r="P34" s="2144" t="s">
        <v>540</v>
      </c>
      <c r="Q34" s="2144" t="s">
        <v>541</v>
      </c>
      <c r="R34" s="2144" t="s">
        <v>542</v>
      </c>
      <c r="S34" s="1068" t="s">
        <v>543</v>
      </c>
      <c r="T34" s="2144" t="str">
        <f>NUMBERSTRING(7-K34,1)&amp;"通"</f>
        <v>七通</v>
      </c>
      <c r="U34" s="2935"/>
      <c r="V34" s="2935"/>
    </row>
    <row r="35" spans="1:22">
      <c r="A35" s="3449"/>
      <c r="B35" s="1126" t="s">
        <v>544</v>
      </c>
      <c r="C35" s="1126"/>
      <c r="D35" s="1126"/>
      <c r="E35" s="1126"/>
      <c r="F35" s="1126">
        <f>C10</f>
        <v>0</v>
      </c>
      <c r="G35" s="3056"/>
      <c r="H35" s="3056"/>
      <c r="I35" s="3056"/>
      <c r="J35" s="2935"/>
      <c r="K35" s="2144"/>
      <c r="L35" s="2144">
        <f>B34</f>
        <v>0</v>
      </c>
      <c r="M35" s="2146" t="str">
        <f>B34&amp;"、"&amp;C34</f>
        <v>、</v>
      </c>
      <c r="N35" s="2146" t="str">
        <f>B34&amp;"、"&amp;C34&amp;"、"&amp;D34</f>
        <v>、、</v>
      </c>
      <c r="O35" s="2146" t="str">
        <f>B34&amp;"、"&amp;C34&amp;"、"&amp;D34&amp;"、"&amp;E34</f>
        <v>、、、</v>
      </c>
      <c r="P35" s="2146" t="str">
        <f>B34&amp;"、"&amp;C34&amp;"、"&amp;D34&amp;"、"&amp;E34&amp;"、"&amp;F34</f>
        <v>、、、、</v>
      </c>
      <c r="Q35" s="2146" t="str">
        <f>B34&amp;"、"&amp;C34&amp;"、"&amp;D34&amp;"、"&amp;E34&amp;"、"&amp;F34&amp;"、"&amp;G34</f>
        <v>、、、、、</v>
      </c>
      <c r="R35" s="2146" t="str">
        <f>B34&amp;"、"&amp;C34&amp;"、"&amp;D34&amp;"、"&amp;E34&amp;"、"&amp;F34&amp;"、"&amp;G34&amp;"、"&amp;H34</f>
        <v>、、、、、、</v>
      </c>
      <c r="S35" s="1068"/>
      <c r="T35" s="2146" t="str">
        <f>IF(T34="一通",L35,IF(T34="二通",M35,IF(T34="三通",N35,IF(T34="四通",O35,IF(T34="五通",P35,IF(T34="六通",Q35,R35))))))</f>
        <v>、、、、、、</v>
      </c>
      <c r="U35" s="2935"/>
      <c r="V35" s="2935"/>
    </row>
    <row r="36" spans="1:22">
      <c r="A36" s="3450"/>
      <c r="B36" s="1126" t="s">
        <v>493</v>
      </c>
      <c r="C36" s="1126" t="s">
        <v>494</v>
      </c>
      <c r="D36" s="1126" t="s">
        <v>492</v>
      </c>
      <c r="E36" s="1126" t="s">
        <v>497</v>
      </c>
      <c r="F36" s="3451" t="s">
        <v>231</v>
      </c>
      <c r="G36" s="3056"/>
      <c r="H36" s="3056"/>
      <c r="I36" s="3056"/>
      <c r="J36" s="2935"/>
      <c r="K36" s="3466"/>
      <c r="L36" s="3464"/>
      <c r="M36" s="3464"/>
      <c r="N36" s="2935"/>
      <c r="O36" s="3465"/>
      <c r="P36" s="2935"/>
      <c r="Q36" s="2935"/>
      <c r="R36" s="2935"/>
      <c r="S36" s="2935"/>
      <c r="T36" s="2935"/>
      <c r="U36" s="2935"/>
      <c r="V36" s="2935"/>
    </row>
    <row r="37" spans="1:22">
      <c r="A37" s="3452" t="s">
        <v>545</v>
      </c>
      <c r="B37" s="3453"/>
      <c r="C37" s="3453" t="s">
        <v>275</v>
      </c>
      <c r="D37" s="3453"/>
      <c r="E37" s="3453"/>
      <c r="F37" s="3453"/>
      <c r="G37" s="3056"/>
      <c r="H37" s="3056"/>
      <c r="I37" s="3056"/>
      <c r="J37" s="2935"/>
      <c r="K37" s="3466"/>
      <c r="L37" s="3464"/>
      <c r="M37" s="3464"/>
      <c r="N37" s="2935"/>
      <c r="O37" s="3465"/>
      <c r="P37" s="2935"/>
      <c r="Q37" s="2935"/>
      <c r="R37" s="2935"/>
      <c r="S37" s="2935"/>
      <c r="T37" s="2935"/>
      <c r="U37" s="2935"/>
      <c r="V37" s="2935"/>
    </row>
    <row r="38" ht="13.5" spans="1:22">
      <c r="A38" s="3454" t="s">
        <v>546</v>
      </c>
      <c r="B38" s="3455"/>
      <c r="C38" s="3455" t="s">
        <v>547</v>
      </c>
      <c r="D38" s="3455"/>
      <c r="E38" s="3455"/>
      <c r="F38" s="3455"/>
      <c r="G38" s="3376"/>
      <c r="H38" s="3376"/>
      <c r="I38" s="3376"/>
      <c r="J38" s="2935"/>
      <c r="K38" s="3466"/>
      <c r="L38" s="3464"/>
      <c r="M38" s="3464"/>
      <c r="N38" s="2935"/>
      <c r="O38" s="3465"/>
      <c r="P38" s="2935"/>
      <c r="Q38" s="2935"/>
      <c r="R38" s="2935"/>
      <c r="S38" s="2935"/>
      <c r="T38" s="2935"/>
      <c r="U38" s="2935"/>
      <c r="V38" s="2935"/>
    </row>
    <row r="39" s="3339" customFormat="1" ht="14.25" spans="1:30">
      <c r="A39" s="3456" t="s">
        <v>548</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662"/>
      <c r="J40" s="2936"/>
      <c r="K40" s="3463"/>
      <c r="L40" s="3475"/>
      <c r="M40" s="3475"/>
      <c r="N40" s="2936"/>
      <c r="O40" s="3475"/>
      <c r="P40" s="2935"/>
      <c r="Q40" s="2935"/>
      <c r="R40" s="2935"/>
      <c r="S40" s="2935"/>
      <c r="T40" s="2935"/>
      <c r="U40" s="2935"/>
      <c r="V40" s="2935"/>
    </row>
    <row r="41" spans="1:22">
      <c r="A41" s="3458" t="s">
        <v>549</v>
      </c>
      <c r="B41" s="2527"/>
      <c r="C41" s="2220"/>
      <c r="D41" s="3388"/>
      <c r="E41" s="3388"/>
      <c r="F41" s="3388"/>
      <c r="G41" s="3388"/>
      <c r="H41" s="3388"/>
      <c r="I41" s="3251"/>
      <c r="J41" s="2935"/>
      <c r="K41" s="3466"/>
      <c r="L41" s="3464"/>
      <c r="M41" s="3464"/>
      <c r="N41" s="2935"/>
      <c r="O41" s="3465"/>
      <c r="P41" s="2935"/>
      <c r="Q41" s="2935"/>
      <c r="R41" s="2935"/>
      <c r="S41" s="2935"/>
      <c r="T41" s="2935"/>
      <c r="U41" s="2935"/>
      <c r="V41" s="2935"/>
    </row>
    <row r="42" ht="24.75" spans="1:22">
      <c r="A42" s="2144" t="s">
        <v>550</v>
      </c>
      <c r="B42" s="1068" t="s">
        <v>551</v>
      </c>
      <c r="C42" s="1068" t="s">
        <v>552</v>
      </c>
      <c r="D42" s="1068" t="s">
        <v>553</v>
      </c>
      <c r="E42" s="1068" t="s">
        <v>554</v>
      </c>
      <c r="F42" s="1068" t="s">
        <v>555</v>
      </c>
      <c r="G42" s="1068" t="s">
        <v>556</v>
      </c>
      <c r="H42" s="1068" t="s">
        <v>557</v>
      </c>
      <c r="I42" s="1068" t="s">
        <v>558</v>
      </c>
      <c r="J42" s="3487" t="s">
        <v>559</v>
      </c>
      <c r="K42" s="3488" t="s">
        <v>560</v>
      </c>
      <c r="L42" s="3488" t="s">
        <v>561</v>
      </c>
      <c r="M42" s="3488" t="s">
        <v>562</v>
      </c>
      <c r="N42" s="3489" t="s">
        <v>563</v>
      </c>
      <c r="O42" s="3489" t="s">
        <v>564</v>
      </c>
      <c r="P42" s="3489" t="s">
        <v>565</v>
      </c>
      <c r="Q42" s="3494" t="s">
        <v>566</v>
      </c>
      <c r="R42" s="3494" t="s">
        <v>567</v>
      </c>
      <c r="S42" s="2935"/>
      <c r="T42" s="2935"/>
      <c r="U42" s="2935"/>
      <c r="V42" s="2935"/>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5"/>
      <c r="T43" s="2935"/>
      <c r="U43" s="2935"/>
      <c r="V43" s="2935"/>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5"/>
      <c r="T44" s="2935"/>
      <c r="U44" s="2935"/>
      <c r="V44" s="2935"/>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5"/>
      <c r="T45" s="2935"/>
      <c r="U45" s="2935"/>
      <c r="V45" s="2935"/>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5"/>
      <c r="T46" s="2935"/>
      <c r="U46" s="2935"/>
      <c r="V46" s="2935"/>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5"/>
      <c r="T47" s="2935"/>
      <c r="U47" s="2935"/>
      <c r="V47" s="2935"/>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5"/>
      <c r="T48" s="2935"/>
      <c r="U48" s="2935"/>
      <c r="V48" s="2935"/>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5"/>
      <c r="T49" s="2935"/>
      <c r="U49" s="2935"/>
      <c r="V49" s="2935"/>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5"/>
      <c r="T50" s="2935"/>
      <c r="U50" s="2935"/>
      <c r="V50" s="2935"/>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48" customWidth="1"/>
    <col min="2" max="2" width="11" style="3248" customWidth="1"/>
    <col min="3" max="3" width="10.375" style="3248" customWidth="1"/>
    <col min="4" max="4" width="9.125" style="3248" customWidth="1"/>
    <col min="5" max="6" width="10" style="3246" customWidth="1"/>
    <col min="7" max="8" width="10" style="3248" customWidth="1"/>
    <col min="9" max="9" width="10.625" style="3248" customWidth="1"/>
    <col min="10" max="10" width="9.5" style="3248" customWidth="1"/>
    <col min="11" max="11" width="11" style="3248" customWidth="1"/>
    <col min="12" max="14" width="9.5" style="3248" customWidth="1"/>
    <col min="15" max="15" width="9.875" style="3248" customWidth="1"/>
    <col min="16" max="16" width="9.75" style="3248" customWidth="1"/>
    <col min="17" max="17" width="9.375" style="3248" customWidth="1"/>
    <col min="18" max="18" width="9.25" style="3248" customWidth="1"/>
    <col min="19" max="19" width="10.875" style="3248" customWidth="1"/>
    <col min="20" max="21" width="10.75" style="3248" customWidth="1"/>
    <col min="22" max="22" width="10.875" style="3248" customWidth="1"/>
    <col min="23" max="27" width="10.75" style="3248" customWidth="1"/>
    <col min="28" max="28" width="10.875" style="3248" customWidth="1"/>
    <col min="29" max="29" width="11" style="3248" customWidth="1"/>
    <col min="30" max="30" width="10" style="3248" customWidth="1"/>
    <col min="31" max="31" width="9.75" style="3248" customWidth="1"/>
    <col min="32" max="46" width="9.5" style="3248" customWidth="1"/>
    <col min="47" max="47" width="18.125" style="3248" customWidth="1"/>
    <col min="48" max="50" width="9.75" style="3248" customWidth="1"/>
    <col min="51" max="55" width="10.5" style="3248" customWidth="1"/>
    <col min="56" max="56" width="9.5" style="3248" customWidth="1"/>
    <col min="57" max="63" width="9.125" style="3248" customWidth="1"/>
    <col min="64" max="64" width="9.5" style="3248" customWidth="1"/>
    <col min="65" max="65" width="9.125" style="3248" customWidth="1"/>
    <col min="66" max="66" width="9.5" style="3248" customWidth="1"/>
    <col min="67" max="69" width="9.125" style="3248" customWidth="1"/>
    <col min="70" max="70" width="9.5" style="3248" customWidth="1"/>
    <col min="71" max="71" width="9" style="3248" customWidth="1"/>
    <col min="72" max="72" width="9.125" style="3248" customWidth="1"/>
    <col min="73" max="16384" width="8.875" style="3248"/>
  </cols>
  <sheetData>
    <row r="1" ht="20.25" spans="1:72">
      <c r="A1" s="3249" t="s">
        <v>568</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569</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68" t="s">
        <v>509</v>
      </c>
      <c r="B2" s="1068" t="s">
        <v>505</v>
      </c>
      <c r="C2" s="1068" t="s">
        <v>570</v>
      </c>
      <c r="D2" s="3251"/>
      <c r="E2" s="2610"/>
      <c r="F2" s="2662"/>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571</v>
      </c>
      <c r="AZ2" s="3313" t="s">
        <v>572</v>
      </c>
      <c r="BA2" s="1068" t="s">
        <v>573</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2.75" spans="1:72">
      <c r="A3" s="3252"/>
      <c r="B3" s="3253">
        <f>IF(C3="否",G5-AT5,G5)</f>
        <v>112.13</v>
      </c>
      <c r="C3" s="3254" t="s">
        <v>574</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2.75" spans="1:72">
      <c r="A5" s="2255" t="s">
        <v>575</v>
      </c>
      <c r="B5" s="2523"/>
      <c r="C5" s="2523"/>
      <c r="D5" s="2676"/>
      <c r="E5" s="3258" t="s">
        <v>124</v>
      </c>
      <c r="F5" s="3258">
        <f>SUM(F13:F587)</f>
        <v>0</v>
      </c>
      <c r="G5" s="3258">
        <f>SUM(G13:G587)</f>
        <v>112.13</v>
      </c>
      <c r="H5" s="3258">
        <f t="shared" ref="H5:AT5" si="0">SUM(H13:H656)</f>
        <v>112.13</v>
      </c>
      <c r="I5" s="3258">
        <f t="shared" si="0"/>
        <v>112.13</v>
      </c>
      <c r="J5" s="3258">
        <f t="shared" si="0"/>
        <v>0</v>
      </c>
      <c r="K5" s="3258">
        <f t="shared" si="0"/>
        <v>0</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522"/>
      <c r="AV5" s="2255" t="s">
        <v>575</v>
      </c>
      <c r="AW5" s="2523"/>
      <c r="AX5" s="2523"/>
      <c r="AY5" s="3317" t="s">
        <v>124</v>
      </c>
      <c r="AZ5" s="3318">
        <f t="shared" ref="AZ5:BT5" si="1">SUM(AZ13:AZ656)</f>
        <v>112.13</v>
      </c>
      <c r="BA5" s="3318">
        <f t="shared" si="1"/>
        <v>112.13</v>
      </c>
      <c r="BB5" s="3318">
        <f t="shared" si="1"/>
        <v>112.13</v>
      </c>
      <c r="BC5" s="3318">
        <f t="shared" si="1"/>
        <v>0</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2.75" spans="1:72">
      <c r="A6" s="2255" t="s">
        <v>576</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255" t="s">
        <v>576</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4.75" spans="1:72">
      <c r="A7" s="3262" t="s">
        <v>577</v>
      </c>
      <c r="B7" s="3262" t="s">
        <v>578</v>
      </c>
      <c r="C7" s="3262" t="s">
        <v>551</v>
      </c>
      <c r="D7" s="3262" t="s">
        <v>579</v>
      </c>
      <c r="E7" s="3262" t="s">
        <v>576</v>
      </c>
      <c r="F7" s="3262" t="s">
        <v>580</v>
      </c>
      <c r="G7" s="2636" t="s">
        <v>581</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676"/>
      <c r="AU7" s="3263" t="s">
        <v>582</v>
      </c>
      <c r="AV7" s="3304" t="s">
        <v>577</v>
      </c>
      <c r="AW7" s="2662" t="s">
        <v>578</v>
      </c>
      <c r="AX7" s="3304" t="s">
        <v>551</v>
      </c>
      <c r="AY7" s="2523" t="s">
        <v>583</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4" customFormat="1" ht="24" spans="1:72">
      <c r="A8" s="3264"/>
      <c r="B8" s="3264"/>
      <c r="C8" s="3264"/>
      <c r="D8" s="3264"/>
      <c r="E8" s="3264"/>
      <c r="F8" s="3264"/>
      <c r="G8" s="3265" t="s">
        <v>584</v>
      </c>
      <c r="H8" s="3266" t="s">
        <v>585</v>
      </c>
      <c r="I8" s="3284"/>
      <c r="J8" s="1067"/>
      <c r="K8" s="1067"/>
      <c r="L8" s="1067"/>
      <c r="M8" s="1067"/>
      <c r="N8" s="1067"/>
      <c r="O8" s="1067"/>
      <c r="P8" s="1067"/>
      <c r="Q8" s="1067"/>
      <c r="R8" s="1067"/>
      <c r="S8" s="1067"/>
      <c r="T8" s="1067"/>
      <c r="U8" s="1067"/>
      <c r="V8" s="3291"/>
      <c r="W8" s="1067"/>
      <c r="X8" s="1067"/>
      <c r="Y8" s="1067"/>
      <c r="Z8" s="1067"/>
      <c r="AA8" s="3291"/>
      <c r="AB8" s="3293"/>
      <c r="AC8" s="2399" t="s">
        <v>586</v>
      </c>
      <c r="AD8" s="3294"/>
      <c r="AE8" s="3295"/>
      <c r="AF8" s="1067"/>
      <c r="AG8" s="1067"/>
      <c r="AH8" s="1067"/>
      <c r="AI8" s="1067"/>
      <c r="AJ8" s="1067"/>
      <c r="AK8" s="1067"/>
      <c r="AL8" s="1067"/>
      <c r="AM8" s="1067"/>
      <c r="AN8" s="1067"/>
      <c r="AO8" s="1067"/>
      <c r="AP8" s="1067"/>
      <c r="AQ8" s="1067"/>
      <c r="AR8" s="1067"/>
      <c r="AS8" s="1067"/>
      <c r="AT8" s="2092" t="s">
        <v>587</v>
      </c>
      <c r="AU8" s="3264" t="s">
        <v>588</v>
      </c>
      <c r="AV8" s="2092"/>
      <c r="AW8" s="2610"/>
      <c r="AX8" s="2092"/>
      <c r="AY8" s="2662" t="s">
        <v>576</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42"/>
    </row>
    <row r="9" s="2954" customFormat="1" ht="12.75" spans="1:72">
      <c r="A9" s="3264"/>
      <c r="B9" s="3264"/>
      <c r="C9" s="3264"/>
      <c r="D9" s="3264"/>
      <c r="E9" s="3264"/>
      <c r="F9" s="3264"/>
      <c r="G9" s="2092"/>
      <c r="H9" s="3267" t="s">
        <v>589</v>
      </c>
      <c r="I9" s="3285" t="s">
        <v>467</v>
      </c>
      <c r="J9" s="2399"/>
      <c r="K9" s="3285"/>
      <c r="L9" s="2399"/>
      <c r="M9" s="3285"/>
      <c r="N9" s="2399"/>
      <c r="O9" s="3285"/>
      <c r="P9" s="2399"/>
      <c r="Q9" s="3285"/>
      <c r="R9" s="2399"/>
      <c r="S9" s="3285"/>
      <c r="T9" s="2399"/>
      <c r="U9" s="3285"/>
      <c r="V9" s="2399"/>
      <c r="W9" s="3285"/>
      <c r="X9" s="3292"/>
      <c r="Y9" s="3285"/>
      <c r="Z9" s="2399"/>
      <c r="AA9" s="3285"/>
      <c r="AB9" s="2399"/>
      <c r="AC9" s="3265" t="s">
        <v>589</v>
      </c>
      <c r="AD9" s="2255" t="s">
        <v>590</v>
      </c>
      <c r="AE9" s="2106"/>
      <c r="AF9" s="2255" t="s">
        <v>591</v>
      </c>
      <c r="AG9" s="2106"/>
      <c r="AH9" s="2255" t="s">
        <v>590</v>
      </c>
      <c r="AI9" s="2106"/>
      <c r="AJ9" s="2255" t="s">
        <v>591</v>
      </c>
      <c r="AK9" s="2106"/>
      <c r="AL9" s="2255" t="s">
        <v>590</v>
      </c>
      <c r="AM9" s="2106"/>
      <c r="AN9" s="2255" t="s">
        <v>591</v>
      </c>
      <c r="AO9" s="2106"/>
      <c r="AP9" s="2255" t="s">
        <v>590</v>
      </c>
      <c r="AQ9" s="2106"/>
      <c r="AR9" s="2255" t="s">
        <v>591</v>
      </c>
      <c r="AS9" s="3305"/>
      <c r="AT9" s="3264"/>
      <c r="AU9" s="3264" t="s">
        <v>592</v>
      </c>
      <c r="AV9" s="2092"/>
      <c r="AW9" s="2610"/>
      <c r="AX9" s="2092"/>
      <c r="AY9" s="3268"/>
      <c r="AZ9" s="3268" t="s">
        <v>584</v>
      </c>
      <c r="BA9" s="3320" t="s">
        <v>593</v>
      </c>
      <c r="BB9" s="3321"/>
      <c r="BC9" s="2154"/>
      <c r="BD9" s="2154"/>
      <c r="BE9" s="2154"/>
      <c r="BF9" s="2154"/>
      <c r="BG9" s="2154"/>
      <c r="BH9" s="2154"/>
      <c r="BI9" s="2154"/>
      <c r="BJ9" s="2154"/>
      <c r="BK9" s="3326"/>
      <c r="BL9" s="2255" t="s">
        <v>594</v>
      </c>
      <c r="BM9" s="1067"/>
      <c r="BN9" s="3284"/>
      <c r="BO9" s="1067"/>
      <c r="BP9" s="1067"/>
      <c r="BQ9" s="1067"/>
      <c r="BR9" s="1067"/>
      <c r="BS9" s="1067"/>
      <c r="BT9" s="2142"/>
    </row>
    <row r="10" s="2954" customFormat="1" ht="12.75" spans="1:72">
      <c r="A10" s="3264"/>
      <c r="B10" s="3264"/>
      <c r="C10" s="3264"/>
      <c r="D10" s="3264"/>
      <c r="E10" s="3264"/>
      <c r="F10" s="3264"/>
      <c r="G10" s="2092"/>
      <c r="H10" s="3268"/>
      <c r="I10" s="3285" t="s">
        <v>230</v>
      </c>
      <c r="J10" s="2399"/>
      <c r="K10" s="3286"/>
      <c r="L10" s="2399"/>
      <c r="M10" s="3286"/>
      <c r="N10" s="2399"/>
      <c r="O10" s="3286"/>
      <c r="P10" s="2399"/>
      <c r="Q10" s="3286"/>
      <c r="R10" s="2399"/>
      <c r="S10" s="3286"/>
      <c r="T10" s="2399"/>
      <c r="U10" s="3286"/>
      <c r="V10" s="2399"/>
      <c r="W10" s="3286"/>
      <c r="X10" s="2399"/>
      <c r="Y10" s="3286"/>
      <c r="Z10" s="2399"/>
      <c r="AA10" s="3286"/>
      <c r="AB10" s="2399"/>
      <c r="AC10" s="2092"/>
      <c r="AD10" s="2255" t="s">
        <v>595</v>
      </c>
      <c r="AE10" s="3296"/>
      <c r="AF10" s="2255" t="s">
        <v>595</v>
      </c>
      <c r="AG10" s="3296"/>
      <c r="AH10" s="2255" t="s">
        <v>596</v>
      </c>
      <c r="AI10" s="3296"/>
      <c r="AJ10" s="2255" t="s">
        <v>596</v>
      </c>
      <c r="AK10" s="3296"/>
      <c r="AL10" s="2255" t="s">
        <v>597</v>
      </c>
      <c r="AM10" s="2106"/>
      <c r="AN10" s="2255" t="s">
        <v>597</v>
      </c>
      <c r="AO10" s="2106"/>
      <c r="AP10" s="2255" t="s">
        <v>598</v>
      </c>
      <c r="AQ10" s="2106"/>
      <c r="AR10" s="2255" t="s">
        <v>598</v>
      </c>
      <c r="AS10" s="2106"/>
      <c r="AT10" s="3264"/>
      <c r="AU10" s="3264"/>
      <c r="AV10" s="2092"/>
      <c r="AW10" s="2610"/>
      <c r="AX10" s="2092"/>
      <c r="AY10" s="3268"/>
      <c r="AZ10" s="3268"/>
      <c r="BA10" s="3269" t="s">
        <v>589</v>
      </c>
      <c r="BB10" s="3322" t="str">
        <f>I9</f>
        <v>地上</v>
      </c>
      <c r="BC10" s="2166">
        <f>K9</f>
        <v>0</v>
      </c>
      <c r="BD10" s="2166">
        <f>M9</f>
        <v>0</v>
      </c>
      <c r="BE10" s="2166">
        <f>O9</f>
        <v>0</v>
      </c>
      <c r="BF10" s="2166">
        <f>Q9</f>
        <v>0</v>
      </c>
      <c r="BG10" s="2166">
        <f>S9</f>
        <v>0</v>
      </c>
      <c r="BH10" s="2166">
        <f>U9</f>
        <v>0</v>
      </c>
      <c r="BI10" s="2166">
        <f>W9</f>
        <v>0</v>
      </c>
      <c r="BJ10" s="2166">
        <f>Y9</f>
        <v>0</v>
      </c>
      <c r="BK10" s="2166">
        <f>AA9</f>
        <v>0</v>
      </c>
      <c r="BL10" s="2162" t="s">
        <v>589</v>
      </c>
      <c r="BM10" s="1066" t="str">
        <f>AD9</f>
        <v>地上</v>
      </c>
      <c r="BN10" s="2166" t="str">
        <f>AF9</f>
        <v>地下</v>
      </c>
      <c r="BO10" s="1066" t="str">
        <f>AH9</f>
        <v>地上</v>
      </c>
      <c r="BP10" s="2166" t="str">
        <f>AJ9</f>
        <v>地下</v>
      </c>
      <c r="BQ10" s="1066" t="str">
        <f>AL9</f>
        <v>地上</v>
      </c>
      <c r="BR10" s="2166" t="str">
        <f>AN9</f>
        <v>地下</v>
      </c>
      <c r="BS10" s="1066" t="str">
        <f>AP9</f>
        <v>地上</v>
      </c>
      <c r="BT10" s="3330" t="str">
        <f>AR9</f>
        <v>地下</v>
      </c>
    </row>
    <row r="11" s="2954" customFormat="1" ht="12.75" spans="1:72">
      <c r="A11" s="3264"/>
      <c r="B11" s="3264"/>
      <c r="C11" s="3264"/>
      <c r="D11" s="3264"/>
      <c r="E11" s="3264"/>
      <c r="F11" s="3264"/>
      <c r="G11" s="2092"/>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92"/>
      <c r="AD11" s="3297" t="s">
        <v>599</v>
      </c>
      <c r="AE11" s="1124"/>
      <c r="AF11" s="3297" t="s">
        <v>599</v>
      </c>
      <c r="AG11" s="1124"/>
      <c r="AH11" s="3297" t="s">
        <v>600</v>
      </c>
      <c r="AI11" s="3301"/>
      <c r="AJ11" s="3297" t="s">
        <v>600</v>
      </c>
      <c r="AK11" s="1124"/>
      <c r="AL11" s="1066"/>
      <c r="AM11" s="1124"/>
      <c r="AN11" s="1066"/>
      <c r="AO11" s="1124"/>
      <c r="AP11" s="1066"/>
      <c r="AQ11" s="1124"/>
      <c r="AR11" s="1066"/>
      <c r="AS11" s="1124"/>
      <c r="AT11" s="2610"/>
      <c r="AU11" s="3264"/>
      <c r="AV11" s="2092"/>
      <c r="AW11" s="2610"/>
      <c r="AX11" s="2092"/>
      <c r="AY11" s="3268"/>
      <c r="AZ11" s="3268"/>
      <c r="BA11" s="3268"/>
      <c r="BB11" s="3293" t="str">
        <f>I10</f>
        <v>办公</v>
      </c>
      <c r="BC11" s="3293">
        <f>K10</f>
        <v>0</v>
      </c>
      <c r="BD11" s="3293">
        <f>M10</f>
        <v>0</v>
      </c>
      <c r="BE11" s="3293">
        <f>O10</f>
        <v>0</v>
      </c>
      <c r="BF11" s="3293">
        <f>Q10</f>
        <v>0</v>
      </c>
      <c r="BG11" s="3293">
        <f>S10</f>
        <v>0</v>
      </c>
      <c r="BH11" s="3293">
        <f>U10</f>
        <v>0</v>
      </c>
      <c r="BI11" s="3293">
        <f>W10</f>
        <v>0</v>
      </c>
      <c r="BJ11" s="3293">
        <f>Y10</f>
        <v>0</v>
      </c>
      <c r="BK11" s="3293">
        <f>AA10</f>
        <v>0</v>
      </c>
      <c r="BL11" s="2092"/>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62" t="str">
        <f>AP10</f>
        <v>未注明</v>
      </c>
      <c r="BT11" s="3331" t="str">
        <f>AR10</f>
        <v>未注明</v>
      </c>
    </row>
    <row r="12" s="3243" customFormat="1" ht="12.75" spans="1:72">
      <c r="A12" s="3270"/>
      <c r="B12" s="3270"/>
      <c r="C12" s="3270"/>
      <c r="D12" s="3270"/>
      <c r="E12" s="3270"/>
      <c r="F12" s="3270"/>
      <c r="G12" s="651"/>
      <c r="H12" s="3271"/>
      <c r="I12" s="2676" t="s">
        <v>601</v>
      </c>
      <c r="J12" s="1068" t="s">
        <v>602</v>
      </c>
      <c r="K12" s="1068" t="s">
        <v>601</v>
      </c>
      <c r="L12" s="1068" t="s">
        <v>602</v>
      </c>
      <c r="M12" s="1068" t="s">
        <v>601</v>
      </c>
      <c r="N12" s="1068" t="s">
        <v>602</v>
      </c>
      <c r="O12" s="1068" t="s">
        <v>601</v>
      </c>
      <c r="P12" s="1068" t="s">
        <v>602</v>
      </c>
      <c r="Q12" s="1068" t="s">
        <v>601</v>
      </c>
      <c r="R12" s="1068" t="s">
        <v>602</v>
      </c>
      <c r="S12" s="1068" t="s">
        <v>601</v>
      </c>
      <c r="T12" s="1068" t="s">
        <v>602</v>
      </c>
      <c r="U12" s="1068" t="s">
        <v>601</v>
      </c>
      <c r="V12" s="2522" t="s">
        <v>602</v>
      </c>
      <c r="W12" s="1068" t="s">
        <v>601</v>
      </c>
      <c r="X12" s="1068" t="s">
        <v>602</v>
      </c>
      <c r="Y12" s="1068" t="s">
        <v>601</v>
      </c>
      <c r="Z12" s="1068" t="s">
        <v>602</v>
      </c>
      <c r="AA12" s="1068" t="s">
        <v>601</v>
      </c>
      <c r="AB12" s="1068" t="s">
        <v>602</v>
      </c>
      <c r="AC12" s="3298"/>
      <c r="AD12" s="2676" t="s">
        <v>601</v>
      </c>
      <c r="AE12" s="1068" t="s">
        <v>602</v>
      </c>
      <c r="AF12" s="1068" t="s">
        <v>601</v>
      </c>
      <c r="AG12" s="1068" t="s">
        <v>602</v>
      </c>
      <c r="AH12" s="1068" t="s">
        <v>601</v>
      </c>
      <c r="AI12" s="1068" t="s">
        <v>602</v>
      </c>
      <c r="AJ12" s="1068" t="s">
        <v>601</v>
      </c>
      <c r="AK12" s="1068" t="s">
        <v>602</v>
      </c>
      <c r="AL12" s="1068" t="s">
        <v>601</v>
      </c>
      <c r="AM12" s="1068" t="s">
        <v>602</v>
      </c>
      <c r="AN12" s="1068" t="s">
        <v>601</v>
      </c>
      <c r="AO12" s="1068" t="s">
        <v>602</v>
      </c>
      <c r="AP12" s="1068" t="s">
        <v>601</v>
      </c>
      <c r="AQ12" s="1068" t="s">
        <v>602</v>
      </c>
      <c r="AR12" s="651" t="s">
        <v>601</v>
      </c>
      <c r="AS12" s="3270" t="s">
        <v>602</v>
      </c>
      <c r="AT12" s="3306"/>
      <c r="AU12" s="3270"/>
      <c r="AV12" s="3307"/>
      <c r="AW12" s="2662"/>
      <c r="AX12" s="3307"/>
      <c r="AY12" s="3323"/>
      <c r="AZ12" s="3268"/>
      <c r="BA12" s="3269"/>
      <c r="BB12" s="1065">
        <f>I11</f>
        <v>0</v>
      </c>
      <c r="BC12" s="3324">
        <f>K11</f>
        <v>0</v>
      </c>
      <c r="BD12" s="3324">
        <f>M11</f>
        <v>0</v>
      </c>
      <c r="BE12" s="3293">
        <f>O11</f>
        <v>0</v>
      </c>
      <c r="BF12" s="3293">
        <f>Q11</f>
        <v>0</v>
      </c>
      <c r="BG12" s="3293">
        <f>S11</f>
        <v>0</v>
      </c>
      <c r="BH12" s="3293">
        <f>U11</f>
        <v>0</v>
      </c>
      <c r="BI12" s="3293">
        <f>W11</f>
        <v>0</v>
      </c>
      <c r="BJ12" s="3293">
        <f>Y11</f>
        <v>0</v>
      </c>
      <c r="BK12" s="3293">
        <f>AA11</f>
        <v>0</v>
      </c>
      <c r="BL12" s="2092"/>
      <c r="BM12" s="1066" t="str">
        <f>AD11</f>
        <v>（住宅）</v>
      </c>
      <c r="BN12" s="1066" t="str">
        <f>AF11</f>
        <v>（住宅）</v>
      </c>
      <c r="BO12" s="1065" t="str">
        <f>AH11</f>
        <v>（住宅、计出让金）</v>
      </c>
      <c r="BP12" s="1065" t="str">
        <f>AJ11</f>
        <v>（住宅、计出让金）</v>
      </c>
      <c r="BQ12" s="1065">
        <f>AL11</f>
        <v>0</v>
      </c>
      <c r="BR12" s="1065">
        <f>AN11</f>
        <v>0</v>
      </c>
      <c r="BS12" s="2162">
        <f>AP11</f>
        <v>0</v>
      </c>
      <c r="BT12" s="3331">
        <f>AR11</f>
        <v>0</v>
      </c>
    </row>
    <row r="13" s="3243" customFormat="1" ht="12.75" spans="1:72">
      <c r="A13" s="3272"/>
      <c r="B13" s="3272"/>
      <c r="C13" s="3272"/>
      <c r="D13" s="3273" t="s">
        <v>603</v>
      </c>
      <c r="E13" s="3258">
        <f>IF($C$3="是",ROUND($A$3*G13/$B$3,2),ROUND($A$3*(G13-AT13)/$B$3,2))</f>
        <v>0</v>
      </c>
      <c r="F13" s="3274"/>
      <c r="G13" s="3275">
        <f>H13+AC13+AT13</f>
        <v>112.13</v>
      </c>
      <c r="H13" s="3261">
        <f>SUMIF(I$12:AB$12,"总值",I13:AB13)</f>
        <v>112.13</v>
      </c>
      <c r="I13" s="3289">
        <v>112.13</v>
      </c>
      <c r="J13" s="3289"/>
      <c r="K13" s="3289"/>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68">
        <f t="shared" ref="AV13:AX17" si="6">A13</f>
        <v>0</v>
      </c>
      <c r="AW13" s="1068">
        <f t="shared" si="6"/>
        <v>0</v>
      </c>
      <c r="AX13" s="1068">
        <f t="shared" si="6"/>
        <v>0</v>
      </c>
      <c r="AY13" s="2676">
        <f>ROUND($AY$6*AZ13/$AZ$5,2)</f>
        <v>0</v>
      </c>
      <c r="AZ13" s="3258">
        <f>BA13+BL13</f>
        <v>112.13</v>
      </c>
      <c r="BA13" s="3258">
        <f>SUM(BB13:BK13)</f>
        <v>112.13</v>
      </c>
      <c r="BB13" s="3258">
        <f>IF($D13="是",I13-J13,0)</f>
        <v>112.13</v>
      </c>
      <c r="BC13" s="3258">
        <f>IF($D13="是",K13-L13,0)</f>
        <v>0</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2.75"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68">
        <f t="shared" si="6"/>
        <v>0</v>
      </c>
      <c r="AW14" s="1068">
        <f t="shared" si="6"/>
        <v>0</v>
      </c>
      <c r="AX14" s="1068">
        <f t="shared" si="6"/>
        <v>0</v>
      </c>
      <c r="AY14" s="2676">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2.75"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68">
        <f t="shared" si="6"/>
        <v>0</v>
      </c>
      <c r="AW15" s="1068">
        <f t="shared" si="6"/>
        <v>0</v>
      </c>
      <c r="AX15" s="1068">
        <f t="shared" si="6"/>
        <v>0</v>
      </c>
      <c r="AY15" s="2676">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2.75"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68">
        <f t="shared" si="6"/>
        <v>0</v>
      </c>
      <c r="AW16" s="1068">
        <f t="shared" si="6"/>
        <v>0</v>
      </c>
      <c r="AX16" s="1068">
        <f t="shared" si="6"/>
        <v>0</v>
      </c>
      <c r="AY16" s="2676">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2.75"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68">
        <f t="shared" si="6"/>
        <v>0</v>
      </c>
      <c r="AW17" s="1068">
        <f t="shared" si="6"/>
        <v>0</v>
      </c>
      <c r="AX17" s="1068">
        <f t="shared" si="6"/>
        <v>0</v>
      </c>
      <c r="AY17" s="2676">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78">
        <f t="shared" ref="AV18:AV112" si="11">A18</f>
        <v>0</v>
      </c>
      <c r="AW18" s="1378">
        <f t="shared" ref="AW18:AW112" si="12">B18</f>
        <v>0</v>
      </c>
      <c r="AX18" s="1378">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78">
        <f t="shared" si="11"/>
        <v>0</v>
      </c>
      <c r="AW19" s="1378">
        <f t="shared" si="12"/>
        <v>0</v>
      </c>
      <c r="AX19" s="1378">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78">
        <f t="shared" si="11"/>
        <v>0</v>
      </c>
      <c r="AW20" s="1378">
        <f t="shared" si="12"/>
        <v>0</v>
      </c>
      <c r="AX20" s="1378">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78">
        <f t="shared" si="11"/>
        <v>0</v>
      </c>
      <c r="AW21" s="1378">
        <f t="shared" si="12"/>
        <v>0</v>
      </c>
      <c r="AX21" s="1378">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78">
        <f t="shared" si="11"/>
        <v>0</v>
      </c>
      <c r="AW22" s="1378">
        <f t="shared" si="12"/>
        <v>0</v>
      </c>
      <c r="AX22" s="1378">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78">
        <f t="shared" si="11"/>
        <v>0</v>
      </c>
      <c r="AW23" s="1378">
        <f t="shared" si="12"/>
        <v>0</v>
      </c>
      <c r="AX23" s="1378">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78">
        <f t="shared" si="11"/>
        <v>0</v>
      </c>
      <c r="AW24" s="1378">
        <f t="shared" si="12"/>
        <v>0</v>
      </c>
      <c r="AX24" s="1378">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78">
        <f t="shared" si="11"/>
        <v>0</v>
      </c>
      <c r="AW25" s="1378">
        <f t="shared" si="12"/>
        <v>0</v>
      </c>
      <c r="AX25" s="1378">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78">
        <f t="shared" si="11"/>
        <v>0</v>
      </c>
      <c r="AW26" s="1378">
        <f t="shared" si="12"/>
        <v>0</v>
      </c>
      <c r="AX26" s="1378">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78">
        <f t="shared" si="11"/>
        <v>0</v>
      </c>
      <c r="AW27" s="1378">
        <f t="shared" si="12"/>
        <v>0</v>
      </c>
      <c r="AX27" s="1378">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78">
        <f t="shared" si="11"/>
        <v>0</v>
      </c>
      <c r="AW28" s="1378">
        <f t="shared" si="12"/>
        <v>0</v>
      </c>
      <c r="AX28" s="1378">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78">
        <f t="shared" si="11"/>
        <v>0</v>
      </c>
      <c r="AW29" s="1378">
        <f t="shared" si="12"/>
        <v>0</v>
      </c>
      <c r="AX29" s="1378">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78">
        <f t="shared" si="11"/>
        <v>0</v>
      </c>
      <c r="AW30" s="1378">
        <f t="shared" si="12"/>
        <v>0</v>
      </c>
      <c r="AX30" s="1378">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78">
        <f t="shared" si="11"/>
        <v>0</v>
      </c>
      <c r="AW31" s="1378">
        <f t="shared" si="12"/>
        <v>0</v>
      </c>
      <c r="AX31" s="1378">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78">
        <f t="shared" si="11"/>
        <v>0</v>
      </c>
      <c r="AW32" s="1378">
        <f t="shared" si="12"/>
        <v>0</v>
      </c>
      <c r="AX32" s="1378">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78">
        <f t="shared" si="11"/>
        <v>0</v>
      </c>
      <c r="AW33" s="1378">
        <f t="shared" si="12"/>
        <v>0</v>
      </c>
      <c r="AX33" s="1378">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78">
        <f t="shared" si="11"/>
        <v>0</v>
      </c>
      <c r="AW34" s="1378">
        <f t="shared" si="12"/>
        <v>0</v>
      </c>
      <c r="AX34" s="1378">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78">
        <f t="shared" si="11"/>
        <v>0</v>
      </c>
      <c r="AW35" s="1378">
        <f t="shared" si="12"/>
        <v>0</v>
      </c>
      <c r="AX35" s="1378">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78">
        <f t="shared" si="11"/>
        <v>0</v>
      </c>
      <c r="AW36" s="1378">
        <f t="shared" si="12"/>
        <v>0</v>
      </c>
      <c r="AX36" s="1378">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78">
        <f t="shared" si="11"/>
        <v>0</v>
      </c>
      <c r="AW37" s="1378">
        <f t="shared" si="12"/>
        <v>0</v>
      </c>
      <c r="AX37" s="1378">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78">
        <f t="shared" si="11"/>
        <v>0</v>
      </c>
      <c r="AW38" s="1378">
        <f t="shared" si="12"/>
        <v>0</v>
      </c>
      <c r="AX38" s="1378">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78">
        <f t="shared" si="11"/>
        <v>0</v>
      </c>
      <c r="AW39" s="1378">
        <f t="shared" si="12"/>
        <v>0</v>
      </c>
      <c r="AX39" s="1378">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78">
        <f t="shared" si="11"/>
        <v>0</v>
      </c>
      <c r="AW40" s="1378">
        <f t="shared" si="12"/>
        <v>0</v>
      </c>
      <c r="AX40" s="1378">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78">
        <f t="shared" si="11"/>
        <v>0</v>
      </c>
      <c r="AW41" s="1378">
        <f t="shared" si="12"/>
        <v>0</v>
      </c>
      <c r="AX41" s="1378">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78">
        <f t="shared" si="11"/>
        <v>0</v>
      </c>
      <c r="AW42" s="1378">
        <f t="shared" si="12"/>
        <v>0</v>
      </c>
      <c r="AX42" s="1378">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78">
        <f t="shared" si="11"/>
        <v>0</v>
      </c>
      <c r="AW43" s="1378">
        <f t="shared" si="12"/>
        <v>0</v>
      </c>
      <c r="AX43" s="1378">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78">
        <f t="shared" si="11"/>
        <v>0</v>
      </c>
      <c r="AW44" s="1378">
        <f t="shared" si="12"/>
        <v>0</v>
      </c>
      <c r="AX44" s="1378">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78">
        <f t="shared" si="11"/>
        <v>0</v>
      </c>
      <c r="AW45" s="1378">
        <f t="shared" si="12"/>
        <v>0</v>
      </c>
      <c r="AX45" s="1378">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78">
        <f t="shared" si="11"/>
        <v>0</v>
      </c>
      <c r="AW46" s="1378">
        <f t="shared" si="12"/>
        <v>0</v>
      </c>
      <c r="AX46" s="1378">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78">
        <f t="shared" si="11"/>
        <v>0</v>
      </c>
      <c r="AW47" s="1378">
        <f t="shared" si="12"/>
        <v>0</v>
      </c>
      <c r="AX47" s="1378">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78">
        <f t="shared" si="11"/>
        <v>0</v>
      </c>
      <c r="AW48" s="1378">
        <f t="shared" si="12"/>
        <v>0</v>
      </c>
      <c r="AX48" s="1378">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78">
        <f t="shared" si="11"/>
        <v>0</v>
      </c>
      <c r="AW49" s="1378">
        <f t="shared" si="12"/>
        <v>0</v>
      </c>
      <c r="AX49" s="1378">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78">
        <f t="shared" si="11"/>
        <v>0</v>
      </c>
      <c r="AW50" s="1378">
        <f t="shared" si="12"/>
        <v>0</v>
      </c>
      <c r="AX50" s="1378">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78">
        <f t="shared" si="11"/>
        <v>0</v>
      </c>
      <c r="AW51" s="1378">
        <f t="shared" si="12"/>
        <v>0</v>
      </c>
      <c r="AX51" s="1378">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78">
        <f t="shared" si="11"/>
        <v>0</v>
      </c>
      <c r="AW52" s="1378">
        <f t="shared" si="12"/>
        <v>0</v>
      </c>
      <c r="AX52" s="1378">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78">
        <f t="shared" si="11"/>
        <v>0</v>
      </c>
      <c r="AW53" s="1378">
        <f t="shared" si="12"/>
        <v>0</v>
      </c>
      <c r="AX53" s="1378">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78">
        <f t="shared" si="11"/>
        <v>0</v>
      </c>
      <c r="AW54" s="1378">
        <f t="shared" si="12"/>
        <v>0</v>
      </c>
      <c r="AX54" s="1378">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78">
        <f t="shared" si="11"/>
        <v>0</v>
      </c>
      <c r="AW55" s="1378">
        <f t="shared" si="12"/>
        <v>0</v>
      </c>
      <c r="AX55" s="1378">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78">
        <f t="shared" si="11"/>
        <v>0</v>
      </c>
      <c r="AW56" s="1378">
        <f t="shared" si="12"/>
        <v>0</v>
      </c>
      <c r="AX56" s="1378">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78">
        <f t="shared" si="11"/>
        <v>0</v>
      </c>
      <c r="AW57" s="1378">
        <f t="shared" si="12"/>
        <v>0</v>
      </c>
      <c r="AX57" s="1378">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78">
        <f t="shared" si="11"/>
        <v>0</v>
      </c>
      <c r="AW58" s="1378">
        <f t="shared" si="12"/>
        <v>0</v>
      </c>
      <c r="AX58" s="1378">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78">
        <f t="shared" si="11"/>
        <v>0</v>
      </c>
      <c r="AW59" s="1378">
        <f t="shared" si="12"/>
        <v>0</v>
      </c>
      <c r="AX59" s="1378">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78">
        <f t="shared" si="11"/>
        <v>0</v>
      </c>
      <c r="AW60" s="1378">
        <f t="shared" si="12"/>
        <v>0</v>
      </c>
      <c r="AX60" s="1378">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78">
        <f t="shared" si="11"/>
        <v>0</v>
      </c>
      <c r="AW61" s="1378">
        <f t="shared" si="12"/>
        <v>0</v>
      </c>
      <c r="AX61" s="1378">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78">
        <f t="shared" si="11"/>
        <v>0</v>
      </c>
      <c r="AW62" s="1378">
        <f t="shared" si="12"/>
        <v>0</v>
      </c>
      <c r="AX62" s="1378">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78">
        <f t="shared" si="11"/>
        <v>0</v>
      </c>
      <c r="AW63" s="1378">
        <f t="shared" si="12"/>
        <v>0</v>
      </c>
      <c r="AX63" s="1378">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78">
        <f t="shared" si="11"/>
        <v>0</v>
      </c>
      <c r="AW64" s="1378">
        <f t="shared" si="12"/>
        <v>0</v>
      </c>
      <c r="AX64" s="1378">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78">
        <f t="shared" si="11"/>
        <v>0</v>
      </c>
      <c r="AW65" s="1378">
        <f t="shared" si="12"/>
        <v>0</v>
      </c>
      <c r="AX65" s="1378">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78">
        <f t="shared" si="11"/>
        <v>0</v>
      </c>
      <c r="AW66" s="1378">
        <f t="shared" si="12"/>
        <v>0</v>
      </c>
      <c r="AX66" s="1378">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78">
        <f t="shared" si="11"/>
        <v>0</v>
      </c>
      <c r="AW67" s="1378">
        <f t="shared" si="12"/>
        <v>0</v>
      </c>
      <c r="AX67" s="1378">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78">
        <f t="shared" si="11"/>
        <v>0</v>
      </c>
      <c r="AW68" s="1378">
        <f t="shared" si="12"/>
        <v>0</v>
      </c>
      <c r="AX68" s="1378">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78">
        <f t="shared" si="11"/>
        <v>0</v>
      </c>
      <c r="AW69" s="1378">
        <f t="shared" si="12"/>
        <v>0</v>
      </c>
      <c r="AX69" s="1378">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78">
        <f t="shared" si="11"/>
        <v>0</v>
      </c>
      <c r="AW70" s="1378">
        <f t="shared" si="12"/>
        <v>0</v>
      </c>
      <c r="AX70" s="1378">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78">
        <f t="shared" si="11"/>
        <v>0</v>
      </c>
      <c r="AW71" s="1378">
        <f t="shared" si="12"/>
        <v>0</v>
      </c>
      <c r="AX71" s="1378">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78">
        <f t="shared" si="11"/>
        <v>0</v>
      </c>
      <c r="AW72" s="1378">
        <f t="shared" si="12"/>
        <v>0</v>
      </c>
      <c r="AX72" s="1378">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78">
        <f t="shared" si="11"/>
        <v>0</v>
      </c>
      <c r="AW73" s="1378">
        <f t="shared" si="12"/>
        <v>0</v>
      </c>
      <c r="AX73" s="1378">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78">
        <f t="shared" si="11"/>
        <v>0</v>
      </c>
      <c r="AW74" s="1378">
        <f t="shared" si="12"/>
        <v>0</v>
      </c>
      <c r="AX74" s="1378">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78">
        <f t="shared" si="11"/>
        <v>0</v>
      </c>
      <c r="AW75" s="1378">
        <f t="shared" si="12"/>
        <v>0</v>
      </c>
      <c r="AX75" s="1378">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78">
        <f t="shared" si="11"/>
        <v>0</v>
      </c>
      <c r="AW76" s="1378">
        <f t="shared" si="12"/>
        <v>0</v>
      </c>
      <c r="AX76" s="1378">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78">
        <f t="shared" si="11"/>
        <v>0</v>
      </c>
      <c r="AW77" s="1378">
        <f t="shared" si="12"/>
        <v>0</v>
      </c>
      <c r="AX77" s="1378">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78">
        <f t="shared" si="11"/>
        <v>0</v>
      </c>
      <c r="AW78" s="1378">
        <f t="shared" si="12"/>
        <v>0</v>
      </c>
      <c r="AX78" s="1378">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78">
        <f t="shared" si="11"/>
        <v>0</v>
      </c>
      <c r="AW79" s="1378">
        <f t="shared" si="12"/>
        <v>0</v>
      </c>
      <c r="AX79" s="1378">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78">
        <f t="shared" si="11"/>
        <v>0</v>
      </c>
      <c r="AW80" s="1378">
        <f t="shared" si="12"/>
        <v>0</v>
      </c>
      <c r="AX80" s="1378">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78">
        <f t="shared" si="11"/>
        <v>0</v>
      </c>
      <c r="AW81" s="1378">
        <f t="shared" si="12"/>
        <v>0</v>
      </c>
      <c r="AX81" s="1378">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78">
        <f t="shared" si="11"/>
        <v>0</v>
      </c>
      <c r="AW82" s="1378">
        <f t="shared" si="12"/>
        <v>0</v>
      </c>
      <c r="AX82" s="1378">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78">
        <f t="shared" si="11"/>
        <v>0</v>
      </c>
      <c r="AW83" s="1378">
        <f t="shared" si="12"/>
        <v>0</v>
      </c>
      <c r="AX83" s="1378">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78">
        <f t="shared" si="11"/>
        <v>0</v>
      </c>
      <c r="AW84" s="1378">
        <f t="shared" si="12"/>
        <v>0</v>
      </c>
      <c r="AX84" s="1378">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78">
        <f t="shared" si="11"/>
        <v>0</v>
      </c>
      <c r="AW85" s="1378">
        <f t="shared" si="12"/>
        <v>0</v>
      </c>
      <c r="AX85" s="1378">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78">
        <f t="shared" si="11"/>
        <v>0</v>
      </c>
      <c r="AW86" s="1378">
        <f t="shared" si="12"/>
        <v>0</v>
      </c>
      <c r="AX86" s="1378">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78">
        <f t="shared" si="11"/>
        <v>0</v>
      </c>
      <c r="AW87" s="1378">
        <f t="shared" si="12"/>
        <v>0</v>
      </c>
      <c r="AX87" s="1378">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78">
        <f t="shared" si="11"/>
        <v>0</v>
      </c>
      <c r="AW88" s="1378">
        <f t="shared" si="12"/>
        <v>0</v>
      </c>
      <c r="AX88" s="1378">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78">
        <f t="shared" si="11"/>
        <v>0</v>
      </c>
      <c r="AW89" s="1378">
        <f t="shared" si="12"/>
        <v>0</v>
      </c>
      <c r="AX89" s="1378">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78">
        <f t="shared" si="11"/>
        <v>0</v>
      </c>
      <c r="AW90" s="1378">
        <f t="shared" si="12"/>
        <v>0</v>
      </c>
      <c r="AX90" s="1378">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78">
        <f t="shared" si="11"/>
        <v>0</v>
      </c>
      <c r="AW91" s="1378">
        <f t="shared" si="12"/>
        <v>0</v>
      </c>
      <c r="AX91" s="1378">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78">
        <f t="shared" si="11"/>
        <v>0</v>
      </c>
      <c r="AW92" s="1378">
        <f t="shared" si="12"/>
        <v>0</v>
      </c>
      <c r="AX92" s="1378">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78">
        <f t="shared" si="11"/>
        <v>0</v>
      </c>
      <c r="AW93" s="1378">
        <f t="shared" si="12"/>
        <v>0</v>
      </c>
      <c r="AX93" s="1378">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78">
        <f t="shared" si="11"/>
        <v>0</v>
      </c>
      <c r="AW94" s="1378">
        <f t="shared" si="12"/>
        <v>0</v>
      </c>
      <c r="AX94" s="1378">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78">
        <f t="shared" si="11"/>
        <v>0</v>
      </c>
      <c r="AW95" s="1378">
        <f t="shared" si="12"/>
        <v>0</v>
      </c>
      <c r="AX95" s="1378">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78">
        <f t="shared" si="11"/>
        <v>0</v>
      </c>
      <c r="AW96" s="1378">
        <f t="shared" si="12"/>
        <v>0</v>
      </c>
      <c r="AX96" s="1378">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78">
        <f t="shared" si="11"/>
        <v>0</v>
      </c>
      <c r="AW97" s="1378">
        <f t="shared" si="12"/>
        <v>0</v>
      </c>
      <c r="AX97" s="1378">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78">
        <f t="shared" si="11"/>
        <v>0</v>
      </c>
      <c r="AW98" s="1378">
        <f t="shared" si="12"/>
        <v>0</v>
      </c>
      <c r="AX98" s="1378">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78">
        <f t="shared" si="11"/>
        <v>0</v>
      </c>
      <c r="AW99" s="1378">
        <f t="shared" si="12"/>
        <v>0</v>
      </c>
      <c r="AX99" s="1378">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78">
        <f t="shared" si="11"/>
        <v>0</v>
      </c>
      <c r="AW100" s="1378">
        <f t="shared" si="12"/>
        <v>0</v>
      </c>
      <c r="AX100" s="1378">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78">
        <f t="shared" si="11"/>
        <v>0</v>
      </c>
      <c r="AW101" s="1378">
        <f t="shared" si="12"/>
        <v>0</v>
      </c>
      <c r="AX101" s="1378">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78">
        <f t="shared" si="11"/>
        <v>0</v>
      </c>
      <c r="AW102" s="1378">
        <f t="shared" si="12"/>
        <v>0</v>
      </c>
      <c r="AX102" s="1378">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78">
        <f t="shared" si="11"/>
        <v>0</v>
      </c>
      <c r="AW103" s="1378">
        <f t="shared" si="12"/>
        <v>0</v>
      </c>
      <c r="AX103" s="1378">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78">
        <f t="shared" si="11"/>
        <v>0</v>
      </c>
      <c r="AW104" s="1378">
        <f t="shared" si="12"/>
        <v>0</v>
      </c>
      <c r="AX104" s="1378">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78">
        <f t="shared" si="11"/>
        <v>0</v>
      </c>
      <c r="AW105" s="1378">
        <f t="shared" si="12"/>
        <v>0</v>
      </c>
      <c r="AX105" s="1378">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78">
        <f t="shared" si="11"/>
        <v>0</v>
      </c>
      <c r="AW106" s="1378">
        <f t="shared" si="12"/>
        <v>0</v>
      </c>
      <c r="AX106" s="1378">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78">
        <f t="shared" si="11"/>
        <v>0</v>
      </c>
      <c r="AW107" s="1378">
        <f t="shared" si="12"/>
        <v>0</v>
      </c>
      <c r="AX107" s="1378">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78">
        <f t="shared" si="11"/>
        <v>0</v>
      </c>
      <c r="AW108" s="1378">
        <f t="shared" si="12"/>
        <v>0</v>
      </c>
      <c r="AX108" s="1378">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78">
        <f t="shared" si="11"/>
        <v>0</v>
      </c>
      <c r="AW109" s="1378">
        <f t="shared" si="12"/>
        <v>0</v>
      </c>
      <c r="AX109" s="1378">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78">
        <f t="shared" si="11"/>
        <v>0</v>
      </c>
      <c r="AW110" s="1378">
        <f t="shared" si="12"/>
        <v>0</v>
      </c>
      <c r="AX110" s="1378">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78">
        <f t="shared" si="11"/>
        <v>0</v>
      </c>
      <c r="AW111" s="1378">
        <f t="shared" si="12"/>
        <v>0</v>
      </c>
      <c r="AX111" s="1378">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78">
        <f t="shared" si="11"/>
        <v>0</v>
      </c>
      <c r="AW112" s="1378">
        <f t="shared" si="12"/>
        <v>0</v>
      </c>
      <c r="AX112" s="1378">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78">
        <f t="shared" ref="AV113:AV144" si="62">A113</f>
        <v>0</v>
      </c>
      <c r="AW113" s="1378">
        <f t="shared" ref="AW113:AW144" si="63">B113</f>
        <v>0</v>
      </c>
      <c r="AX113" s="1378">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78">
        <f t="shared" si="62"/>
        <v>0</v>
      </c>
      <c r="AW114" s="1378">
        <f t="shared" si="63"/>
        <v>0</v>
      </c>
      <c r="AX114" s="1378">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78">
        <f t="shared" si="62"/>
        <v>0</v>
      </c>
      <c r="AW115" s="1378">
        <f t="shared" si="63"/>
        <v>0</v>
      </c>
      <c r="AX115" s="1378">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78">
        <f t="shared" si="62"/>
        <v>0</v>
      </c>
      <c r="AW116" s="1378">
        <f t="shared" si="63"/>
        <v>0</v>
      </c>
      <c r="AX116" s="1378">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78">
        <f t="shared" si="62"/>
        <v>0</v>
      </c>
      <c r="AW117" s="1378">
        <f t="shared" si="63"/>
        <v>0</v>
      </c>
      <c r="AX117" s="1378">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78">
        <f t="shared" si="62"/>
        <v>0</v>
      </c>
      <c r="AW118" s="1378">
        <f t="shared" si="63"/>
        <v>0</v>
      </c>
      <c r="AX118" s="1378">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78">
        <f t="shared" si="62"/>
        <v>0</v>
      </c>
      <c r="AW119" s="1378">
        <f t="shared" si="63"/>
        <v>0</v>
      </c>
      <c r="AX119" s="1378">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78">
        <f t="shared" si="62"/>
        <v>0</v>
      </c>
      <c r="AW120" s="1378">
        <f t="shared" si="63"/>
        <v>0</v>
      </c>
      <c r="AX120" s="1378">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78">
        <f t="shared" si="62"/>
        <v>0</v>
      </c>
      <c r="AW121" s="1378">
        <f t="shared" si="63"/>
        <v>0</v>
      </c>
      <c r="AX121" s="1378">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78">
        <f t="shared" si="62"/>
        <v>0</v>
      </c>
      <c r="AW122" s="1378">
        <f t="shared" si="63"/>
        <v>0</v>
      </c>
      <c r="AX122" s="1378">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78">
        <f t="shared" si="62"/>
        <v>0</v>
      </c>
      <c r="AW123" s="1378">
        <f t="shared" si="63"/>
        <v>0</v>
      </c>
      <c r="AX123" s="1378">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78">
        <f t="shared" si="62"/>
        <v>0</v>
      </c>
      <c r="AW124" s="1378">
        <f t="shared" si="63"/>
        <v>0</v>
      </c>
      <c r="AX124" s="1378">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78">
        <f t="shared" si="62"/>
        <v>0</v>
      </c>
      <c r="AW125" s="1378">
        <f t="shared" si="63"/>
        <v>0</v>
      </c>
      <c r="AX125" s="1378">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78">
        <f t="shared" si="62"/>
        <v>0</v>
      </c>
      <c r="AW126" s="1378">
        <f t="shared" si="63"/>
        <v>0</v>
      </c>
      <c r="AX126" s="1378">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78">
        <f t="shared" si="62"/>
        <v>0</v>
      </c>
      <c r="AW127" s="1378">
        <f t="shared" si="63"/>
        <v>0</v>
      </c>
      <c r="AX127" s="1378">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78">
        <f t="shared" si="62"/>
        <v>0</v>
      </c>
      <c r="AW128" s="1378">
        <f t="shared" si="63"/>
        <v>0</v>
      </c>
      <c r="AX128" s="1378">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78">
        <f t="shared" si="62"/>
        <v>0</v>
      </c>
      <c r="AW129" s="1378">
        <f t="shared" si="63"/>
        <v>0</v>
      </c>
      <c r="AX129" s="1378">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78">
        <f t="shared" si="62"/>
        <v>0</v>
      </c>
      <c r="AW130" s="1378">
        <f t="shared" si="63"/>
        <v>0</v>
      </c>
      <c r="AX130" s="1378">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78">
        <f t="shared" si="62"/>
        <v>0</v>
      </c>
      <c r="AW131" s="1378">
        <f t="shared" si="63"/>
        <v>0</v>
      </c>
      <c r="AX131" s="1378">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78">
        <f t="shared" si="62"/>
        <v>0</v>
      </c>
      <c r="AW132" s="1378">
        <f t="shared" si="63"/>
        <v>0</v>
      </c>
      <c r="AX132" s="1378">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78">
        <f t="shared" si="62"/>
        <v>0</v>
      </c>
      <c r="AW133" s="1378">
        <f t="shared" si="63"/>
        <v>0</v>
      </c>
      <c r="AX133" s="1378">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78">
        <f t="shared" si="62"/>
        <v>0</v>
      </c>
      <c r="AW134" s="1378">
        <f t="shared" si="63"/>
        <v>0</v>
      </c>
      <c r="AX134" s="1378">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78">
        <f t="shared" si="62"/>
        <v>0</v>
      </c>
      <c r="AW135" s="1378">
        <f t="shared" si="63"/>
        <v>0</v>
      </c>
      <c r="AX135" s="1378">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78">
        <f t="shared" si="62"/>
        <v>0</v>
      </c>
      <c r="AW136" s="1378">
        <f t="shared" si="63"/>
        <v>0</v>
      </c>
      <c r="AX136" s="1378">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78">
        <f t="shared" si="62"/>
        <v>0</v>
      </c>
      <c r="AW137" s="1378">
        <f t="shared" si="63"/>
        <v>0</v>
      </c>
      <c r="AX137" s="1378">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78">
        <f t="shared" si="62"/>
        <v>0</v>
      </c>
      <c r="AW138" s="1378">
        <f t="shared" si="63"/>
        <v>0</v>
      </c>
      <c r="AX138" s="1378">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78">
        <f t="shared" si="62"/>
        <v>0</v>
      </c>
      <c r="AW139" s="1378">
        <f t="shared" si="63"/>
        <v>0</v>
      </c>
      <c r="AX139" s="1378">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78">
        <f t="shared" si="62"/>
        <v>0</v>
      </c>
      <c r="AW140" s="1378">
        <f t="shared" si="63"/>
        <v>0</v>
      </c>
      <c r="AX140" s="1378">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78">
        <f t="shared" si="62"/>
        <v>0</v>
      </c>
      <c r="AW141" s="1378">
        <f t="shared" si="63"/>
        <v>0</v>
      </c>
      <c r="AX141" s="1378">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78">
        <f t="shared" si="62"/>
        <v>0</v>
      </c>
      <c r="AW142" s="1378">
        <f t="shared" si="63"/>
        <v>0</v>
      </c>
      <c r="AX142" s="1378">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78">
        <f t="shared" si="62"/>
        <v>0</v>
      </c>
      <c r="AW143" s="1378">
        <f t="shared" si="63"/>
        <v>0</v>
      </c>
      <c r="AX143" s="1378">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78">
        <f t="shared" si="62"/>
        <v>0</v>
      </c>
      <c r="AW144" s="1378">
        <f t="shared" si="63"/>
        <v>0</v>
      </c>
      <c r="AX144" s="1378">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78">
        <f t="shared" ref="AV145:AV176" si="91">A145</f>
        <v>0</v>
      </c>
      <c r="AW145" s="1378">
        <f t="shared" ref="AW145:AW176" si="92">B145</f>
        <v>0</v>
      </c>
      <c r="AX145" s="1378">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78">
        <f t="shared" si="91"/>
        <v>0</v>
      </c>
      <c r="AW146" s="1378">
        <f t="shared" si="92"/>
        <v>0</v>
      </c>
      <c r="AX146" s="1378">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78">
        <f t="shared" si="91"/>
        <v>0</v>
      </c>
      <c r="AW147" s="1378">
        <f t="shared" si="92"/>
        <v>0</v>
      </c>
      <c r="AX147" s="1378">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78">
        <f t="shared" si="91"/>
        <v>0</v>
      </c>
      <c r="AW148" s="1378">
        <f t="shared" si="92"/>
        <v>0</v>
      </c>
      <c r="AX148" s="1378">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78">
        <f t="shared" si="91"/>
        <v>0</v>
      </c>
      <c r="AW149" s="1378">
        <f t="shared" si="92"/>
        <v>0</v>
      </c>
      <c r="AX149" s="1378">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78">
        <f t="shared" si="91"/>
        <v>0</v>
      </c>
      <c r="AW150" s="1378">
        <f t="shared" si="92"/>
        <v>0</v>
      </c>
      <c r="AX150" s="1378">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78">
        <f t="shared" si="91"/>
        <v>0</v>
      </c>
      <c r="AW151" s="1378">
        <f t="shared" si="92"/>
        <v>0</v>
      </c>
      <c r="AX151" s="1378">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78">
        <f t="shared" si="91"/>
        <v>0</v>
      </c>
      <c r="AW152" s="1378">
        <f t="shared" si="92"/>
        <v>0</v>
      </c>
      <c r="AX152" s="1378">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78">
        <f t="shared" si="91"/>
        <v>0</v>
      </c>
      <c r="AW153" s="1378">
        <f t="shared" si="92"/>
        <v>0</v>
      </c>
      <c r="AX153" s="1378">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78">
        <f t="shared" si="91"/>
        <v>0</v>
      </c>
      <c r="AW154" s="1378">
        <f t="shared" si="92"/>
        <v>0</v>
      </c>
      <c r="AX154" s="1378">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78">
        <f t="shared" si="91"/>
        <v>0</v>
      </c>
      <c r="AW155" s="1378">
        <f t="shared" si="92"/>
        <v>0</v>
      </c>
      <c r="AX155" s="1378">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78">
        <f t="shared" si="91"/>
        <v>0</v>
      </c>
      <c r="AW156" s="1378">
        <f t="shared" si="92"/>
        <v>0</v>
      </c>
      <c r="AX156" s="1378">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78">
        <f t="shared" si="91"/>
        <v>0</v>
      </c>
      <c r="AW157" s="1378">
        <f t="shared" si="92"/>
        <v>0</v>
      </c>
      <c r="AX157" s="1378">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78">
        <f t="shared" si="91"/>
        <v>0</v>
      </c>
      <c r="AW158" s="1378">
        <f t="shared" si="92"/>
        <v>0</v>
      </c>
      <c r="AX158" s="1378">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78">
        <f t="shared" si="91"/>
        <v>0</v>
      </c>
      <c r="AW159" s="1378">
        <f t="shared" si="92"/>
        <v>0</v>
      </c>
      <c r="AX159" s="1378">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78">
        <f t="shared" si="91"/>
        <v>0</v>
      </c>
      <c r="AW160" s="1378">
        <f t="shared" si="92"/>
        <v>0</v>
      </c>
      <c r="AX160" s="1378">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78">
        <f t="shared" si="91"/>
        <v>0</v>
      </c>
      <c r="AW161" s="1378">
        <f t="shared" si="92"/>
        <v>0</v>
      </c>
      <c r="AX161" s="1378">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78">
        <f t="shared" si="91"/>
        <v>0</v>
      </c>
      <c r="AW162" s="1378">
        <f t="shared" si="92"/>
        <v>0</v>
      </c>
      <c r="AX162" s="1378">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78">
        <f t="shared" si="91"/>
        <v>0</v>
      </c>
      <c r="AW163" s="1378">
        <f t="shared" si="92"/>
        <v>0</v>
      </c>
      <c r="AX163" s="1378">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78">
        <f t="shared" si="91"/>
        <v>0</v>
      </c>
      <c r="AW164" s="1378">
        <f t="shared" si="92"/>
        <v>0</v>
      </c>
      <c r="AX164" s="1378">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78">
        <f t="shared" si="91"/>
        <v>0</v>
      </c>
      <c r="AW165" s="1378">
        <f t="shared" si="92"/>
        <v>0</v>
      </c>
      <c r="AX165" s="1378">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78">
        <f t="shared" si="91"/>
        <v>0</v>
      </c>
      <c r="AW166" s="1378">
        <f t="shared" si="92"/>
        <v>0</v>
      </c>
      <c r="AX166" s="1378">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78">
        <f t="shared" si="91"/>
        <v>0</v>
      </c>
      <c r="AW167" s="1378">
        <f t="shared" si="92"/>
        <v>0</v>
      </c>
      <c r="AX167" s="1378">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78">
        <f t="shared" si="91"/>
        <v>0</v>
      </c>
      <c r="AW168" s="1378">
        <f t="shared" si="92"/>
        <v>0</v>
      </c>
      <c r="AX168" s="1378">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78">
        <f t="shared" si="91"/>
        <v>0</v>
      </c>
      <c r="AW169" s="1378">
        <f t="shared" si="92"/>
        <v>0</v>
      </c>
      <c r="AX169" s="1378">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78">
        <f t="shared" si="91"/>
        <v>0</v>
      </c>
      <c r="AW170" s="1378">
        <f t="shared" si="92"/>
        <v>0</v>
      </c>
      <c r="AX170" s="1378">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78">
        <f t="shared" si="91"/>
        <v>0</v>
      </c>
      <c r="AW171" s="1378">
        <f t="shared" si="92"/>
        <v>0</v>
      </c>
      <c r="AX171" s="1378">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78">
        <f t="shared" si="91"/>
        <v>0</v>
      </c>
      <c r="AW172" s="1378">
        <f t="shared" si="92"/>
        <v>0</v>
      </c>
      <c r="AX172" s="1378">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78">
        <f t="shared" si="91"/>
        <v>0</v>
      </c>
      <c r="AW173" s="1378">
        <f t="shared" si="92"/>
        <v>0</v>
      </c>
      <c r="AX173" s="1378">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78">
        <f t="shared" si="91"/>
        <v>0</v>
      </c>
      <c r="AW174" s="1378">
        <f t="shared" si="92"/>
        <v>0</v>
      </c>
      <c r="AX174" s="1378">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78">
        <f t="shared" si="91"/>
        <v>0</v>
      </c>
      <c r="AW175" s="1378">
        <f t="shared" si="92"/>
        <v>0</v>
      </c>
      <c r="AX175" s="1378">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78">
        <f t="shared" si="91"/>
        <v>0</v>
      </c>
      <c r="AW176" s="1378">
        <f t="shared" si="92"/>
        <v>0</v>
      </c>
      <c r="AX176" s="1378">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78">
        <f t="shared" ref="AV177:AV207" si="120">A177</f>
        <v>0</v>
      </c>
      <c r="AW177" s="1378">
        <f t="shared" ref="AW177:AW207" si="121">B177</f>
        <v>0</v>
      </c>
      <c r="AX177" s="1378">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78">
        <f t="shared" si="120"/>
        <v>0</v>
      </c>
      <c r="AW178" s="1378">
        <f t="shared" si="121"/>
        <v>0</v>
      </c>
      <c r="AX178" s="1378">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78">
        <f t="shared" si="120"/>
        <v>0</v>
      </c>
      <c r="AW179" s="1378">
        <f t="shared" si="121"/>
        <v>0</v>
      </c>
      <c r="AX179" s="1378">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78">
        <f t="shared" si="120"/>
        <v>0</v>
      </c>
      <c r="AW180" s="1378">
        <f t="shared" si="121"/>
        <v>0</v>
      </c>
      <c r="AX180" s="1378">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78">
        <f t="shared" si="120"/>
        <v>0</v>
      </c>
      <c r="AW181" s="1378">
        <f t="shared" si="121"/>
        <v>0</v>
      </c>
      <c r="AX181" s="1378">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78">
        <f t="shared" si="120"/>
        <v>0</v>
      </c>
      <c r="AW182" s="1378">
        <f t="shared" si="121"/>
        <v>0</v>
      </c>
      <c r="AX182" s="1378">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78">
        <f t="shared" si="120"/>
        <v>0</v>
      </c>
      <c r="AW183" s="1378">
        <f t="shared" si="121"/>
        <v>0</v>
      </c>
      <c r="AX183" s="1378">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78">
        <f t="shared" si="120"/>
        <v>0</v>
      </c>
      <c r="AW184" s="1378">
        <f t="shared" si="121"/>
        <v>0</v>
      </c>
      <c r="AX184" s="1378">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78">
        <f t="shared" si="120"/>
        <v>0</v>
      </c>
      <c r="AW185" s="1378">
        <f t="shared" si="121"/>
        <v>0</v>
      </c>
      <c r="AX185" s="1378">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78">
        <f t="shared" si="120"/>
        <v>0</v>
      </c>
      <c r="AW186" s="1378">
        <f t="shared" si="121"/>
        <v>0</v>
      </c>
      <c r="AX186" s="1378">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78">
        <f t="shared" si="120"/>
        <v>0</v>
      </c>
      <c r="AW187" s="1378">
        <f t="shared" si="121"/>
        <v>0</v>
      </c>
      <c r="AX187" s="1378">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78">
        <f t="shared" si="120"/>
        <v>0</v>
      </c>
      <c r="AW188" s="1378">
        <f t="shared" si="121"/>
        <v>0</v>
      </c>
      <c r="AX188" s="1378">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78">
        <f t="shared" si="120"/>
        <v>0</v>
      </c>
      <c r="AW189" s="1378">
        <f t="shared" si="121"/>
        <v>0</v>
      </c>
      <c r="AX189" s="1378">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78">
        <f t="shared" si="120"/>
        <v>0</v>
      </c>
      <c r="AW190" s="1378">
        <f t="shared" si="121"/>
        <v>0</v>
      </c>
      <c r="AX190" s="1378">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78">
        <f t="shared" si="120"/>
        <v>0</v>
      </c>
      <c r="AW191" s="1378">
        <f t="shared" si="121"/>
        <v>0</v>
      </c>
      <c r="AX191" s="1378">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78">
        <f t="shared" si="120"/>
        <v>0</v>
      </c>
      <c r="AW192" s="1378">
        <f t="shared" si="121"/>
        <v>0</v>
      </c>
      <c r="AX192" s="1378">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78">
        <f t="shared" si="120"/>
        <v>0</v>
      </c>
      <c r="AW193" s="1378">
        <f t="shared" si="121"/>
        <v>0</v>
      </c>
      <c r="AX193" s="1378">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78">
        <f t="shared" si="120"/>
        <v>0</v>
      </c>
      <c r="AW194" s="1378">
        <f t="shared" si="121"/>
        <v>0</v>
      </c>
      <c r="AX194" s="1378">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78">
        <f t="shared" si="120"/>
        <v>0</v>
      </c>
      <c r="AW195" s="1378">
        <f t="shared" si="121"/>
        <v>0</v>
      </c>
      <c r="AX195" s="1378">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78">
        <f t="shared" si="120"/>
        <v>0</v>
      </c>
      <c r="AW196" s="1378">
        <f t="shared" si="121"/>
        <v>0</v>
      </c>
      <c r="AX196" s="1378">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78">
        <f t="shared" si="120"/>
        <v>0</v>
      </c>
      <c r="AW197" s="1378">
        <f t="shared" si="121"/>
        <v>0</v>
      </c>
      <c r="AX197" s="1378">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78">
        <f t="shared" si="120"/>
        <v>0</v>
      </c>
      <c r="AW198" s="1378">
        <f t="shared" si="121"/>
        <v>0</v>
      </c>
      <c r="AX198" s="1378">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78">
        <f t="shared" si="120"/>
        <v>0</v>
      </c>
      <c r="AW199" s="1378">
        <f t="shared" si="121"/>
        <v>0</v>
      </c>
      <c r="AX199" s="1378">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78">
        <f t="shared" si="120"/>
        <v>0</v>
      </c>
      <c r="AW200" s="1378">
        <f t="shared" si="121"/>
        <v>0</v>
      </c>
      <c r="AX200" s="1378">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78">
        <f t="shared" si="120"/>
        <v>0</v>
      </c>
      <c r="AW201" s="1378">
        <f t="shared" si="121"/>
        <v>0</v>
      </c>
      <c r="AX201" s="1378">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78">
        <f t="shared" si="120"/>
        <v>0</v>
      </c>
      <c r="AW202" s="1378">
        <f t="shared" si="121"/>
        <v>0</v>
      </c>
      <c r="AX202" s="1378">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78">
        <f t="shared" si="120"/>
        <v>0</v>
      </c>
      <c r="AW203" s="1378">
        <f t="shared" si="121"/>
        <v>0</v>
      </c>
      <c r="AX203" s="1378">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78">
        <f t="shared" si="120"/>
        <v>0</v>
      </c>
      <c r="AW204" s="1378">
        <f t="shared" si="121"/>
        <v>0</v>
      </c>
      <c r="AX204" s="1378">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78">
        <f t="shared" si="120"/>
        <v>0</v>
      </c>
      <c r="AW205" s="1378">
        <f t="shared" si="121"/>
        <v>0</v>
      </c>
      <c r="AX205" s="1378">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78">
        <f t="shared" si="120"/>
        <v>0</v>
      </c>
      <c r="AW206" s="1378">
        <f t="shared" si="121"/>
        <v>0</v>
      </c>
      <c r="AX206" s="1378">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78">
        <f t="shared" si="120"/>
        <v>0</v>
      </c>
      <c r="AW207" s="1378">
        <f t="shared" si="121"/>
        <v>0</v>
      </c>
      <c r="AX207" s="1378">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78">
        <f t="shared" ref="AV208:AV302" si="127">A208</f>
        <v>0</v>
      </c>
      <c r="AW208" s="1378">
        <f t="shared" ref="AW208:AW302" si="128">B208</f>
        <v>0</v>
      </c>
      <c r="AX208" s="1378">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78">
        <f t="shared" si="127"/>
        <v>0</v>
      </c>
      <c r="AW209" s="1378">
        <f t="shared" si="128"/>
        <v>0</v>
      </c>
      <c r="AX209" s="1378">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78">
        <f t="shared" si="127"/>
        <v>0</v>
      </c>
      <c r="AW210" s="1378">
        <f t="shared" si="128"/>
        <v>0</v>
      </c>
      <c r="AX210" s="1378">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78">
        <f t="shared" si="127"/>
        <v>0</v>
      </c>
      <c r="AW211" s="1378">
        <f t="shared" si="128"/>
        <v>0</v>
      </c>
      <c r="AX211" s="1378">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78">
        <f t="shared" si="127"/>
        <v>0</v>
      </c>
      <c r="AW212" s="1378">
        <f t="shared" si="128"/>
        <v>0</v>
      </c>
      <c r="AX212" s="1378">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78">
        <f t="shared" si="127"/>
        <v>0</v>
      </c>
      <c r="AW213" s="1378">
        <f t="shared" si="128"/>
        <v>0</v>
      </c>
      <c r="AX213" s="1378">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78">
        <f t="shared" si="127"/>
        <v>0</v>
      </c>
      <c r="AW214" s="1378">
        <f t="shared" si="128"/>
        <v>0</v>
      </c>
      <c r="AX214" s="1378">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78">
        <f t="shared" si="127"/>
        <v>0</v>
      </c>
      <c r="AW215" s="1378">
        <f t="shared" si="128"/>
        <v>0</v>
      </c>
      <c r="AX215" s="1378">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78">
        <f t="shared" si="127"/>
        <v>0</v>
      </c>
      <c r="AW216" s="1378">
        <f t="shared" si="128"/>
        <v>0</v>
      </c>
      <c r="AX216" s="1378">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78">
        <f t="shared" si="127"/>
        <v>0</v>
      </c>
      <c r="AW217" s="1378">
        <f t="shared" si="128"/>
        <v>0</v>
      </c>
      <c r="AX217" s="1378">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78">
        <f t="shared" si="127"/>
        <v>0</v>
      </c>
      <c r="AW218" s="1378">
        <f t="shared" si="128"/>
        <v>0</v>
      </c>
      <c r="AX218" s="1378">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78">
        <f t="shared" si="127"/>
        <v>0</v>
      </c>
      <c r="AW219" s="1378">
        <f t="shared" si="128"/>
        <v>0</v>
      </c>
      <c r="AX219" s="1378">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78">
        <f t="shared" si="127"/>
        <v>0</v>
      </c>
      <c r="AW220" s="1378">
        <f t="shared" si="128"/>
        <v>0</v>
      </c>
      <c r="AX220" s="1378">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78">
        <f t="shared" si="127"/>
        <v>0</v>
      </c>
      <c r="AW221" s="1378">
        <f t="shared" si="128"/>
        <v>0</v>
      </c>
      <c r="AX221" s="1378">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78">
        <f t="shared" si="127"/>
        <v>0</v>
      </c>
      <c r="AW222" s="1378">
        <f t="shared" si="128"/>
        <v>0</v>
      </c>
      <c r="AX222" s="1378">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78">
        <f t="shared" si="127"/>
        <v>0</v>
      </c>
      <c r="AW223" s="1378">
        <f t="shared" si="128"/>
        <v>0</v>
      </c>
      <c r="AX223" s="1378">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78">
        <f t="shared" si="127"/>
        <v>0</v>
      </c>
      <c r="AW224" s="1378">
        <f t="shared" si="128"/>
        <v>0</v>
      </c>
      <c r="AX224" s="1378">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78">
        <f t="shared" si="127"/>
        <v>0</v>
      </c>
      <c r="AW225" s="1378">
        <f t="shared" si="128"/>
        <v>0</v>
      </c>
      <c r="AX225" s="1378">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78">
        <f t="shared" si="127"/>
        <v>0</v>
      </c>
      <c r="AW226" s="1378">
        <f t="shared" si="128"/>
        <v>0</v>
      </c>
      <c r="AX226" s="1378">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78">
        <f t="shared" si="127"/>
        <v>0</v>
      </c>
      <c r="AW227" s="1378">
        <f t="shared" si="128"/>
        <v>0</v>
      </c>
      <c r="AX227" s="1378">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78">
        <f t="shared" si="127"/>
        <v>0</v>
      </c>
      <c r="AW228" s="1378">
        <f t="shared" si="128"/>
        <v>0</v>
      </c>
      <c r="AX228" s="1378">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78">
        <f t="shared" si="127"/>
        <v>0</v>
      </c>
      <c r="AW229" s="1378">
        <f t="shared" si="128"/>
        <v>0</v>
      </c>
      <c r="AX229" s="1378">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78">
        <f t="shared" si="127"/>
        <v>0</v>
      </c>
      <c r="AW230" s="1378">
        <f t="shared" si="128"/>
        <v>0</v>
      </c>
      <c r="AX230" s="1378">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78">
        <f t="shared" si="127"/>
        <v>0</v>
      </c>
      <c r="AW231" s="1378">
        <f t="shared" si="128"/>
        <v>0</v>
      </c>
      <c r="AX231" s="1378">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78">
        <f t="shared" si="127"/>
        <v>0</v>
      </c>
      <c r="AW232" s="1378">
        <f t="shared" si="128"/>
        <v>0</v>
      </c>
      <c r="AX232" s="1378">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78">
        <f t="shared" si="127"/>
        <v>0</v>
      </c>
      <c r="AW233" s="1378">
        <f t="shared" si="128"/>
        <v>0</v>
      </c>
      <c r="AX233" s="1378">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78">
        <f t="shared" si="127"/>
        <v>0</v>
      </c>
      <c r="AW234" s="1378">
        <f t="shared" si="128"/>
        <v>0</v>
      </c>
      <c r="AX234" s="1378">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78">
        <f t="shared" si="127"/>
        <v>0</v>
      </c>
      <c r="AW235" s="1378">
        <f t="shared" si="128"/>
        <v>0</v>
      </c>
      <c r="AX235" s="1378">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78">
        <f t="shared" si="127"/>
        <v>0</v>
      </c>
      <c r="AW236" s="1378">
        <f t="shared" si="128"/>
        <v>0</v>
      </c>
      <c r="AX236" s="1378">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78">
        <f t="shared" si="127"/>
        <v>0</v>
      </c>
      <c r="AW237" s="1378">
        <f t="shared" si="128"/>
        <v>0</v>
      </c>
      <c r="AX237" s="1378">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78">
        <f t="shared" si="127"/>
        <v>0</v>
      </c>
      <c r="AW238" s="1378">
        <f t="shared" si="128"/>
        <v>0</v>
      </c>
      <c r="AX238" s="1378">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78">
        <f t="shared" si="127"/>
        <v>0</v>
      </c>
      <c r="AW239" s="1378">
        <f t="shared" si="128"/>
        <v>0</v>
      </c>
      <c r="AX239" s="1378">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78">
        <f t="shared" si="127"/>
        <v>0</v>
      </c>
      <c r="AW240" s="1378">
        <f t="shared" si="128"/>
        <v>0</v>
      </c>
      <c r="AX240" s="1378">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78">
        <f t="shared" si="127"/>
        <v>0</v>
      </c>
      <c r="AW241" s="1378">
        <f t="shared" si="128"/>
        <v>0</v>
      </c>
      <c r="AX241" s="1378">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78">
        <f t="shared" si="127"/>
        <v>0</v>
      </c>
      <c r="AW242" s="1378">
        <f t="shared" si="128"/>
        <v>0</v>
      </c>
      <c r="AX242" s="1378">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78">
        <f t="shared" si="127"/>
        <v>0</v>
      </c>
      <c r="AW243" s="1378">
        <f t="shared" si="128"/>
        <v>0</v>
      </c>
      <c r="AX243" s="1378">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78">
        <f t="shared" si="127"/>
        <v>0</v>
      </c>
      <c r="AW244" s="1378">
        <f t="shared" si="128"/>
        <v>0</v>
      </c>
      <c r="AX244" s="1378">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78">
        <f t="shared" si="127"/>
        <v>0</v>
      </c>
      <c r="AW245" s="1378">
        <f t="shared" si="128"/>
        <v>0</v>
      </c>
      <c r="AX245" s="1378">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78">
        <f t="shared" si="127"/>
        <v>0</v>
      </c>
      <c r="AW246" s="1378">
        <f t="shared" si="128"/>
        <v>0</v>
      </c>
      <c r="AX246" s="1378">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78">
        <f t="shared" si="127"/>
        <v>0</v>
      </c>
      <c r="AW247" s="1378">
        <f t="shared" si="128"/>
        <v>0</v>
      </c>
      <c r="AX247" s="1378">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78">
        <f t="shared" si="127"/>
        <v>0</v>
      </c>
      <c r="AW248" s="1378">
        <f t="shared" si="128"/>
        <v>0</v>
      </c>
      <c r="AX248" s="1378">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78">
        <f t="shared" si="127"/>
        <v>0</v>
      </c>
      <c r="AW249" s="1378">
        <f t="shared" si="128"/>
        <v>0</v>
      </c>
      <c r="AX249" s="1378">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78">
        <f t="shared" si="127"/>
        <v>0</v>
      </c>
      <c r="AW250" s="1378">
        <f t="shared" si="128"/>
        <v>0</v>
      </c>
      <c r="AX250" s="1378">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78">
        <f t="shared" si="127"/>
        <v>0</v>
      </c>
      <c r="AW251" s="1378">
        <f t="shared" si="128"/>
        <v>0</v>
      </c>
      <c r="AX251" s="1378">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78">
        <f t="shared" si="127"/>
        <v>0</v>
      </c>
      <c r="AW252" s="1378">
        <f t="shared" si="128"/>
        <v>0</v>
      </c>
      <c r="AX252" s="1378">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78">
        <f t="shared" si="127"/>
        <v>0</v>
      </c>
      <c r="AW253" s="1378">
        <f t="shared" si="128"/>
        <v>0</v>
      </c>
      <c r="AX253" s="1378">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78">
        <f t="shared" si="127"/>
        <v>0</v>
      </c>
      <c r="AW254" s="1378">
        <f t="shared" si="128"/>
        <v>0</v>
      </c>
      <c r="AX254" s="1378">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78">
        <f t="shared" si="127"/>
        <v>0</v>
      </c>
      <c r="AW255" s="1378">
        <f t="shared" si="128"/>
        <v>0</v>
      </c>
      <c r="AX255" s="1378">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78">
        <f t="shared" si="127"/>
        <v>0</v>
      </c>
      <c r="AW256" s="1378">
        <f t="shared" si="128"/>
        <v>0</v>
      </c>
      <c r="AX256" s="1378">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78">
        <f t="shared" si="127"/>
        <v>0</v>
      </c>
      <c r="AW257" s="1378">
        <f t="shared" si="128"/>
        <v>0</v>
      </c>
      <c r="AX257" s="1378">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78">
        <f t="shared" si="127"/>
        <v>0</v>
      </c>
      <c r="AW258" s="1378">
        <f t="shared" si="128"/>
        <v>0</v>
      </c>
      <c r="AX258" s="1378">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78">
        <f t="shared" si="127"/>
        <v>0</v>
      </c>
      <c r="AW259" s="1378">
        <f t="shared" si="128"/>
        <v>0</v>
      </c>
      <c r="AX259" s="1378">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78">
        <f t="shared" si="127"/>
        <v>0</v>
      </c>
      <c r="AW260" s="1378">
        <f t="shared" si="128"/>
        <v>0</v>
      </c>
      <c r="AX260" s="1378">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78">
        <f t="shared" si="127"/>
        <v>0</v>
      </c>
      <c r="AW261" s="1378">
        <f t="shared" si="128"/>
        <v>0</v>
      </c>
      <c r="AX261" s="1378">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78">
        <f t="shared" si="127"/>
        <v>0</v>
      </c>
      <c r="AW262" s="1378">
        <f t="shared" si="128"/>
        <v>0</v>
      </c>
      <c r="AX262" s="1378">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78">
        <f t="shared" si="127"/>
        <v>0</v>
      </c>
      <c r="AW263" s="1378">
        <f t="shared" si="128"/>
        <v>0</v>
      </c>
      <c r="AX263" s="1378">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78">
        <f t="shared" si="127"/>
        <v>0</v>
      </c>
      <c r="AW264" s="1378">
        <f t="shared" si="128"/>
        <v>0</v>
      </c>
      <c r="AX264" s="1378">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78">
        <f t="shared" si="127"/>
        <v>0</v>
      </c>
      <c r="AW265" s="1378">
        <f t="shared" si="128"/>
        <v>0</v>
      </c>
      <c r="AX265" s="1378">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78">
        <f t="shared" si="127"/>
        <v>0</v>
      </c>
      <c r="AW266" s="1378">
        <f t="shared" si="128"/>
        <v>0</v>
      </c>
      <c r="AX266" s="1378">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78">
        <f t="shared" si="127"/>
        <v>0</v>
      </c>
      <c r="AW267" s="1378">
        <f t="shared" si="128"/>
        <v>0</v>
      </c>
      <c r="AX267" s="1378">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78">
        <f t="shared" si="127"/>
        <v>0</v>
      </c>
      <c r="AW268" s="1378">
        <f t="shared" si="128"/>
        <v>0</v>
      </c>
      <c r="AX268" s="1378">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78">
        <f t="shared" si="127"/>
        <v>0</v>
      </c>
      <c r="AW269" s="1378">
        <f t="shared" si="128"/>
        <v>0</v>
      </c>
      <c r="AX269" s="1378">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78">
        <f t="shared" si="127"/>
        <v>0</v>
      </c>
      <c r="AW270" s="1378">
        <f t="shared" si="128"/>
        <v>0</v>
      </c>
      <c r="AX270" s="1378">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78">
        <f t="shared" si="127"/>
        <v>0</v>
      </c>
      <c r="AW271" s="1378">
        <f t="shared" si="128"/>
        <v>0</v>
      </c>
      <c r="AX271" s="1378">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78">
        <f t="shared" si="127"/>
        <v>0</v>
      </c>
      <c r="AW272" s="1378">
        <f t="shared" si="128"/>
        <v>0</v>
      </c>
      <c r="AX272" s="1378">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78">
        <f t="shared" si="127"/>
        <v>0</v>
      </c>
      <c r="AW273" s="1378">
        <f t="shared" si="128"/>
        <v>0</v>
      </c>
      <c r="AX273" s="1378">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78">
        <f t="shared" si="127"/>
        <v>0</v>
      </c>
      <c r="AW274" s="1378">
        <f t="shared" si="128"/>
        <v>0</v>
      </c>
      <c r="AX274" s="1378">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78">
        <f t="shared" si="127"/>
        <v>0</v>
      </c>
      <c r="AW275" s="1378">
        <f t="shared" si="128"/>
        <v>0</v>
      </c>
      <c r="AX275" s="1378">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78">
        <f t="shared" si="127"/>
        <v>0</v>
      </c>
      <c r="AW276" s="1378">
        <f t="shared" si="128"/>
        <v>0</v>
      </c>
      <c r="AX276" s="1378">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78">
        <f t="shared" si="127"/>
        <v>0</v>
      </c>
      <c r="AW277" s="1378">
        <f t="shared" si="128"/>
        <v>0</v>
      </c>
      <c r="AX277" s="1378">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78">
        <f t="shared" si="127"/>
        <v>0</v>
      </c>
      <c r="AW278" s="1378">
        <f t="shared" si="128"/>
        <v>0</v>
      </c>
      <c r="AX278" s="1378">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78">
        <f t="shared" si="127"/>
        <v>0</v>
      </c>
      <c r="AW279" s="1378">
        <f t="shared" si="128"/>
        <v>0</v>
      </c>
      <c r="AX279" s="1378">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78">
        <f t="shared" si="127"/>
        <v>0</v>
      </c>
      <c r="AW280" s="1378">
        <f t="shared" si="128"/>
        <v>0</v>
      </c>
      <c r="AX280" s="1378">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78">
        <f t="shared" si="127"/>
        <v>0</v>
      </c>
      <c r="AW281" s="1378">
        <f t="shared" si="128"/>
        <v>0</v>
      </c>
      <c r="AX281" s="1378">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78">
        <f t="shared" si="127"/>
        <v>0</v>
      </c>
      <c r="AW282" s="1378">
        <f t="shared" si="128"/>
        <v>0</v>
      </c>
      <c r="AX282" s="1378">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78">
        <f t="shared" si="127"/>
        <v>0</v>
      </c>
      <c r="AW283" s="1378">
        <f t="shared" si="128"/>
        <v>0</v>
      </c>
      <c r="AX283" s="1378">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78">
        <f t="shared" si="127"/>
        <v>0</v>
      </c>
      <c r="AW284" s="1378">
        <f t="shared" si="128"/>
        <v>0</v>
      </c>
      <c r="AX284" s="1378">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78">
        <f t="shared" si="127"/>
        <v>0</v>
      </c>
      <c r="AW285" s="1378">
        <f t="shared" si="128"/>
        <v>0</v>
      </c>
      <c r="AX285" s="1378">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78">
        <f t="shared" si="127"/>
        <v>0</v>
      </c>
      <c r="AW286" s="1378">
        <f t="shared" si="128"/>
        <v>0</v>
      </c>
      <c r="AX286" s="1378">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78">
        <f t="shared" si="127"/>
        <v>0</v>
      </c>
      <c r="AW287" s="1378">
        <f t="shared" si="128"/>
        <v>0</v>
      </c>
      <c r="AX287" s="1378">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78">
        <f t="shared" si="127"/>
        <v>0</v>
      </c>
      <c r="AW288" s="1378">
        <f t="shared" si="128"/>
        <v>0</v>
      </c>
      <c r="AX288" s="1378">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78">
        <f t="shared" si="127"/>
        <v>0</v>
      </c>
      <c r="AW289" s="1378">
        <f t="shared" si="128"/>
        <v>0</v>
      </c>
      <c r="AX289" s="1378">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78">
        <f t="shared" si="127"/>
        <v>0</v>
      </c>
      <c r="AW290" s="1378">
        <f t="shared" si="128"/>
        <v>0</v>
      </c>
      <c r="AX290" s="1378">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78">
        <f t="shared" si="127"/>
        <v>0</v>
      </c>
      <c r="AW291" s="1378">
        <f t="shared" si="128"/>
        <v>0</v>
      </c>
      <c r="AX291" s="1378">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78">
        <f t="shared" si="127"/>
        <v>0</v>
      </c>
      <c r="AW292" s="1378">
        <f t="shared" si="128"/>
        <v>0</v>
      </c>
      <c r="AX292" s="1378">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78">
        <f t="shared" si="127"/>
        <v>0</v>
      </c>
      <c r="AW293" s="1378">
        <f t="shared" si="128"/>
        <v>0</v>
      </c>
      <c r="AX293" s="1378">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78">
        <f t="shared" si="127"/>
        <v>0</v>
      </c>
      <c r="AW294" s="1378">
        <f t="shared" si="128"/>
        <v>0</v>
      </c>
      <c r="AX294" s="1378">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78">
        <f t="shared" si="127"/>
        <v>0</v>
      </c>
      <c r="AW295" s="1378">
        <f t="shared" si="128"/>
        <v>0</v>
      </c>
      <c r="AX295" s="1378">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78">
        <f t="shared" si="127"/>
        <v>0</v>
      </c>
      <c r="AW296" s="1378">
        <f t="shared" si="128"/>
        <v>0</v>
      </c>
      <c r="AX296" s="1378">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78">
        <f t="shared" si="127"/>
        <v>0</v>
      </c>
      <c r="AW297" s="1378">
        <f t="shared" si="128"/>
        <v>0</v>
      </c>
      <c r="AX297" s="1378">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78">
        <f t="shared" si="127"/>
        <v>0</v>
      </c>
      <c r="AW298" s="1378">
        <f t="shared" si="128"/>
        <v>0</v>
      </c>
      <c r="AX298" s="1378">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78">
        <f t="shared" si="127"/>
        <v>0</v>
      </c>
      <c r="AW299" s="1378">
        <f t="shared" si="128"/>
        <v>0</v>
      </c>
      <c r="AX299" s="1378">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78">
        <f t="shared" si="127"/>
        <v>0</v>
      </c>
      <c r="AW300" s="1378">
        <f t="shared" si="128"/>
        <v>0</v>
      </c>
      <c r="AX300" s="1378">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78">
        <f t="shared" si="127"/>
        <v>0</v>
      </c>
      <c r="AW301" s="1378">
        <f t="shared" si="128"/>
        <v>0</v>
      </c>
      <c r="AX301" s="1378">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78">
        <f t="shared" si="127"/>
        <v>0</v>
      </c>
      <c r="AW302" s="1378">
        <f t="shared" si="128"/>
        <v>0</v>
      </c>
      <c r="AX302" s="1378">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78">
        <f t="shared" ref="AV303:AV334" si="178">A303</f>
        <v>0</v>
      </c>
      <c r="AW303" s="1378">
        <f t="shared" ref="AW303:AW334" si="179">B303</f>
        <v>0</v>
      </c>
      <c r="AX303" s="1378">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78">
        <f t="shared" si="178"/>
        <v>0</v>
      </c>
      <c r="AW304" s="1378">
        <f t="shared" si="179"/>
        <v>0</v>
      </c>
      <c r="AX304" s="1378">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78">
        <f t="shared" si="178"/>
        <v>0</v>
      </c>
      <c r="AW305" s="1378">
        <f t="shared" si="179"/>
        <v>0</v>
      </c>
      <c r="AX305" s="1378">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78">
        <f t="shared" si="178"/>
        <v>0</v>
      </c>
      <c r="AW306" s="1378">
        <f t="shared" si="179"/>
        <v>0</v>
      </c>
      <c r="AX306" s="1378">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78">
        <f t="shared" si="178"/>
        <v>0</v>
      </c>
      <c r="AW307" s="1378">
        <f t="shared" si="179"/>
        <v>0</v>
      </c>
      <c r="AX307" s="1378">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78">
        <f t="shared" si="178"/>
        <v>0</v>
      </c>
      <c r="AW308" s="1378">
        <f t="shared" si="179"/>
        <v>0</v>
      </c>
      <c r="AX308" s="1378">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78">
        <f t="shared" si="178"/>
        <v>0</v>
      </c>
      <c r="AW309" s="1378">
        <f t="shared" si="179"/>
        <v>0</v>
      </c>
      <c r="AX309" s="1378">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78">
        <f t="shared" si="178"/>
        <v>0</v>
      </c>
      <c r="AW310" s="1378">
        <f t="shared" si="179"/>
        <v>0</v>
      </c>
      <c r="AX310" s="1378">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78">
        <f t="shared" si="178"/>
        <v>0</v>
      </c>
      <c r="AW311" s="1378">
        <f t="shared" si="179"/>
        <v>0</v>
      </c>
      <c r="AX311" s="1378">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78">
        <f t="shared" si="178"/>
        <v>0</v>
      </c>
      <c r="AW312" s="1378">
        <f t="shared" si="179"/>
        <v>0</v>
      </c>
      <c r="AX312" s="1378">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78">
        <f t="shared" si="178"/>
        <v>0</v>
      </c>
      <c r="AW313" s="1378">
        <f t="shared" si="179"/>
        <v>0</v>
      </c>
      <c r="AX313" s="1378">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78">
        <f t="shared" si="178"/>
        <v>0</v>
      </c>
      <c r="AW314" s="1378">
        <f t="shared" si="179"/>
        <v>0</v>
      </c>
      <c r="AX314" s="1378">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78">
        <f t="shared" si="178"/>
        <v>0</v>
      </c>
      <c r="AW315" s="1378">
        <f t="shared" si="179"/>
        <v>0</v>
      </c>
      <c r="AX315" s="1378">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78">
        <f t="shared" si="178"/>
        <v>0</v>
      </c>
      <c r="AW316" s="1378">
        <f t="shared" si="179"/>
        <v>0</v>
      </c>
      <c r="AX316" s="1378">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78">
        <f t="shared" si="178"/>
        <v>0</v>
      </c>
      <c r="AW317" s="1378">
        <f t="shared" si="179"/>
        <v>0</v>
      </c>
      <c r="AX317" s="1378">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78">
        <f t="shared" si="178"/>
        <v>0</v>
      </c>
      <c r="AW318" s="1378">
        <f t="shared" si="179"/>
        <v>0</v>
      </c>
      <c r="AX318" s="1378">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78">
        <f t="shared" si="178"/>
        <v>0</v>
      </c>
      <c r="AW319" s="1378">
        <f t="shared" si="179"/>
        <v>0</v>
      </c>
      <c r="AX319" s="1378">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78">
        <f t="shared" si="178"/>
        <v>0</v>
      </c>
      <c r="AW320" s="1378">
        <f t="shared" si="179"/>
        <v>0</v>
      </c>
      <c r="AX320" s="1378">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78">
        <f t="shared" si="178"/>
        <v>0</v>
      </c>
      <c r="AW321" s="1378">
        <f t="shared" si="179"/>
        <v>0</v>
      </c>
      <c r="AX321" s="1378">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78">
        <f t="shared" si="178"/>
        <v>0</v>
      </c>
      <c r="AW322" s="1378">
        <f t="shared" si="179"/>
        <v>0</v>
      </c>
      <c r="AX322" s="1378">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78">
        <f t="shared" si="178"/>
        <v>0</v>
      </c>
      <c r="AW323" s="1378">
        <f t="shared" si="179"/>
        <v>0</v>
      </c>
      <c r="AX323" s="1378">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78">
        <f t="shared" si="178"/>
        <v>0</v>
      </c>
      <c r="AW324" s="1378">
        <f t="shared" si="179"/>
        <v>0</v>
      </c>
      <c r="AX324" s="1378">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78">
        <f t="shared" si="178"/>
        <v>0</v>
      </c>
      <c r="AW325" s="1378">
        <f t="shared" si="179"/>
        <v>0</v>
      </c>
      <c r="AX325" s="1378">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78">
        <f t="shared" si="178"/>
        <v>0</v>
      </c>
      <c r="AW326" s="1378">
        <f t="shared" si="179"/>
        <v>0</v>
      </c>
      <c r="AX326" s="1378">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78">
        <f t="shared" si="178"/>
        <v>0</v>
      </c>
      <c r="AW327" s="1378">
        <f t="shared" si="179"/>
        <v>0</v>
      </c>
      <c r="AX327" s="1378">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78">
        <f t="shared" si="178"/>
        <v>0</v>
      </c>
      <c r="AW328" s="1378">
        <f t="shared" si="179"/>
        <v>0</v>
      </c>
      <c r="AX328" s="1378">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78">
        <f t="shared" si="178"/>
        <v>0</v>
      </c>
      <c r="AW329" s="1378">
        <f t="shared" si="179"/>
        <v>0</v>
      </c>
      <c r="AX329" s="1378">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78">
        <f t="shared" si="178"/>
        <v>0</v>
      </c>
      <c r="AW330" s="1378">
        <f t="shared" si="179"/>
        <v>0</v>
      </c>
      <c r="AX330" s="1378">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78">
        <f t="shared" si="178"/>
        <v>0</v>
      </c>
      <c r="AW331" s="1378">
        <f t="shared" si="179"/>
        <v>0</v>
      </c>
      <c r="AX331" s="1378">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78">
        <f t="shared" si="178"/>
        <v>0</v>
      </c>
      <c r="AW332" s="1378">
        <f t="shared" si="179"/>
        <v>0</v>
      </c>
      <c r="AX332" s="1378">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78">
        <f t="shared" si="178"/>
        <v>0</v>
      </c>
      <c r="AW333" s="1378">
        <f t="shared" si="179"/>
        <v>0</v>
      </c>
      <c r="AX333" s="1378">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78">
        <f t="shared" si="178"/>
        <v>0</v>
      </c>
      <c r="AW334" s="1378">
        <f t="shared" si="179"/>
        <v>0</v>
      </c>
      <c r="AX334" s="1378">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78">
        <f t="shared" ref="AV335:AV366" si="207">A335</f>
        <v>0</v>
      </c>
      <c r="AW335" s="1378">
        <f t="shared" ref="AW335:AW366" si="208">B335</f>
        <v>0</v>
      </c>
      <c r="AX335" s="1378">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78">
        <f t="shared" si="207"/>
        <v>0</v>
      </c>
      <c r="AW336" s="1378">
        <f t="shared" si="208"/>
        <v>0</v>
      </c>
      <c r="AX336" s="1378">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78">
        <f t="shared" si="207"/>
        <v>0</v>
      </c>
      <c r="AW337" s="1378">
        <f t="shared" si="208"/>
        <v>0</v>
      </c>
      <c r="AX337" s="1378">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78">
        <f t="shared" si="207"/>
        <v>0</v>
      </c>
      <c r="AW338" s="1378">
        <f t="shared" si="208"/>
        <v>0</v>
      </c>
      <c r="AX338" s="1378">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78">
        <f t="shared" si="207"/>
        <v>0</v>
      </c>
      <c r="AW339" s="1378">
        <f t="shared" si="208"/>
        <v>0</v>
      </c>
      <c r="AX339" s="1378">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78">
        <f t="shared" si="207"/>
        <v>0</v>
      </c>
      <c r="AW340" s="1378">
        <f t="shared" si="208"/>
        <v>0</v>
      </c>
      <c r="AX340" s="1378">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78">
        <f t="shared" si="207"/>
        <v>0</v>
      </c>
      <c r="AW341" s="1378">
        <f t="shared" si="208"/>
        <v>0</v>
      </c>
      <c r="AX341" s="1378">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78">
        <f t="shared" si="207"/>
        <v>0</v>
      </c>
      <c r="AW342" s="1378">
        <f t="shared" si="208"/>
        <v>0</v>
      </c>
      <c r="AX342" s="1378">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78">
        <f t="shared" si="207"/>
        <v>0</v>
      </c>
      <c r="AW343" s="1378">
        <f t="shared" si="208"/>
        <v>0</v>
      </c>
      <c r="AX343" s="1378">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78">
        <f t="shared" si="207"/>
        <v>0</v>
      </c>
      <c r="AW344" s="1378">
        <f t="shared" si="208"/>
        <v>0</v>
      </c>
      <c r="AX344" s="1378">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78">
        <f t="shared" si="207"/>
        <v>0</v>
      </c>
      <c r="AW345" s="1378">
        <f t="shared" si="208"/>
        <v>0</v>
      </c>
      <c r="AX345" s="1378">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78">
        <f t="shared" si="207"/>
        <v>0</v>
      </c>
      <c r="AW346" s="1378">
        <f t="shared" si="208"/>
        <v>0</v>
      </c>
      <c r="AX346" s="1378">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78">
        <f t="shared" si="207"/>
        <v>0</v>
      </c>
      <c r="AW347" s="1378">
        <f t="shared" si="208"/>
        <v>0</v>
      </c>
      <c r="AX347" s="1378">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78">
        <f t="shared" si="207"/>
        <v>0</v>
      </c>
      <c r="AW348" s="1378">
        <f t="shared" si="208"/>
        <v>0</v>
      </c>
      <c r="AX348" s="1378">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78">
        <f t="shared" si="207"/>
        <v>0</v>
      </c>
      <c r="AW349" s="1378">
        <f t="shared" si="208"/>
        <v>0</v>
      </c>
      <c r="AX349" s="1378">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78">
        <f t="shared" si="207"/>
        <v>0</v>
      </c>
      <c r="AW350" s="1378">
        <f t="shared" si="208"/>
        <v>0</v>
      </c>
      <c r="AX350" s="1378">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78">
        <f t="shared" si="207"/>
        <v>0</v>
      </c>
      <c r="AW351" s="1378">
        <f t="shared" si="208"/>
        <v>0</v>
      </c>
      <c r="AX351" s="1378">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78">
        <f t="shared" si="207"/>
        <v>0</v>
      </c>
      <c r="AW352" s="1378">
        <f t="shared" si="208"/>
        <v>0</v>
      </c>
      <c r="AX352" s="1378">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78">
        <f t="shared" si="207"/>
        <v>0</v>
      </c>
      <c r="AW353" s="1378">
        <f t="shared" si="208"/>
        <v>0</v>
      </c>
      <c r="AX353" s="1378">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78">
        <f t="shared" si="207"/>
        <v>0</v>
      </c>
      <c r="AW354" s="1378">
        <f t="shared" si="208"/>
        <v>0</v>
      </c>
      <c r="AX354" s="1378">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78">
        <f t="shared" si="207"/>
        <v>0</v>
      </c>
      <c r="AW355" s="1378">
        <f t="shared" si="208"/>
        <v>0</v>
      </c>
      <c r="AX355" s="1378">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78">
        <f t="shared" si="207"/>
        <v>0</v>
      </c>
      <c r="AW356" s="1378">
        <f t="shared" si="208"/>
        <v>0</v>
      </c>
      <c r="AX356" s="1378">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78">
        <f t="shared" si="207"/>
        <v>0</v>
      </c>
      <c r="AW357" s="1378">
        <f t="shared" si="208"/>
        <v>0</v>
      </c>
      <c r="AX357" s="1378">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78">
        <f t="shared" si="207"/>
        <v>0</v>
      </c>
      <c r="AW358" s="1378">
        <f t="shared" si="208"/>
        <v>0</v>
      </c>
      <c r="AX358" s="1378">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78">
        <f t="shared" si="207"/>
        <v>0</v>
      </c>
      <c r="AW359" s="1378">
        <f t="shared" si="208"/>
        <v>0</v>
      </c>
      <c r="AX359" s="1378">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78">
        <f t="shared" si="207"/>
        <v>0</v>
      </c>
      <c r="AW360" s="1378">
        <f t="shared" si="208"/>
        <v>0</v>
      </c>
      <c r="AX360" s="1378">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78">
        <f t="shared" si="207"/>
        <v>0</v>
      </c>
      <c r="AW361" s="1378">
        <f t="shared" si="208"/>
        <v>0</v>
      </c>
      <c r="AX361" s="1378">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78">
        <f t="shared" si="207"/>
        <v>0</v>
      </c>
      <c r="AW362" s="1378">
        <f t="shared" si="208"/>
        <v>0</v>
      </c>
      <c r="AX362" s="1378">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78">
        <f t="shared" si="207"/>
        <v>0</v>
      </c>
      <c r="AW363" s="1378">
        <f t="shared" si="208"/>
        <v>0</v>
      </c>
      <c r="AX363" s="1378">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78">
        <f t="shared" si="207"/>
        <v>0</v>
      </c>
      <c r="AW364" s="1378">
        <f t="shared" si="208"/>
        <v>0</v>
      </c>
      <c r="AX364" s="1378">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78">
        <f t="shared" si="207"/>
        <v>0</v>
      </c>
      <c r="AW365" s="1378">
        <f t="shared" si="208"/>
        <v>0</v>
      </c>
      <c r="AX365" s="1378">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78">
        <f t="shared" si="207"/>
        <v>0</v>
      </c>
      <c r="AW366" s="1378">
        <f t="shared" si="208"/>
        <v>0</v>
      </c>
      <c r="AX366" s="1378">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78">
        <f t="shared" ref="AV367:AV397" si="236">A367</f>
        <v>0</v>
      </c>
      <c r="AW367" s="1378">
        <f t="shared" ref="AW367:AW397" si="237">B367</f>
        <v>0</v>
      </c>
      <c r="AX367" s="1378">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78">
        <f t="shared" si="236"/>
        <v>0</v>
      </c>
      <c r="AW368" s="1378">
        <f t="shared" si="237"/>
        <v>0</v>
      </c>
      <c r="AX368" s="1378">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78">
        <f t="shared" si="236"/>
        <v>0</v>
      </c>
      <c r="AW369" s="1378">
        <f t="shared" si="237"/>
        <v>0</v>
      </c>
      <c r="AX369" s="1378">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78">
        <f t="shared" si="236"/>
        <v>0</v>
      </c>
      <c r="AW370" s="1378">
        <f t="shared" si="237"/>
        <v>0</v>
      </c>
      <c r="AX370" s="1378">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78">
        <f t="shared" si="236"/>
        <v>0</v>
      </c>
      <c r="AW371" s="1378">
        <f t="shared" si="237"/>
        <v>0</v>
      </c>
      <c r="AX371" s="1378">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78">
        <f t="shared" si="236"/>
        <v>0</v>
      </c>
      <c r="AW372" s="1378">
        <f t="shared" si="237"/>
        <v>0</v>
      </c>
      <c r="AX372" s="1378">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78">
        <f t="shared" si="236"/>
        <v>0</v>
      </c>
      <c r="AW373" s="1378">
        <f t="shared" si="237"/>
        <v>0</v>
      </c>
      <c r="AX373" s="1378">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78">
        <f t="shared" si="236"/>
        <v>0</v>
      </c>
      <c r="AW374" s="1378">
        <f t="shared" si="237"/>
        <v>0</v>
      </c>
      <c r="AX374" s="1378">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78">
        <f t="shared" si="236"/>
        <v>0</v>
      </c>
      <c r="AW375" s="1378">
        <f t="shared" si="237"/>
        <v>0</v>
      </c>
      <c r="AX375" s="1378">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78">
        <f t="shared" si="236"/>
        <v>0</v>
      </c>
      <c r="AW376" s="1378">
        <f t="shared" si="237"/>
        <v>0</v>
      </c>
      <c r="AX376" s="1378">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78">
        <f t="shared" si="236"/>
        <v>0</v>
      </c>
      <c r="AW377" s="1378">
        <f t="shared" si="237"/>
        <v>0</v>
      </c>
      <c r="AX377" s="1378">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78">
        <f t="shared" si="236"/>
        <v>0</v>
      </c>
      <c r="AW378" s="1378">
        <f t="shared" si="237"/>
        <v>0</v>
      </c>
      <c r="AX378" s="1378">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78">
        <f t="shared" si="236"/>
        <v>0</v>
      </c>
      <c r="AW379" s="1378">
        <f t="shared" si="237"/>
        <v>0</v>
      </c>
      <c r="AX379" s="1378">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78">
        <f t="shared" si="236"/>
        <v>0</v>
      </c>
      <c r="AW380" s="1378">
        <f t="shared" si="237"/>
        <v>0</v>
      </c>
      <c r="AX380" s="1378">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78">
        <f t="shared" si="236"/>
        <v>0</v>
      </c>
      <c r="AW381" s="1378">
        <f t="shared" si="237"/>
        <v>0</v>
      </c>
      <c r="AX381" s="1378">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78">
        <f t="shared" si="236"/>
        <v>0</v>
      </c>
      <c r="AW382" s="1378">
        <f t="shared" si="237"/>
        <v>0</v>
      </c>
      <c r="AX382" s="1378">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78">
        <f t="shared" si="236"/>
        <v>0</v>
      </c>
      <c r="AW383" s="1378">
        <f t="shared" si="237"/>
        <v>0</v>
      </c>
      <c r="AX383" s="1378">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78">
        <f t="shared" si="236"/>
        <v>0</v>
      </c>
      <c r="AW384" s="1378">
        <f t="shared" si="237"/>
        <v>0</v>
      </c>
      <c r="AX384" s="1378">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78">
        <f t="shared" si="236"/>
        <v>0</v>
      </c>
      <c r="AW385" s="1378">
        <f t="shared" si="237"/>
        <v>0</v>
      </c>
      <c r="AX385" s="1378">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78">
        <f t="shared" si="236"/>
        <v>0</v>
      </c>
      <c r="AW386" s="1378">
        <f t="shared" si="237"/>
        <v>0</v>
      </c>
      <c r="AX386" s="1378">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78">
        <f t="shared" si="236"/>
        <v>0</v>
      </c>
      <c r="AW387" s="1378">
        <f t="shared" si="237"/>
        <v>0</v>
      </c>
      <c r="AX387" s="1378">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78">
        <f t="shared" si="236"/>
        <v>0</v>
      </c>
      <c r="AW388" s="1378">
        <f t="shared" si="237"/>
        <v>0</v>
      </c>
      <c r="AX388" s="1378">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78">
        <f t="shared" si="236"/>
        <v>0</v>
      </c>
      <c r="AW389" s="1378">
        <f t="shared" si="237"/>
        <v>0</v>
      </c>
      <c r="AX389" s="1378">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78">
        <f t="shared" si="236"/>
        <v>0</v>
      </c>
      <c r="AW390" s="1378">
        <f t="shared" si="237"/>
        <v>0</v>
      </c>
      <c r="AX390" s="1378">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78">
        <f t="shared" si="236"/>
        <v>0</v>
      </c>
      <c r="AW391" s="1378">
        <f t="shared" si="237"/>
        <v>0</v>
      </c>
      <c r="AX391" s="1378">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78">
        <f t="shared" si="236"/>
        <v>0</v>
      </c>
      <c r="AW392" s="1378">
        <f t="shared" si="237"/>
        <v>0</v>
      </c>
      <c r="AX392" s="1378">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78">
        <f t="shared" si="236"/>
        <v>0</v>
      </c>
      <c r="AW393" s="1378">
        <f t="shared" si="237"/>
        <v>0</v>
      </c>
      <c r="AX393" s="1378">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78">
        <f t="shared" si="236"/>
        <v>0</v>
      </c>
      <c r="AW394" s="1378">
        <f t="shared" si="237"/>
        <v>0</v>
      </c>
      <c r="AX394" s="1378">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78">
        <f t="shared" si="236"/>
        <v>0</v>
      </c>
      <c r="AW395" s="1378">
        <f t="shared" si="237"/>
        <v>0</v>
      </c>
      <c r="AX395" s="1378">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78">
        <f t="shared" si="236"/>
        <v>0</v>
      </c>
      <c r="AW396" s="1378">
        <f t="shared" si="237"/>
        <v>0</v>
      </c>
      <c r="AX396" s="1378">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78">
        <f t="shared" si="236"/>
        <v>0</v>
      </c>
      <c r="AW397" s="1378">
        <f t="shared" si="237"/>
        <v>0</v>
      </c>
      <c r="AX397" s="1378">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78">
        <f t="shared" ref="AV398:AV492" si="243">A398</f>
        <v>0</v>
      </c>
      <c r="AW398" s="1378">
        <f t="shared" ref="AW398:AW492" si="244">B398</f>
        <v>0</v>
      </c>
      <c r="AX398" s="1378">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78">
        <f t="shared" si="243"/>
        <v>0</v>
      </c>
      <c r="AW399" s="1378">
        <f t="shared" si="244"/>
        <v>0</v>
      </c>
      <c r="AX399" s="1378">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78">
        <f t="shared" si="243"/>
        <v>0</v>
      </c>
      <c r="AW400" s="1378">
        <f t="shared" si="244"/>
        <v>0</v>
      </c>
      <c r="AX400" s="1378">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78">
        <f t="shared" si="243"/>
        <v>0</v>
      </c>
      <c r="AW401" s="1378">
        <f t="shared" si="244"/>
        <v>0</v>
      </c>
      <c r="AX401" s="1378">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78">
        <f t="shared" si="243"/>
        <v>0</v>
      </c>
      <c r="AW402" s="1378">
        <f t="shared" si="244"/>
        <v>0</v>
      </c>
      <c r="AX402" s="1378">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78">
        <f t="shared" si="243"/>
        <v>0</v>
      </c>
      <c r="AW403" s="1378">
        <f t="shared" si="244"/>
        <v>0</v>
      </c>
      <c r="AX403" s="1378">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78">
        <f t="shared" si="243"/>
        <v>0</v>
      </c>
      <c r="AW404" s="1378">
        <f t="shared" si="244"/>
        <v>0</v>
      </c>
      <c r="AX404" s="1378">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78">
        <f t="shared" si="243"/>
        <v>0</v>
      </c>
      <c r="AW405" s="1378">
        <f t="shared" si="244"/>
        <v>0</v>
      </c>
      <c r="AX405" s="1378">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78">
        <f t="shared" si="243"/>
        <v>0</v>
      </c>
      <c r="AW406" s="1378">
        <f t="shared" si="244"/>
        <v>0</v>
      </c>
      <c r="AX406" s="1378">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78">
        <f t="shared" si="243"/>
        <v>0</v>
      </c>
      <c r="AW407" s="1378">
        <f t="shared" si="244"/>
        <v>0</v>
      </c>
      <c r="AX407" s="1378">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78">
        <f t="shared" si="243"/>
        <v>0</v>
      </c>
      <c r="AW408" s="1378">
        <f t="shared" si="244"/>
        <v>0</v>
      </c>
      <c r="AX408" s="1378">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78">
        <f t="shared" si="243"/>
        <v>0</v>
      </c>
      <c r="AW409" s="1378">
        <f t="shared" si="244"/>
        <v>0</v>
      </c>
      <c r="AX409" s="1378">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78">
        <f t="shared" si="243"/>
        <v>0</v>
      </c>
      <c r="AW410" s="1378">
        <f t="shared" si="244"/>
        <v>0</v>
      </c>
      <c r="AX410" s="1378">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78">
        <f t="shared" si="243"/>
        <v>0</v>
      </c>
      <c r="AW411" s="1378">
        <f t="shared" si="244"/>
        <v>0</v>
      </c>
      <c r="AX411" s="1378">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78">
        <f t="shared" si="243"/>
        <v>0</v>
      </c>
      <c r="AW412" s="1378">
        <f t="shared" si="244"/>
        <v>0</v>
      </c>
      <c r="AX412" s="1378">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78">
        <f t="shared" si="243"/>
        <v>0</v>
      </c>
      <c r="AW413" s="1378">
        <f t="shared" si="244"/>
        <v>0</v>
      </c>
      <c r="AX413" s="1378">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78">
        <f t="shared" si="243"/>
        <v>0</v>
      </c>
      <c r="AW414" s="1378">
        <f t="shared" si="244"/>
        <v>0</v>
      </c>
      <c r="AX414" s="1378">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78">
        <f t="shared" si="243"/>
        <v>0</v>
      </c>
      <c r="AW415" s="1378">
        <f t="shared" si="244"/>
        <v>0</v>
      </c>
      <c r="AX415" s="1378">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78">
        <f t="shared" si="243"/>
        <v>0</v>
      </c>
      <c r="AW416" s="1378">
        <f t="shared" si="244"/>
        <v>0</v>
      </c>
      <c r="AX416" s="1378">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78">
        <f t="shared" si="243"/>
        <v>0</v>
      </c>
      <c r="AW417" s="1378">
        <f t="shared" si="244"/>
        <v>0</v>
      </c>
      <c r="AX417" s="1378">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78">
        <f t="shared" si="243"/>
        <v>0</v>
      </c>
      <c r="AW418" s="1378">
        <f t="shared" si="244"/>
        <v>0</v>
      </c>
      <c r="AX418" s="1378">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78">
        <f t="shared" si="243"/>
        <v>0</v>
      </c>
      <c r="AW419" s="1378">
        <f t="shared" si="244"/>
        <v>0</v>
      </c>
      <c r="AX419" s="1378">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78">
        <f t="shared" si="243"/>
        <v>0</v>
      </c>
      <c r="AW420" s="1378">
        <f t="shared" si="244"/>
        <v>0</v>
      </c>
      <c r="AX420" s="1378">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78">
        <f t="shared" si="243"/>
        <v>0</v>
      </c>
      <c r="AW421" s="1378">
        <f t="shared" si="244"/>
        <v>0</v>
      </c>
      <c r="AX421" s="1378">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78">
        <f t="shared" si="243"/>
        <v>0</v>
      </c>
      <c r="AW422" s="1378">
        <f t="shared" si="244"/>
        <v>0</v>
      </c>
      <c r="AX422" s="1378">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78">
        <f t="shared" si="243"/>
        <v>0</v>
      </c>
      <c r="AW423" s="1378">
        <f t="shared" si="244"/>
        <v>0</v>
      </c>
      <c r="AX423" s="1378">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78">
        <f t="shared" si="243"/>
        <v>0</v>
      </c>
      <c r="AW424" s="1378">
        <f t="shared" si="244"/>
        <v>0</v>
      </c>
      <c r="AX424" s="1378">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78">
        <f t="shared" si="243"/>
        <v>0</v>
      </c>
      <c r="AW425" s="1378">
        <f t="shared" si="244"/>
        <v>0</v>
      </c>
      <c r="AX425" s="1378">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78">
        <f t="shared" si="243"/>
        <v>0</v>
      </c>
      <c r="AW426" s="1378">
        <f t="shared" si="244"/>
        <v>0</v>
      </c>
      <c r="AX426" s="1378">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78">
        <f t="shared" si="243"/>
        <v>0</v>
      </c>
      <c r="AW427" s="1378">
        <f t="shared" si="244"/>
        <v>0</v>
      </c>
      <c r="AX427" s="1378">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78">
        <f t="shared" si="243"/>
        <v>0</v>
      </c>
      <c r="AW428" s="1378">
        <f t="shared" si="244"/>
        <v>0</v>
      </c>
      <c r="AX428" s="1378">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78">
        <f t="shared" si="243"/>
        <v>0</v>
      </c>
      <c r="AW429" s="1378">
        <f t="shared" si="244"/>
        <v>0</v>
      </c>
      <c r="AX429" s="1378">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78">
        <f t="shared" si="243"/>
        <v>0</v>
      </c>
      <c r="AW430" s="1378">
        <f t="shared" si="244"/>
        <v>0</v>
      </c>
      <c r="AX430" s="1378">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78">
        <f t="shared" si="243"/>
        <v>0</v>
      </c>
      <c r="AW431" s="1378">
        <f t="shared" si="244"/>
        <v>0</v>
      </c>
      <c r="AX431" s="1378">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78">
        <f t="shared" si="243"/>
        <v>0</v>
      </c>
      <c r="AW432" s="1378">
        <f t="shared" si="244"/>
        <v>0</v>
      </c>
      <c r="AX432" s="1378">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78">
        <f t="shared" si="243"/>
        <v>0</v>
      </c>
      <c r="AW433" s="1378">
        <f t="shared" si="244"/>
        <v>0</v>
      </c>
      <c r="AX433" s="1378">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78">
        <f t="shared" si="243"/>
        <v>0</v>
      </c>
      <c r="AW434" s="1378">
        <f t="shared" si="244"/>
        <v>0</v>
      </c>
      <c r="AX434" s="1378">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78">
        <f t="shared" si="243"/>
        <v>0</v>
      </c>
      <c r="AW435" s="1378">
        <f t="shared" si="244"/>
        <v>0</v>
      </c>
      <c r="AX435" s="1378">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78">
        <f t="shared" si="243"/>
        <v>0</v>
      </c>
      <c r="AW436" s="1378">
        <f t="shared" si="244"/>
        <v>0</v>
      </c>
      <c r="AX436" s="1378">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78">
        <f t="shared" si="243"/>
        <v>0</v>
      </c>
      <c r="AW437" s="1378">
        <f t="shared" si="244"/>
        <v>0</v>
      </c>
      <c r="AX437" s="1378">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78">
        <f t="shared" si="243"/>
        <v>0</v>
      </c>
      <c r="AW438" s="1378">
        <f t="shared" si="244"/>
        <v>0</v>
      </c>
      <c r="AX438" s="1378">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78">
        <f t="shared" si="243"/>
        <v>0</v>
      </c>
      <c r="AW439" s="1378">
        <f t="shared" si="244"/>
        <v>0</v>
      </c>
      <c r="AX439" s="1378">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78">
        <f t="shared" si="243"/>
        <v>0</v>
      </c>
      <c r="AW440" s="1378">
        <f t="shared" si="244"/>
        <v>0</v>
      </c>
      <c r="AX440" s="1378">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78">
        <f t="shared" si="243"/>
        <v>0</v>
      </c>
      <c r="AW441" s="1378">
        <f t="shared" si="244"/>
        <v>0</v>
      </c>
      <c r="AX441" s="1378">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78">
        <f t="shared" si="243"/>
        <v>0</v>
      </c>
      <c r="AW442" s="1378">
        <f t="shared" si="244"/>
        <v>0</v>
      </c>
      <c r="AX442" s="1378">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78">
        <f t="shared" si="243"/>
        <v>0</v>
      </c>
      <c r="AW443" s="1378">
        <f t="shared" si="244"/>
        <v>0</v>
      </c>
      <c r="AX443" s="1378">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78">
        <f t="shared" si="243"/>
        <v>0</v>
      </c>
      <c r="AW444" s="1378">
        <f t="shared" si="244"/>
        <v>0</v>
      </c>
      <c r="AX444" s="1378">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78">
        <f t="shared" si="243"/>
        <v>0</v>
      </c>
      <c r="AW445" s="1378">
        <f t="shared" si="244"/>
        <v>0</v>
      </c>
      <c r="AX445" s="1378">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78">
        <f t="shared" si="243"/>
        <v>0</v>
      </c>
      <c r="AW446" s="1378">
        <f t="shared" si="244"/>
        <v>0</v>
      </c>
      <c r="AX446" s="1378">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78">
        <f t="shared" si="243"/>
        <v>0</v>
      </c>
      <c r="AW447" s="1378">
        <f t="shared" si="244"/>
        <v>0</v>
      </c>
      <c r="AX447" s="1378">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78">
        <f t="shared" si="243"/>
        <v>0</v>
      </c>
      <c r="AW448" s="1378">
        <f t="shared" si="244"/>
        <v>0</v>
      </c>
      <c r="AX448" s="1378">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78">
        <f t="shared" si="243"/>
        <v>0</v>
      </c>
      <c r="AW449" s="1378">
        <f t="shared" si="244"/>
        <v>0</v>
      </c>
      <c r="AX449" s="1378">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78">
        <f t="shared" si="243"/>
        <v>0</v>
      </c>
      <c r="AW450" s="1378">
        <f t="shared" si="244"/>
        <v>0</v>
      </c>
      <c r="AX450" s="1378">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78">
        <f t="shared" si="243"/>
        <v>0</v>
      </c>
      <c r="AW451" s="1378">
        <f t="shared" si="244"/>
        <v>0</v>
      </c>
      <c r="AX451" s="1378">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78">
        <f t="shared" si="243"/>
        <v>0</v>
      </c>
      <c r="AW452" s="1378">
        <f t="shared" si="244"/>
        <v>0</v>
      </c>
      <c r="AX452" s="1378">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78">
        <f t="shared" si="243"/>
        <v>0</v>
      </c>
      <c r="AW453" s="1378">
        <f t="shared" si="244"/>
        <v>0</v>
      </c>
      <c r="AX453" s="1378">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78">
        <f t="shared" si="243"/>
        <v>0</v>
      </c>
      <c r="AW454" s="1378">
        <f t="shared" si="244"/>
        <v>0</v>
      </c>
      <c r="AX454" s="1378">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78">
        <f t="shared" si="243"/>
        <v>0</v>
      </c>
      <c r="AW455" s="1378">
        <f t="shared" si="244"/>
        <v>0</v>
      </c>
      <c r="AX455" s="1378">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78">
        <f t="shared" si="243"/>
        <v>0</v>
      </c>
      <c r="AW456" s="1378">
        <f t="shared" si="244"/>
        <v>0</v>
      </c>
      <c r="AX456" s="1378">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78">
        <f t="shared" si="243"/>
        <v>0</v>
      </c>
      <c r="AW457" s="1378">
        <f t="shared" si="244"/>
        <v>0</v>
      </c>
      <c r="AX457" s="1378">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78">
        <f t="shared" si="243"/>
        <v>0</v>
      </c>
      <c r="AW458" s="1378">
        <f t="shared" si="244"/>
        <v>0</v>
      </c>
      <c r="AX458" s="1378">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78">
        <f t="shared" si="243"/>
        <v>0</v>
      </c>
      <c r="AW459" s="1378">
        <f t="shared" si="244"/>
        <v>0</v>
      </c>
      <c r="AX459" s="1378">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78">
        <f t="shared" si="243"/>
        <v>0</v>
      </c>
      <c r="AW460" s="1378">
        <f t="shared" si="244"/>
        <v>0</v>
      </c>
      <c r="AX460" s="1378">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78">
        <f t="shared" si="243"/>
        <v>0</v>
      </c>
      <c r="AW461" s="1378">
        <f t="shared" si="244"/>
        <v>0</v>
      </c>
      <c r="AX461" s="1378">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78">
        <f t="shared" si="243"/>
        <v>0</v>
      </c>
      <c r="AW462" s="1378">
        <f t="shared" si="244"/>
        <v>0</v>
      </c>
      <c r="AX462" s="1378">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78">
        <f t="shared" si="243"/>
        <v>0</v>
      </c>
      <c r="AW463" s="1378">
        <f t="shared" si="244"/>
        <v>0</v>
      </c>
      <c r="AX463" s="1378">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78">
        <f t="shared" si="243"/>
        <v>0</v>
      </c>
      <c r="AW464" s="1378">
        <f t="shared" si="244"/>
        <v>0</v>
      </c>
      <c r="AX464" s="1378">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78">
        <f t="shared" si="243"/>
        <v>0</v>
      </c>
      <c r="AW465" s="1378">
        <f t="shared" si="244"/>
        <v>0</v>
      </c>
      <c r="AX465" s="1378">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78">
        <f t="shared" si="243"/>
        <v>0</v>
      </c>
      <c r="AW466" s="1378">
        <f t="shared" si="244"/>
        <v>0</v>
      </c>
      <c r="AX466" s="1378">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78">
        <f t="shared" si="243"/>
        <v>0</v>
      </c>
      <c r="AW467" s="1378">
        <f t="shared" si="244"/>
        <v>0</v>
      </c>
      <c r="AX467" s="1378">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78">
        <f t="shared" si="243"/>
        <v>0</v>
      </c>
      <c r="AW468" s="1378">
        <f t="shared" si="244"/>
        <v>0</v>
      </c>
      <c r="AX468" s="1378">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78">
        <f t="shared" si="243"/>
        <v>0</v>
      </c>
      <c r="AW469" s="1378">
        <f t="shared" si="244"/>
        <v>0</v>
      </c>
      <c r="AX469" s="1378">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78">
        <f t="shared" si="243"/>
        <v>0</v>
      </c>
      <c r="AW470" s="1378">
        <f t="shared" si="244"/>
        <v>0</v>
      </c>
      <c r="AX470" s="1378">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78">
        <f t="shared" si="243"/>
        <v>0</v>
      </c>
      <c r="AW471" s="1378">
        <f t="shared" si="244"/>
        <v>0</v>
      </c>
      <c r="AX471" s="1378">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78">
        <f t="shared" si="243"/>
        <v>0</v>
      </c>
      <c r="AW472" s="1378">
        <f t="shared" si="244"/>
        <v>0</v>
      </c>
      <c r="AX472" s="1378">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78">
        <f t="shared" si="243"/>
        <v>0</v>
      </c>
      <c r="AW473" s="1378">
        <f t="shared" si="244"/>
        <v>0</v>
      </c>
      <c r="AX473" s="1378">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78">
        <f t="shared" si="243"/>
        <v>0</v>
      </c>
      <c r="AW474" s="1378">
        <f t="shared" si="244"/>
        <v>0</v>
      </c>
      <c r="AX474" s="1378">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78">
        <f t="shared" si="243"/>
        <v>0</v>
      </c>
      <c r="AW475" s="1378">
        <f t="shared" si="244"/>
        <v>0</v>
      </c>
      <c r="AX475" s="1378">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78">
        <f t="shared" si="243"/>
        <v>0</v>
      </c>
      <c r="AW476" s="1378">
        <f t="shared" si="244"/>
        <v>0</v>
      </c>
      <c r="AX476" s="1378">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78">
        <f t="shared" si="243"/>
        <v>0</v>
      </c>
      <c r="AW477" s="1378">
        <f t="shared" si="244"/>
        <v>0</v>
      </c>
      <c r="AX477" s="1378">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78">
        <f t="shared" si="243"/>
        <v>0</v>
      </c>
      <c r="AW478" s="1378">
        <f t="shared" si="244"/>
        <v>0</v>
      </c>
      <c r="AX478" s="1378">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78">
        <f t="shared" si="243"/>
        <v>0</v>
      </c>
      <c r="AW479" s="1378">
        <f t="shared" si="244"/>
        <v>0</v>
      </c>
      <c r="AX479" s="1378">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78">
        <f t="shared" si="243"/>
        <v>0</v>
      </c>
      <c r="AW480" s="1378">
        <f t="shared" si="244"/>
        <v>0</v>
      </c>
      <c r="AX480" s="1378">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78">
        <f t="shared" si="243"/>
        <v>0</v>
      </c>
      <c r="AW481" s="1378">
        <f t="shared" si="244"/>
        <v>0</v>
      </c>
      <c r="AX481" s="1378">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78">
        <f t="shared" si="243"/>
        <v>0</v>
      </c>
      <c r="AW482" s="1378">
        <f t="shared" si="244"/>
        <v>0</v>
      </c>
      <c r="AX482" s="1378">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78">
        <f t="shared" si="243"/>
        <v>0</v>
      </c>
      <c r="AW483" s="1378">
        <f t="shared" si="244"/>
        <v>0</v>
      </c>
      <c r="AX483" s="1378">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78">
        <f t="shared" si="243"/>
        <v>0</v>
      </c>
      <c r="AW484" s="1378">
        <f t="shared" si="244"/>
        <v>0</v>
      </c>
      <c r="AX484" s="1378">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78">
        <f t="shared" si="243"/>
        <v>0</v>
      </c>
      <c r="AW485" s="1378">
        <f t="shared" si="244"/>
        <v>0</v>
      </c>
      <c r="AX485" s="1378">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78">
        <f t="shared" si="243"/>
        <v>0</v>
      </c>
      <c r="AW486" s="1378">
        <f t="shared" si="244"/>
        <v>0</v>
      </c>
      <c r="AX486" s="1378">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78">
        <f t="shared" si="243"/>
        <v>0</v>
      </c>
      <c r="AW487" s="1378">
        <f t="shared" si="244"/>
        <v>0</v>
      </c>
      <c r="AX487" s="1378">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78">
        <f t="shared" si="243"/>
        <v>0</v>
      </c>
      <c r="AW488" s="1378">
        <f t="shared" si="244"/>
        <v>0</v>
      </c>
      <c r="AX488" s="1378">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78">
        <f t="shared" si="243"/>
        <v>0</v>
      </c>
      <c r="AW489" s="1378">
        <f t="shared" si="244"/>
        <v>0</v>
      </c>
      <c r="AX489" s="1378">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78">
        <f t="shared" si="243"/>
        <v>0</v>
      </c>
      <c r="AW490" s="1378">
        <f t="shared" si="244"/>
        <v>0</v>
      </c>
      <c r="AX490" s="1378">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78">
        <f t="shared" si="243"/>
        <v>0</v>
      </c>
      <c r="AW491" s="1378">
        <f t="shared" si="244"/>
        <v>0</v>
      </c>
      <c r="AX491" s="1378">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78">
        <f t="shared" si="243"/>
        <v>0</v>
      </c>
      <c r="AW492" s="1378">
        <f t="shared" si="244"/>
        <v>0</v>
      </c>
      <c r="AX492" s="1378">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78">
        <f t="shared" ref="AV493:AV520" si="294">A493</f>
        <v>0</v>
      </c>
      <c r="AW493" s="1378">
        <f t="shared" ref="AW493:AW520" si="295">B493</f>
        <v>0</v>
      </c>
      <c r="AX493" s="1378">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78">
        <f t="shared" si="294"/>
        <v>0</v>
      </c>
      <c r="AW494" s="1378">
        <f t="shared" si="295"/>
        <v>0</v>
      </c>
      <c r="AX494" s="1378">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78">
        <f t="shared" si="294"/>
        <v>0</v>
      </c>
      <c r="AW495" s="1378">
        <f t="shared" si="295"/>
        <v>0</v>
      </c>
      <c r="AX495" s="1378">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78">
        <f t="shared" si="294"/>
        <v>0</v>
      </c>
      <c r="AW496" s="1378">
        <f t="shared" si="295"/>
        <v>0</v>
      </c>
      <c r="AX496" s="1378">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78">
        <f t="shared" si="294"/>
        <v>0</v>
      </c>
      <c r="AW497" s="1378">
        <f t="shared" si="295"/>
        <v>0</v>
      </c>
      <c r="AX497" s="1378">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78">
        <f t="shared" si="294"/>
        <v>0</v>
      </c>
      <c r="AW498" s="1378">
        <f t="shared" si="295"/>
        <v>0</v>
      </c>
      <c r="AX498" s="1378">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78">
        <f t="shared" si="294"/>
        <v>0</v>
      </c>
      <c r="AW499" s="1378">
        <f t="shared" si="295"/>
        <v>0</v>
      </c>
      <c r="AX499" s="1378">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78">
        <f t="shared" si="294"/>
        <v>0</v>
      </c>
      <c r="AW500" s="1378">
        <f t="shared" si="295"/>
        <v>0</v>
      </c>
      <c r="AX500" s="1378">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78">
        <f t="shared" si="294"/>
        <v>0</v>
      </c>
      <c r="AW501" s="1378">
        <f t="shared" si="295"/>
        <v>0</v>
      </c>
      <c r="AX501" s="1378">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78">
        <f t="shared" si="294"/>
        <v>0</v>
      </c>
      <c r="AW502" s="1378">
        <f t="shared" si="295"/>
        <v>0</v>
      </c>
      <c r="AX502" s="1378">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78">
        <f t="shared" si="294"/>
        <v>0</v>
      </c>
      <c r="AW503" s="1378">
        <f t="shared" si="295"/>
        <v>0</v>
      </c>
      <c r="AX503" s="1378">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78">
        <f t="shared" si="294"/>
        <v>0</v>
      </c>
      <c r="AW504" s="1378">
        <f t="shared" si="295"/>
        <v>0</v>
      </c>
      <c r="AX504" s="1378">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78">
        <f t="shared" si="294"/>
        <v>0</v>
      </c>
      <c r="AW505" s="1378">
        <f t="shared" si="295"/>
        <v>0</v>
      </c>
      <c r="AX505" s="1378">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78">
        <f t="shared" si="294"/>
        <v>0</v>
      </c>
      <c r="AW506" s="1378">
        <f t="shared" si="295"/>
        <v>0</v>
      </c>
      <c r="AX506" s="1378">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78">
        <f t="shared" si="294"/>
        <v>0</v>
      </c>
      <c r="AW507" s="1378">
        <f t="shared" si="295"/>
        <v>0</v>
      </c>
      <c r="AX507" s="1378">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78">
        <f t="shared" si="294"/>
        <v>0</v>
      </c>
      <c r="AW508" s="1378">
        <f t="shared" si="295"/>
        <v>0</v>
      </c>
      <c r="AX508" s="1378">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78">
        <f t="shared" si="294"/>
        <v>0</v>
      </c>
      <c r="AW509" s="1378">
        <f t="shared" si="295"/>
        <v>0</v>
      </c>
      <c r="AX509" s="1378">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78">
        <f t="shared" si="294"/>
        <v>0</v>
      </c>
      <c r="AW510" s="1378">
        <f t="shared" si="295"/>
        <v>0</v>
      </c>
      <c r="AX510" s="1378">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78">
        <f t="shared" si="294"/>
        <v>0</v>
      </c>
      <c r="AW511" s="1378">
        <f t="shared" si="295"/>
        <v>0</v>
      </c>
      <c r="AX511" s="1378">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78">
        <f t="shared" si="294"/>
        <v>0</v>
      </c>
      <c r="AW512" s="1378">
        <f t="shared" si="295"/>
        <v>0</v>
      </c>
      <c r="AX512" s="1378">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78">
        <f t="shared" si="294"/>
        <v>0</v>
      </c>
      <c r="AW513" s="1378">
        <f t="shared" si="295"/>
        <v>0</v>
      </c>
      <c r="AX513" s="1378">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78">
        <f t="shared" si="294"/>
        <v>0</v>
      </c>
      <c r="AW514" s="1378">
        <f t="shared" si="295"/>
        <v>0</v>
      </c>
      <c r="AX514" s="1378">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78">
        <f t="shared" si="294"/>
        <v>0</v>
      </c>
      <c r="AW515" s="1378">
        <f t="shared" si="295"/>
        <v>0</v>
      </c>
      <c r="AX515" s="1378">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78">
        <f t="shared" si="294"/>
        <v>0</v>
      </c>
      <c r="AW516" s="1378">
        <f t="shared" si="295"/>
        <v>0</v>
      </c>
      <c r="AX516" s="1378">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78">
        <f t="shared" si="294"/>
        <v>0</v>
      </c>
      <c r="AW517" s="1378">
        <f t="shared" si="295"/>
        <v>0</v>
      </c>
      <c r="AX517" s="1378">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78">
        <f t="shared" si="294"/>
        <v>0</v>
      </c>
      <c r="AW518" s="1378">
        <f t="shared" si="295"/>
        <v>0</v>
      </c>
      <c r="AX518" s="1378">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78">
        <f t="shared" si="294"/>
        <v>0</v>
      </c>
      <c r="AW519" s="1378">
        <f t="shared" si="295"/>
        <v>0</v>
      </c>
      <c r="AX519" s="1378">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78">
        <f t="shared" si="294"/>
        <v>0</v>
      </c>
      <c r="AW520" s="1378">
        <f t="shared" si="295"/>
        <v>0</v>
      </c>
      <c r="AX520" s="1378">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78">
        <f t="shared" ref="AV521:AV552" si="298">A521</f>
        <v>0</v>
      </c>
      <c r="AW521" s="1378">
        <f t="shared" ref="AW521:AW552" si="299">B521</f>
        <v>0</v>
      </c>
      <c r="AX521" s="1378">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78">
        <f t="shared" si="298"/>
        <v>0</v>
      </c>
      <c r="AW522" s="1378">
        <f t="shared" si="299"/>
        <v>0</v>
      </c>
      <c r="AX522" s="1378">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78">
        <f t="shared" si="298"/>
        <v>0</v>
      </c>
      <c r="AW523" s="1378">
        <f t="shared" si="299"/>
        <v>0</v>
      </c>
      <c r="AX523" s="1378">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78">
        <f t="shared" si="298"/>
        <v>0</v>
      </c>
      <c r="AW524" s="1378">
        <f t="shared" si="299"/>
        <v>0</v>
      </c>
      <c r="AX524" s="1378">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78">
        <f t="shared" si="298"/>
        <v>0</v>
      </c>
      <c r="AW525" s="1378">
        <f t="shared" si="299"/>
        <v>0</v>
      </c>
      <c r="AX525" s="1378">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78">
        <f t="shared" si="298"/>
        <v>0</v>
      </c>
      <c r="AW526" s="1378">
        <f t="shared" si="299"/>
        <v>0</v>
      </c>
      <c r="AX526" s="1378">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78">
        <f t="shared" si="298"/>
        <v>0</v>
      </c>
      <c r="AW527" s="1378">
        <f t="shared" si="299"/>
        <v>0</v>
      </c>
      <c r="AX527" s="1378">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78">
        <f t="shared" si="298"/>
        <v>0</v>
      </c>
      <c r="AW528" s="1378">
        <f t="shared" si="299"/>
        <v>0</v>
      </c>
      <c r="AX528" s="1378">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78">
        <f t="shared" si="298"/>
        <v>0</v>
      </c>
      <c r="AW529" s="1378">
        <f t="shared" si="299"/>
        <v>0</v>
      </c>
      <c r="AX529" s="1378">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78">
        <f t="shared" si="298"/>
        <v>0</v>
      </c>
      <c r="AW530" s="1378">
        <f t="shared" si="299"/>
        <v>0</v>
      </c>
      <c r="AX530" s="1378">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78">
        <f t="shared" si="298"/>
        <v>0</v>
      </c>
      <c r="AW531" s="1378">
        <f t="shared" si="299"/>
        <v>0</v>
      </c>
      <c r="AX531" s="1378">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78">
        <f t="shared" si="298"/>
        <v>0</v>
      </c>
      <c r="AW532" s="1378">
        <f t="shared" si="299"/>
        <v>0</v>
      </c>
      <c r="AX532" s="1378">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78">
        <f t="shared" si="298"/>
        <v>0</v>
      </c>
      <c r="AW533" s="1378">
        <f t="shared" si="299"/>
        <v>0</v>
      </c>
      <c r="AX533" s="1378">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78">
        <f t="shared" si="298"/>
        <v>0</v>
      </c>
      <c r="AW534" s="1378">
        <f t="shared" si="299"/>
        <v>0</v>
      </c>
      <c r="AX534" s="1378">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78">
        <f t="shared" si="298"/>
        <v>0</v>
      </c>
      <c r="AW535" s="1378">
        <f t="shared" si="299"/>
        <v>0</v>
      </c>
      <c r="AX535" s="1378">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78">
        <f t="shared" si="298"/>
        <v>0</v>
      </c>
      <c r="AW536" s="1378">
        <f t="shared" si="299"/>
        <v>0</v>
      </c>
      <c r="AX536" s="1378">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78">
        <f t="shared" si="298"/>
        <v>0</v>
      </c>
      <c r="AW537" s="1378">
        <f t="shared" si="299"/>
        <v>0</v>
      </c>
      <c r="AX537" s="1378">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78">
        <f t="shared" si="298"/>
        <v>0</v>
      </c>
      <c r="AW538" s="1378">
        <f t="shared" si="299"/>
        <v>0</v>
      </c>
      <c r="AX538" s="1378">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78">
        <f t="shared" si="298"/>
        <v>0</v>
      </c>
      <c r="AW539" s="1378">
        <f t="shared" si="299"/>
        <v>0</v>
      </c>
      <c r="AX539" s="1378">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78">
        <f t="shared" si="298"/>
        <v>0</v>
      </c>
      <c r="AW540" s="1378">
        <f t="shared" si="299"/>
        <v>0</v>
      </c>
      <c r="AX540" s="1378">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78">
        <f t="shared" si="298"/>
        <v>0</v>
      </c>
      <c r="AW541" s="1378">
        <f t="shared" si="299"/>
        <v>0</v>
      </c>
      <c r="AX541" s="1378">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78">
        <f t="shared" si="298"/>
        <v>0</v>
      </c>
      <c r="AW542" s="1378">
        <f t="shared" si="299"/>
        <v>0</v>
      </c>
      <c r="AX542" s="1378">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78">
        <f t="shared" si="298"/>
        <v>0</v>
      </c>
      <c r="AW543" s="1378">
        <f t="shared" si="299"/>
        <v>0</v>
      </c>
      <c r="AX543" s="1378">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78">
        <f t="shared" si="298"/>
        <v>0</v>
      </c>
      <c r="AW544" s="1378">
        <f t="shared" si="299"/>
        <v>0</v>
      </c>
      <c r="AX544" s="1378">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78">
        <f t="shared" si="298"/>
        <v>0</v>
      </c>
      <c r="AW545" s="1378">
        <f t="shared" si="299"/>
        <v>0</v>
      </c>
      <c r="AX545" s="1378">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78">
        <f t="shared" si="298"/>
        <v>0</v>
      </c>
      <c r="AW546" s="1378">
        <f t="shared" si="299"/>
        <v>0</v>
      </c>
      <c r="AX546" s="1378">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78">
        <f t="shared" si="298"/>
        <v>0</v>
      </c>
      <c r="AW547" s="1378">
        <f t="shared" si="299"/>
        <v>0</v>
      </c>
      <c r="AX547" s="1378">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78">
        <f t="shared" si="298"/>
        <v>0</v>
      </c>
      <c r="AW548" s="1378">
        <f t="shared" si="299"/>
        <v>0</v>
      </c>
      <c r="AX548" s="1378">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78">
        <f t="shared" si="298"/>
        <v>0</v>
      </c>
      <c r="AW549" s="1378">
        <f t="shared" si="299"/>
        <v>0</v>
      </c>
      <c r="AX549" s="1378">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78">
        <f t="shared" si="298"/>
        <v>0</v>
      </c>
      <c r="AW550" s="1378">
        <f t="shared" si="299"/>
        <v>0</v>
      </c>
      <c r="AX550" s="1378">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78">
        <f t="shared" si="298"/>
        <v>0</v>
      </c>
      <c r="AW551" s="1378">
        <f t="shared" si="299"/>
        <v>0</v>
      </c>
      <c r="AX551" s="1378">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78">
        <f t="shared" si="298"/>
        <v>0</v>
      </c>
      <c r="AW552" s="1378">
        <f t="shared" si="299"/>
        <v>0</v>
      </c>
      <c r="AX552" s="1378">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78">
        <f t="shared" ref="AV553:AV587" si="330">A553</f>
        <v>0</v>
      </c>
      <c r="AW553" s="1378">
        <f t="shared" ref="AW553:AW587" si="331">B553</f>
        <v>0</v>
      </c>
      <c r="AX553" s="1378">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78">
        <f t="shared" si="330"/>
        <v>0</v>
      </c>
      <c r="AW554" s="1378">
        <f t="shared" si="331"/>
        <v>0</v>
      </c>
      <c r="AX554" s="1378">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78">
        <f t="shared" si="330"/>
        <v>0</v>
      </c>
      <c r="AW555" s="1378">
        <f t="shared" si="331"/>
        <v>0</v>
      </c>
      <c r="AX555" s="1378">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78">
        <f t="shared" si="330"/>
        <v>0</v>
      </c>
      <c r="AW556" s="1378">
        <f t="shared" si="331"/>
        <v>0</v>
      </c>
      <c r="AX556" s="1378">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78">
        <f t="shared" si="330"/>
        <v>0</v>
      </c>
      <c r="AW557" s="1378">
        <f t="shared" si="331"/>
        <v>0</v>
      </c>
      <c r="AX557" s="1378">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78">
        <f t="shared" si="330"/>
        <v>0</v>
      </c>
      <c r="AW558" s="1378">
        <f t="shared" si="331"/>
        <v>0</v>
      </c>
      <c r="AX558" s="1378">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78">
        <f t="shared" si="330"/>
        <v>0</v>
      </c>
      <c r="AW559" s="1378">
        <f t="shared" si="331"/>
        <v>0</v>
      </c>
      <c r="AX559" s="1378">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78">
        <f t="shared" si="330"/>
        <v>0</v>
      </c>
      <c r="AW560" s="1378">
        <f t="shared" si="331"/>
        <v>0</v>
      </c>
      <c r="AX560" s="1378">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78">
        <f t="shared" si="330"/>
        <v>0</v>
      </c>
      <c r="AW561" s="1378">
        <f t="shared" si="331"/>
        <v>0</v>
      </c>
      <c r="AX561" s="1378">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78">
        <f t="shared" si="330"/>
        <v>0</v>
      </c>
      <c r="AW562" s="1378">
        <f t="shared" si="331"/>
        <v>0</v>
      </c>
      <c r="AX562" s="1378">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78">
        <f t="shared" si="330"/>
        <v>0</v>
      </c>
      <c r="AW563" s="1378">
        <f t="shared" si="331"/>
        <v>0</v>
      </c>
      <c r="AX563" s="1378">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78">
        <f t="shared" si="330"/>
        <v>0</v>
      </c>
      <c r="AW564" s="1378">
        <f t="shared" si="331"/>
        <v>0</v>
      </c>
      <c r="AX564" s="1378">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78">
        <f t="shared" si="330"/>
        <v>0</v>
      </c>
      <c r="AW565" s="1378">
        <f t="shared" si="331"/>
        <v>0</v>
      </c>
      <c r="AX565" s="1378">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78">
        <f t="shared" si="330"/>
        <v>0</v>
      </c>
      <c r="AW566" s="1378">
        <f t="shared" si="331"/>
        <v>0</v>
      </c>
      <c r="AX566" s="1378">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78">
        <f t="shared" si="330"/>
        <v>0</v>
      </c>
      <c r="AW567" s="1378">
        <f t="shared" si="331"/>
        <v>0</v>
      </c>
      <c r="AX567" s="1378">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78">
        <f t="shared" si="330"/>
        <v>0</v>
      </c>
      <c r="AW568" s="1378">
        <f t="shared" si="331"/>
        <v>0</v>
      </c>
      <c r="AX568" s="1378">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78">
        <f t="shared" si="330"/>
        <v>0</v>
      </c>
      <c r="AW569" s="1378">
        <f t="shared" si="331"/>
        <v>0</v>
      </c>
      <c r="AX569" s="1378">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78">
        <f t="shared" si="330"/>
        <v>0</v>
      </c>
      <c r="AW570" s="1378">
        <f t="shared" si="331"/>
        <v>0</v>
      </c>
      <c r="AX570" s="1378">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78">
        <f t="shared" si="330"/>
        <v>0</v>
      </c>
      <c r="AW571" s="1378">
        <f t="shared" si="331"/>
        <v>0</v>
      </c>
      <c r="AX571" s="1378">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78">
        <f t="shared" si="330"/>
        <v>0</v>
      </c>
      <c r="AW572" s="1378">
        <f t="shared" si="331"/>
        <v>0</v>
      </c>
      <c r="AX572" s="1378">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78">
        <f t="shared" si="330"/>
        <v>0</v>
      </c>
      <c r="AW573" s="1378">
        <f t="shared" si="331"/>
        <v>0</v>
      </c>
      <c r="AX573" s="1378">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78">
        <f t="shared" si="330"/>
        <v>0</v>
      </c>
      <c r="AW574" s="1378">
        <f t="shared" si="331"/>
        <v>0</v>
      </c>
      <c r="AX574" s="1378">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78">
        <f t="shared" si="330"/>
        <v>0</v>
      </c>
      <c r="AW575" s="1378">
        <f t="shared" si="331"/>
        <v>0</v>
      </c>
      <c r="AX575" s="1378">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78">
        <f t="shared" si="330"/>
        <v>0</v>
      </c>
      <c r="AW576" s="1378">
        <f t="shared" si="331"/>
        <v>0</v>
      </c>
      <c r="AX576" s="1378">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78">
        <f t="shared" si="330"/>
        <v>0</v>
      </c>
      <c r="AW577" s="1378">
        <f t="shared" si="331"/>
        <v>0</v>
      </c>
      <c r="AX577" s="1378">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78">
        <f t="shared" si="330"/>
        <v>0</v>
      </c>
      <c r="AW578" s="1378">
        <f t="shared" si="331"/>
        <v>0</v>
      </c>
      <c r="AX578" s="1378">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78">
        <f t="shared" si="330"/>
        <v>0</v>
      </c>
      <c r="AW579" s="1378">
        <f t="shared" si="331"/>
        <v>0</v>
      </c>
      <c r="AX579" s="1378">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78">
        <f t="shared" si="330"/>
        <v>0</v>
      </c>
      <c r="AW580" s="1378">
        <f t="shared" si="331"/>
        <v>0</v>
      </c>
      <c r="AX580" s="1378">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78">
        <f t="shared" si="330"/>
        <v>0</v>
      </c>
      <c r="AW581" s="1378">
        <f t="shared" si="331"/>
        <v>0</v>
      </c>
      <c r="AX581" s="1378">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78">
        <f t="shared" si="330"/>
        <v>0</v>
      </c>
      <c r="AW582" s="1378">
        <f t="shared" si="331"/>
        <v>0</v>
      </c>
      <c r="AX582" s="1378">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78">
        <f t="shared" si="330"/>
        <v>0</v>
      </c>
      <c r="AW583" s="1378">
        <f t="shared" si="331"/>
        <v>0</v>
      </c>
      <c r="AX583" s="1378">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78">
        <f t="shared" si="330"/>
        <v>0</v>
      </c>
      <c r="AW584" s="1378">
        <f t="shared" si="331"/>
        <v>0</v>
      </c>
      <c r="AX584" s="1378">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78">
        <f t="shared" si="330"/>
        <v>0</v>
      </c>
      <c r="AW585" s="1378">
        <f t="shared" si="331"/>
        <v>0</v>
      </c>
      <c r="AX585" s="1378">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78">
        <f t="shared" si="330"/>
        <v>0</v>
      </c>
      <c r="AW586" s="1378">
        <f t="shared" si="331"/>
        <v>0</v>
      </c>
      <c r="AX586" s="1378">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78">
        <f t="shared" si="330"/>
        <v>0</v>
      </c>
      <c r="AW587" s="1378">
        <f t="shared" si="331"/>
        <v>0</v>
      </c>
      <c r="AX587" s="1378">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5" defaultRowHeight="14.25"/>
  <cols>
    <col min="1" max="1" width="12.125" style="3148" customWidth="1"/>
    <col min="2" max="2" width="10.25" style="3148" customWidth="1"/>
    <col min="3" max="3" width="18.5" style="3148" customWidth="1"/>
    <col min="4" max="4" width="11.625" style="3148" customWidth="1"/>
    <col min="5" max="5" width="13.375" style="3148" customWidth="1"/>
    <col min="6" max="8" width="11.5" style="3148" customWidth="1"/>
    <col min="9" max="9" width="11.125" style="3148" customWidth="1"/>
    <col min="10" max="10" width="3.125" style="3149" customWidth="1"/>
    <col min="11" max="16" width="10" style="3148" customWidth="1"/>
    <col min="17" max="17" width="2.625" style="3148" customWidth="1"/>
    <col min="18" max="18" width="9.375" style="3148" customWidth="1"/>
    <col min="19" max="19" width="10.5" style="3148" customWidth="1"/>
    <col min="20" max="16384" width="9.25" style="3148"/>
  </cols>
  <sheetData>
    <row r="1" ht="19.5" spans="1:16">
      <c r="A1" s="2510" t="s">
        <v>604</v>
      </c>
      <c r="B1" s="2596"/>
      <c r="C1" s="2596"/>
      <c r="D1" s="2596"/>
      <c r="E1" s="2596"/>
      <c r="F1" s="2596"/>
      <c r="G1" s="2596"/>
      <c r="H1" s="2596"/>
      <c r="I1" s="2596"/>
      <c r="J1" s="2596"/>
      <c r="K1" s="2596"/>
      <c r="L1" s="2596"/>
      <c r="M1" s="2596"/>
      <c r="N1" s="2596"/>
      <c r="O1" s="2596"/>
      <c r="P1" s="2596"/>
    </row>
    <row r="2" spans="1:16">
      <c r="A2" s="2384" t="s">
        <v>605</v>
      </c>
      <c r="B2" s="2384"/>
      <c r="C2" s="2384"/>
      <c r="D2" s="2384" t="s">
        <v>606</v>
      </c>
      <c r="E2" s="3150" t="s">
        <v>607</v>
      </c>
      <c r="F2" s="3151"/>
      <c r="G2" s="3152"/>
      <c r="H2" s="3153"/>
      <c r="I2" s="2774" t="s">
        <v>608</v>
      </c>
      <c r="J2" s="3151"/>
      <c r="K2" s="3151"/>
      <c r="L2" s="3151"/>
      <c r="M2" s="3151"/>
      <c r="N2" s="1509"/>
      <c r="O2" s="3151"/>
      <c r="P2" s="3151"/>
    </row>
    <row r="3" ht="15.75" spans="1:16">
      <c r="A3" s="3154" t="s">
        <v>609</v>
      </c>
      <c r="B3" s="3154"/>
      <c r="C3" s="3154"/>
      <c r="D3" s="3155">
        <f>'数据-基础表'!AY6</f>
        <v>0</v>
      </c>
      <c r="E3" s="3155">
        <f>'数据-基础表'!AZ5</f>
        <v>112.13</v>
      </c>
      <c r="F3" s="3151"/>
      <c r="G3" s="3156"/>
      <c r="H3" s="2544" t="s">
        <v>610</v>
      </c>
      <c r="I3" s="3219" t="e">
        <f>ROUND('数据-基础表'!B3/'数据-基础表'!A3,2)</f>
        <v>#DIV/0!</v>
      </c>
      <c r="J3" s="3151"/>
      <c r="K3" s="3151"/>
      <c r="L3" s="3151"/>
      <c r="M3" s="3151"/>
      <c r="N3" s="1509"/>
      <c r="O3" s="3151"/>
      <c r="P3" s="3151"/>
    </row>
    <row r="4" ht="15" spans="1:16">
      <c r="A4" s="2772"/>
      <c r="B4" s="2773"/>
      <c r="C4" s="3157"/>
      <c r="D4" s="3158" t="s">
        <v>606</v>
      </c>
      <c r="E4" s="3159" t="s">
        <v>607</v>
      </c>
      <c r="F4" s="3151"/>
      <c r="G4" s="3160" t="s">
        <v>611</v>
      </c>
      <c r="H4" s="2544" t="s">
        <v>612</v>
      </c>
      <c r="I4" s="3219" t="e">
        <f>ROUND(SUMIF('数据-基础表'!I9:AS9,"地上",'数据-基础表'!I5:AS5)/'数据-基础表'!A3,2)</f>
        <v>#DIV/0!</v>
      </c>
      <c r="J4" s="3151"/>
      <c r="K4" s="3151"/>
      <c r="L4" s="3151"/>
      <c r="M4" s="3151"/>
      <c r="N4" s="1509"/>
      <c r="O4" s="3151"/>
      <c r="P4" s="3151"/>
    </row>
    <row r="5" spans="1:16">
      <c r="A5" s="3161" t="s">
        <v>613</v>
      </c>
      <c r="B5" s="1394" t="s">
        <v>614</v>
      </c>
      <c r="C5" s="1394"/>
      <c r="D5" s="3162">
        <f>ROUND($D$3*E5/$E$3,2)</f>
        <v>0</v>
      </c>
      <c r="E5" s="3163">
        <f>SUMIF('数据-基础表'!$11:$11,"住宅",'数据-基础表'!$5:$5)</f>
        <v>0</v>
      </c>
      <c r="F5" s="3151"/>
      <c r="G5" s="3156"/>
      <c r="H5" s="2544" t="s">
        <v>610</v>
      </c>
      <c r="I5" s="3219" t="e">
        <f>ROUND(E31/D31,2)</f>
        <v>#DIV/0!</v>
      </c>
      <c r="J5" s="3151"/>
      <c r="K5" s="3151"/>
      <c r="L5" s="3151"/>
      <c r="M5" s="3151"/>
      <c r="N5" s="3151"/>
      <c r="O5" s="3151"/>
      <c r="P5" s="3151"/>
    </row>
    <row r="6" ht="15" spans="1:16">
      <c r="A6" s="3164"/>
      <c r="B6" s="1394" t="s">
        <v>615</v>
      </c>
      <c r="C6" s="1394"/>
      <c r="D6" s="3162">
        <f>ROUND($D$3*E6/$E$3,2)</f>
        <v>0</v>
      </c>
      <c r="E6" s="3163">
        <f>E3-E5</f>
        <v>112.13</v>
      </c>
      <c r="F6" s="3151"/>
      <c r="G6" s="3165" t="s">
        <v>616</v>
      </c>
      <c r="H6" s="3166" t="s">
        <v>612</v>
      </c>
      <c r="I6" s="3220" t="e">
        <f>ROUND(F31/D31,2)</f>
        <v>#DIV/0!</v>
      </c>
      <c r="J6" s="3151"/>
      <c r="K6" s="3151"/>
      <c r="L6" s="3151"/>
      <c r="M6" s="3151"/>
      <c r="N6" s="3151"/>
      <c r="O6" s="3151"/>
      <c r="P6" s="3151"/>
    </row>
    <row r="7" ht="15" spans="1:16">
      <c r="A7" s="3167"/>
      <c r="B7" s="3168"/>
      <c r="C7" s="3169"/>
      <c r="D7" s="3158" t="s">
        <v>606</v>
      </c>
      <c r="E7" s="3170" t="s">
        <v>617</v>
      </c>
      <c r="F7" s="3151"/>
      <c r="G7" s="3171" t="s">
        <v>618</v>
      </c>
      <c r="H7" s="3172"/>
      <c r="I7" s="3221">
        <v>2.5</v>
      </c>
      <c r="J7" s="3151"/>
      <c r="K7" s="3151"/>
      <c r="L7" s="3151"/>
      <c r="M7" s="3151"/>
      <c r="N7" s="3151"/>
      <c r="O7" s="3151"/>
      <c r="P7" s="3151"/>
    </row>
    <row r="8" spans="1:16">
      <c r="A8" s="3161" t="s">
        <v>619</v>
      </c>
      <c r="B8" s="3173" t="s">
        <v>620</v>
      </c>
      <c r="C8" s="3162" t="s">
        <v>621</v>
      </c>
      <c r="D8" s="3162">
        <f t="shared" ref="D8:D15" si="0">ROUND($D$3*E8/$E$3,2)</f>
        <v>0</v>
      </c>
      <c r="E8" s="3174">
        <f>SUMIF('数据-基础表'!BB10:BK10,"地上",'数据-基础表'!BB5:BK5)</f>
        <v>112.13</v>
      </c>
      <c r="F8" s="3151"/>
      <c r="G8" s="3175"/>
      <c r="H8" s="3175"/>
      <c r="I8" s="3151"/>
      <c r="J8" s="3151"/>
      <c r="K8" s="3151"/>
      <c r="L8" s="3151"/>
      <c r="M8" s="3151"/>
      <c r="N8" s="3151"/>
      <c r="O8" s="3151"/>
      <c r="P8" s="3151"/>
    </row>
    <row r="9" spans="1:16">
      <c r="A9" s="3176"/>
      <c r="B9" s="3177"/>
      <c r="C9" s="3162" t="s">
        <v>622</v>
      </c>
      <c r="D9" s="3162">
        <f t="shared" si="0"/>
        <v>0</v>
      </c>
      <c r="E9" s="3178">
        <v>0</v>
      </c>
      <c r="F9" s="3151"/>
      <c r="G9" s="3175"/>
      <c r="H9" s="3175"/>
      <c r="I9" s="3151"/>
      <c r="J9" s="3151"/>
      <c r="K9" s="3151"/>
      <c r="L9" s="3151"/>
      <c r="M9" s="3151"/>
      <c r="N9" s="3151"/>
      <c r="O9" s="3151"/>
      <c r="P9" s="3151"/>
    </row>
    <row r="10" spans="1:16">
      <c r="A10" s="3176"/>
      <c r="B10" s="3177"/>
      <c r="C10" s="3162" t="s">
        <v>623</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spans="1:16">
      <c r="A11" s="3176"/>
      <c r="B11" s="3177"/>
      <c r="C11" s="3162" t="s">
        <v>624</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spans="1:16">
      <c r="A12" s="3176"/>
      <c r="B12" s="3177"/>
      <c r="C12" s="3162" t="s">
        <v>625</v>
      </c>
      <c r="D12" s="3162">
        <f t="shared" si="0"/>
        <v>0</v>
      </c>
      <c r="E12" s="3174">
        <f>SUMPRODUCT(('数据-基础表'!BB10:BK10="地下")*('数据-基础表'!BB11:BK11="仓储")*('数据-基础表'!BB5:BK5))</f>
        <v>0</v>
      </c>
      <c r="F12" s="3151"/>
      <c r="G12" s="3175"/>
      <c r="H12" s="3175"/>
      <c r="I12" s="3151"/>
      <c r="J12" s="3151"/>
      <c r="K12" s="3151"/>
      <c r="L12" s="3151"/>
      <c r="M12" s="3151"/>
      <c r="N12" s="3151"/>
      <c r="O12" s="3151"/>
      <c r="P12" s="3151"/>
    </row>
    <row r="13" spans="1:16">
      <c r="A13" s="3176"/>
      <c r="B13" s="3177"/>
      <c r="C13" s="3162" t="s">
        <v>626</v>
      </c>
      <c r="D13" s="3162">
        <f t="shared" si="0"/>
        <v>0</v>
      </c>
      <c r="E13" s="3174">
        <f>SUMPRODUCT(('数据-基础表'!BB10:BK10="地下")*('数据-基础表'!BB11:BK11="车库")*('数据-基础表'!BB5:BK5))</f>
        <v>0</v>
      </c>
      <c r="F13" s="3151"/>
      <c r="G13" s="3175"/>
      <c r="H13" s="3175"/>
      <c r="I13" s="3151"/>
      <c r="J13" s="3151"/>
      <c r="K13" s="3151"/>
      <c r="L13" s="3151"/>
      <c r="M13" s="3151"/>
      <c r="N13" s="3151"/>
      <c r="O13" s="3151"/>
      <c r="P13" s="3151"/>
    </row>
    <row r="14" spans="1:16">
      <c r="A14" s="3176"/>
      <c r="B14" s="3177"/>
      <c r="C14" s="3162" t="s">
        <v>627</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 spans="1:16">
      <c r="A15" s="3176"/>
      <c r="B15" s="3177"/>
      <c r="C15" s="3162" t="s">
        <v>628</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 spans="1:16">
      <c r="A16" s="3164"/>
      <c r="B16" s="3177"/>
      <c r="C16" s="3173" t="s">
        <v>629</v>
      </c>
      <c r="D16" s="3173">
        <f>SUM(D8:D15)</f>
        <v>0</v>
      </c>
      <c r="E16" s="3179">
        <f>SUM(E8:E15)</f>
        <v>112.13</v>
      </c>
      <c r="F16" s="3151"/>
      <c r="G16" s="3175"/>
      <c r="H16" s="3180" t="s">
        <v>630</v>
      </c>
      <c r="I16" s="3222"/>
      <c r="J16" s="2596"/>
      <c r="K16" s="3223" t="s">
        <v>630</v>
      </c>
      <c r="L16" s="3182"/>
      <c r="M16" s="3182"/>
      <c r="N16" s="3182"/>
      <c r="O16" s="3182"/>
      <c r="P16" s="3224"/>
    </row>
    <row r="17" ht="15" spans="1:19">
      <c r="A17" s="3110" t="s">
        <v>631</v>
      </c>
      <c r="B17" s="3181" t="s">
        <v>632</v>
      </c>
      <c r="C17" s="3109" t="s">
        <v>633</v>
      </c>
      <c r="D17" s="3182" t="s">
        <v>606</v>
      </c>
      <c r="E17" s="3183" t="s">
        <v>607</v>
      </c>
      <c r="F17" s="3184"/>
      <c r="G17" s="3185"/>
      <c r="H17" s="3186" t="s">
        <v>634</v>
      </c>
      <c r="I17" s="3225" t="s">
        <v>635</v>
      </c>
      <c r="J17" s="2596"/>
      <c r="K17" s="3226" t="s">
        <v>636</v>
      </c>
      <c r="L17" s="3227"/>
      <c r="M17" s="3228"/>
      <c r="N17" s="3226" t="s">
        <v>637</v>
      </c>
      <c r="O17" s="3227"/>
      <c r="P17" s="3228"/>
      <c r="R17" s="3241" t="s">
        <v>638</v>
      </c>
      <c r="S17" s="2531"/>
    </row>
    <row r="18" ht="15" spans="1:19">
      <c r="A18" s="3176"/>
      <c r="B18" s="3187"/>
      <c r="C18" s="3188"/>
      <c r="D18" s="3189"/>
      <c r="E18" s="3190" t="s">
        <v>639</v>
      </c>
      <c r="F18" s="3191" t="s">
        <v>612</v>
      </c>
      <c r="G18" s="3192" t="s">
        <v>640</v>
      </c>
      <c r="H18" s="3115" t="s">
        <v>641</v>
      </c>
      <c r="I18" s="3229" t="s">
        <v>642</v>
      </c>
      <c r="J18" s="2596"/>
      <c r="K18" s="3115" t="s">
        <v>643</v>
      </c>
      <c r="L18" s="2793" t="s">
        <v>644</v>
      </c>
      <c r="M18" s="3219" t="s">
        <v>645</v>
      </c>
      <c r="N18" s="3115" t="s">
        <v>643</v>
      </c>
      <c r="O18" s="2793" t="s">
        <v>644</v>
      </c>
      <c r="P18" s="3219" t="s">
        <v>645</v>
      </c>
      <c r="R18" s="2544" t="s">
        <v>641</v>
      </c>
      <c r="S18" s="2544" t="s">
        <v>642</v>
      </c>
    </row>
    <row r="19" spans="1:19">
      <c r="A19" s="3193"/>
      <c r="B19" s="3173" t="s">
        <v>646</v>
      </c>
      <c r="C19" s="3194">
        <v>1607</v>
      </c>
      <c r="D19" s="3162">
        <f>ROUND($D$3*E19/$E$3,2)</f>
        <v>0</v>
      </c>
      <c r="E19" s="3195">
        <f t="shared" ref="E19:E26" si="1">SUM(F19:G19)</f>
        <v>112.13</v>
      </c>
      <c r="F19" s="3196">
        <f>'数据-基础表'!I13</f>
        <v>112.13</v>
      </c>
      <c r="G19" s="3197"/>
      <c r="H19" s="3099">
        <f>ROUND($D$3*I19/$E$3,2)</f>
        <v>0</v>
      </c>
      <c r="I19" s="3174">
        <f t="shared" ref="I19:I26" si="2">IF($I$17="自定义",P19,M19)</f>
        <v>0</v>
      </c>
      <c r="J19" s="2596"/>
      <c r="K19" s="3230">
        <f t="shared" ref="K19:K26" si="3">ROUND(E$28*E19/E$27,2)</f>
        <v>0</v>
      </c>
      <c r="L19" s="2544">
        <f t="shared" ref="L19:L26" si="4">ROUND(IF(COUNTIF(C19,"*住宅*")&gt;0,E$29*E19/E$32,0),2)</f>
        <v>0</v>
      </c>
      <c r="M19" s="3231">
        <f>K19+L19</f>
        <v>0</v>
      </c>
      <c r="N19" s="3232"/>
      <c r="O19" s="3233"/>
      <c r="P19" s="3231">
        <f>N19+O19</f>
        <v>0</v>
      </c>
      <c r="R19" s="2544">
        <f t="shared" ref="R19:S26" si="5">D19+H19</f>
        <v>0</v>
      </c>
      <c r="S19" s="3242">
        <f t="shared" si="5"/>
        <v>112.13</v>
      </c>
    </row>
    <row r="20" spans="1:19">
      <c r="A20" s="3198"/>
      <c r="B20" s="3173" t="s">
        <v>646</v>
      </c>
      <c r="C20" s="3194"/>
      <c r="D20" s="3162">
        <f t="shared" ref="D20:D26" si="6">ROUND($D$3*E20/$E$3,2)</f>
        <v>0</v>
      </c>
      <c r="E20" s="3195">
        <f t="shared" si="1"/>
        <v>0</v>
      </c>
      <c r="F20" s="3196"/>
      <c r="G20" s="3197"/>
      <c r="H20" s="3099">
        <f t="shared" ref="H20:H26" si="7">ROUND($D$3*I20/$E$3,2)</f>
        <v>0</v>
      </c>
      <c r="I20" s="3174">
        <f t="shared" si="2"/>
        <v>0</v>
      </c>
      <c r="J20" s="2596"/>
      <c r="K20" s="3230">
        <f t="shared" si="3"/>
        <v>0</v>
      </c>
      <c r="L20" s="2544">
        <f t="shared" si="4"/>
        <v>0</v>
      </c>
      <c r="M20" s="3231">
        <f t="shared" ref="M20:M26" si="8">K20+L20</f>
        <v>0</v>
      </c>
      <c r="N20" s="3232"/>
      <c r="O20" s="3233"/>
      <c r="P20" s="3231">
        <f t="shared" ref="P20:P26" si="9">N20+O20</f>
        <v>0</v>
      </c>
      <c r="R20" s="2544">
        <f t="shared" si="5"/>
        <v>0</v>
      </c>
      <c r="S20" s="3242">
        <f t="shared" si="5"/>
        <v>0</v>
      </c>
    </row>
    <row r="21" spans="1:19">
      <c r="A21" s="3198"/>
      <c r="B21" s="3173" t="s">
        <v>646</v>
      </c>
      <c r="C21" s="3194"/>
      <c r="D21" s="3162">
        <f t="shared" si="6"/>
        <v>0</v>
      </c>
      <c r="E21" s="3195">
        <f t="shared" si="1"/>
        <v>0</v>
      </c>
      <c r="F21" s="3196"/>
      <c r="G21" s="3197"/>
      <c r="H21" s="3099">
        <f t="shared" si="7"/>
        <v>0</v>
      </c>
      <c r="I21" s="3174">
        <f t="shared" si="2"/>
        <v>0</v>
      </c>
      <c r="J21" s="2596"/>
      <c r="K21" s="3230">
        <f t="shared" si="3"/>
        <v>0</v>
      </c>
      <c r="L21" s="2544">
        <f t="shared" si="4"/>
        <v>0</v>
      </c>
      <c r="M21" s="3231">
        <f t="shared" si="8"/>
        <v>0</v>
      </c>
      <c r="N21" s="3232"/>
      <c r="O21" s="3233"/>
      <c r="P21" s="3231">
        <f t="shared" si="9"/>
        <v>0</v>
      </c>
      <c r="R21" s="2544">
        <f t="shared" si="5"/>
        <v>0</v>
      </c>
      <c r="S21" s="3242">
        <f t="shared" si="5"/>
        <v>0</v>
      </c>
    </row>
    <row r="22" spans="1:19">
      <c r="A22" s="3198"/>
      <c r="B22" s="3173" t="s">
        <v>646</v>
      </c>
      <c r="C22" s="3199"/>
      <c r="D22" s="3162">
        <f t="shared" si="6"/>
        <v>0</v>
      </c>
      <c r="E22" s="3195">
        <f t="shared" si="1"/>
        <v>0</v>
      </c>
      <c r="F22" s="3200"/>
      <c r="G22" s="3201"/>
      <c r="H22" s="3099">
        <f t="shared" si="7"/>
        <v>0</v>
      </c>
      <c r="I22" s="3174">
        <f t="shared" si="2"/>
        <v>0</v>
      </c>
      <c r="J22" s="2596"/>
      <c r="K22" s="3230">
        <f t="shared" si="3"/>
        <v>0</v>
      </c>
      <c r="L22" s="2544">
        <f t="shared" si="4"/>
        <v>0</v>
      </c>
      <c r="M22" s="3231">
        <f t="shared" si="8"/>
        <v>0</v>
      </c>
      <c r="N22" s="3232"/>
      <c r="O22" s="3233"/>
      <c r="P22" s="3231">
        <f t="shared" si="9"/>
        <v>0</v>
      </c>
      <c r="R22" s="2544">
        <f t="shared" si="5"/>
        <v>0</v>
      </c>
      <c r="S22" s="3242">
        <f t="shared" si="5"/>
        <v>0</v>
      </c>
    </row>
    <row r="23" spans="1:19">
      <c r="A23" s="3198"/>
      <c r="B23" s="3173" t="s">
        <v>646</v>
      </c>
      <c r="C23" s="3199"/>
      <c r="D23" s="3162">
        <f t="shared" si="6"/>
        <v>0</v>
      </c>
      <c r="E23" s="3195">
        <f t="shared" si="1"/>
        <v>0</v>
      </c>
      <c r="F23" s="3200"/>
      <c r="G23" s="3201"/>
      <c r="H23" s="3099">
        <f t="shared" si="7"/>
        <v>0</v>
      </c>
      <c r="I23" s="3174">
        <f t="shared" si="2"/>
        <v>0</v>
      </c>
      <c r="J23" s="2596"/>
      <c r="K23" s="3230">
        <f t="shared" si="3"/>
        <v>0</v>
      </c>
      <c r="L23" s="2544">
        <f t="shared" si="4"/>
        <v>0</v>
      </c>
      <c r="M23" s="3231">
        <f t="shared" si="8"/>
        <v>0</v>
      </c>
      <c r="N23" s="3232"/>
      <c r="O23" s="3233"/>
      <c r="P23" s="3231">
        <f t="shared" si="9"/>
        <v>0</v>
      </c>
      <c r="R23" s="2544">
        <f t="shared" si="5"/>
        <v>0</v>
      </c>
      <c r="S23" s="3242">
        <f t="shared" si="5"/>
        <v>0</v>
      </c>
    </row>
    <row r="24" spans="1:19">
      <c r="A24" s="3198"/>
      <c r="B24" s="3173" t="s">
        <v>646</v>
      </c>
      <c r="C24" s="3199"/>
      <c r="D24" s="3162">
        <f t="shared" si="6"/>
        <v>0</v>
      </c>
      <c r="E24" s="3195">
        <f t="shared" si="1"/>
        <v>0</v>
      </c>
      <c r="F24" s="3200"/>
      <c r="G24" s="3201"/>
      <c r="H24" s="3099">
        <f t="shared" si="7"/>
        <v>0</v>
      </c>
      <c r="I24" s="3174">
        <f t="shared" si="2"/>
        <v>0</v>
      </c>
      <c r="J24" s="2596"/>
      <c r="K24" s="3230">
        <f t="shared" si="3"/>
        <v>0</v>
      </c>
      <c r="L24" s="2544">
        <f t="shared" si="4"/>
        <v>0</v>
      </c>
      <c r="M24" s="3231">
        <f t="shared" si="8"/>
        <v>0</v>
      </c>
      <c r="N24" s="3232"/>
      <c r="O24" s="3233"/>
      <c r="P24" s="3231">
        <f t="shared" si="9"/>
        <v>0</v>
      </c>
      <c r="R24" s="2544">
        <f t="shared" si="5"/>
        <v>0</v>
      </c>
      <c r="S24" s="3242">
        <f t="shared" si="5"/>
        <v>0</v>
      </c>
    </row>
    <row r="25" spans="1:19">
      <c r="A25" s="3198"/>
      <c r="B25" s="3173" t="s">
        <v>646</v>
      </c>
      <c r="C25" s="3199"/>
      <c r="D25" s="3162">
        <f t="shared" si="6"/>
        <v>0</v>
      </c>
      <c r="E25" s="3195">
        <f t="shared" si="1"/>
        <v>0</v>
      </c>
      <c r="F25" s="3200"/>
      <c r="G25" s="3201"/>
      <c r="H25" s="3161">
        <f t="shared" si="7"/>
        <v>0</v>
      </c>
      <c r="I25" s="3174">
        <f t="shared" si="2"/>
        <v>0</v>
      </c>
      <c r="J25" s="2596"/>
      <c r="K25" s="3230">
        <f t="shared" si="3"/>
        <v>0</v>
      </c>
      <c r="L25" s="2544">
        <f t="shared" si="4"/>
        <v>0</v>
      </c>
      <c r="M25" s="3231">
        <f t="shared" si="8"/>
        <v>0</v>
      </c>
      <c r="N25" s="3232"/>
      <c r="O25" s="3233"/>
      <c r="P25" s="3231">
        <f t="shared" si="9"/>
        <v>0</v>
      </c>
      <c r="R25" s="2544">
        <f t="shared" si="5"/>
        <v>0</v>
      </c>
      <c r="S25" s="3242">
        <f t="shared" si="5"/>
        <v>0</v>
      </c>
    </row>
    <row r="26" spans="1:19">
      <c r="A26" s="3198"/>
      <c r="B26" s="3173" t="s">
        <v>646</v>
      </c>
      <c r="C26" s="3202"/>
      <c r="D26" s="3162">
        <f t="shared" si="6"/>
        <v>0</v>
      </c>
      <c r="E26" s="3195">
        <f t="shared" si="1"/>
        <v>0</v>
      </c>
      <c r="F26" s="3200"/>
      <c r="G26" s="3201"/>
      <c r="H26" s="3161">
        <f t="shared" si="7"/>
        <v>0</v>
      </c>
      <c r="I26" s="3174">
        <f t="shared" si="2"/>
        <v>0</v>
      </c>
      <c r="J26" s="2596"/>
      <c r="K26" s="3156">
        <f t="shared" si="3"/>
        <v>0</v>
      </c>
      <c r="L26" s="3166">
        <f t="shared" si="4"/>
        <v>0</v>
      </c>
      <c r="M26" s="3209">
        <f t="shared" si="8"/>
        <v>0</v>
      </c>
      <c r="N26" s="3234"/>
      <c r="O26" s="3235"/>
      <c r="P26" s="3209">
        <f t="shared" si="9"/>
        <v>0</v>
      </c>
      <c r="R26" s="2544">
        <f t="shared" si="5"/>
        <v>0</v>
      </c>
      <c r="S26" s="3242">
        <f t="shared" si="5"/>
        <v>0</v>
      </c>
    </row>
    <row r="27" ht="15.75" spans="1:19">
      <c r="A27" s="3198"/>
      <c r="B27" s="3162"/>
      <c r="C27" s="2779" t="s">
        <v>647</v>
      </c>
      <c r="D27" s="3203">
        <f>SUM(D19:D26)</f>
        <v>0</v>
      </c>
      <c r="E27" s="3204">
        <f>IF(SUM(E19:E26)='数据-基础表'!BA5,SUM(E19:E26),IF(F27="地上面积有误","面积有误","地下面积有误"))</f>
        <v>112.13</v>
      </c>
      <c r="F27" s="3203">
        <f>IF(SUM(F19:F26)=E8,SUM(F19:F26),"地上面积有误")</f>
        <v>112.13</v>
      </c>
      <c r="G27" s="3205">
        <f>SUM(G19:G26)</f>
        <v>0</v>
      </c>
      <c r="H27" s="3206">
        <f>SUM(H19:H26)</f>
        <v>0</v>
      </c>
      <c r="I27" s="3236">
        <f>SUM(I19:I26)</f>
        <v>0</v>
      </c>
      <c r="J27" s="2596"/>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544">
        <f>IF(SUM(S19:S26)=$E$3,SUM(S19:S26),SUM(S19:S26)&amp;"误差"&amp;ROUND(SUM(S19:S26)-E3,2))</f>
        <v>112.13</v>
      </c>
    </row>
    <row r="28" spans="1:16">
      <c r="A28" s="3198"/>
      <c r="B28" s="3173" t="s">
        <v>648</v>
      </c>
      <c r="C28" s="3118" t="s">
        <v>649</v>
      </c>
      <c r="D28" s="3162">
        <f>ROUND($D$3*E28/$E$3,2)</f>
        <v>0</v>
      </c>
      <c r="E28" s="3195">
        <f>SUM(F28:G28)</f>
        <v>0</v>
      </c>
      <c r="F28" s="2531">
        <f>'数据-基础表'!BQ5+'数据-基础表'!BS5</f>
        <v>0</v>
      </c>
      <c r="G28" s="3207">
        <f>'数据-基础表'!BR5+'数据-基础表'!BT5</f>
        <v>0</v>
      </c>
      <c r="H28" s="3151"/>
      <c r="I28" s="3151"/>
      <c r="J28" s="3151"/>
      <c r="K28" s="3151"/>
      <c r="L28" s="3151"/>
      <c r="M28" s="3151"/>
      <c r="N28" s="3151"/>
      <c r="O28" s="3151"/>
      <c r="P28" s="3151"/>
    </row>
    <row r="29" spans="1:16">
      <c r="A29" s="3198"/>
      <c r="B29" s="3173" t="s">
        <v>648</v>
      </c>
      <c r="C29" s="2594" t="s">
        <v>650</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5" spans="1:16">
      <c r="A30" s="3198"/>
      <c r="B30" s="3173"/>
      <c r="C30" s="3210" t="s">
        <v>647</v>
      </c>
      <c r="D30" s="3203">
        <f>SUM(D28:D29)</f>
        <v>0</v>
      </c>
      <c r="E30" s="3203">
        <f>SUM(E28:E29)</f>
        <v>0</v>
      </c>
      <c r="F30" s="3203">
        <f>SUM(F28:F29)</f>
        <v>0</v>
      </c>
      <c r="G30" s="3205">
        <f>SUM(G28:G29)</f>
        <v>0</v>
      </c>
      <c r="H30" s="3151"/>
      <c r="I30" s="3151"/>
      <c r="J30" s="3151"/>
      <c r="K30" s="3151"/>
      <c r="L30" s="3151"/>
      <c r="M30" s="3151"/>
      <c r="N30" s="3151"/>
      <c r="O30" s="3151"/>
      <c r="P30" s="3151"/>
    </row>
    <row r="31" ht="15.75" spans="1:16">
      <c r="A31" s="3211"/>
      <c r="B31" s="3212"/>
      <c r="C31" s="2426" t="s">
        <v>651</v>
      </c>
      <c r="D31" s="3213">
        <f>D27+D30</f>
        <v>0</v>
      </c>
      <c r="E31" s="3213">
        <f>E27+E30</f>
        <v>112.13</v>
      </c>
      <c r="F31" s="3214">
        <f>F27+F30</f>
        <v>112.13</v>
      </c>
      <c r="G31" s="3215">
        <f>G27+G30</f>
        <v>0</v>
      </c>
      <c r="H31" s="3151"/>
      <c r="I31" s="3151"/>
      <c r="J31" s="3151"/>
      <c r="K31" s="3151"/>
      <c r="L31" s="3151"/>
      <c r="M31" s="3151"/>
      <c r="N31" s="3151"/>
      <c r="O31" s="3151"/>
      <c r="P31" s="3151"/>
    </row>
    <row r="32" spans="1:16">
      <c r="A32" s="3216"/>
      <c r="B32" s="3216" t="s">
        <v>652</v>
      </c>
      <c r="C32" s="3216"/>
      <c r="D32" s="3216"/>
      <c r="E32" s="3217">
        <f>SUMIF(C19:C26,"*住宅*",E19:E26)</f>
        <v>0</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Q6" activePane="bottomRight" state="frozen"/>
      <selection/>
      <selection pane="topRight"/>
      <selection pane="bottomLeft"/>
      <selection pane="bottomRight" activeCell="AM8" sqref="AM8"/>
    </sheetView>
  </sheetViews>
  <sheetFormatPr defaultColWidth="13.75" defaultRowHeight="12.75"/>
  <cols>
    <col min="1" max="1" width="20.875" style="2951" customWidth="1"/>
    <col min="2" max="2" width="12" style="2952" customWidth="1"/>
    <col min="3" max="3" width="12.75" style="2952" customWidth="1"/>
    <col min="4" max="4" width="9.125" style="2953" customWidth="1"/>
    <col min="5" max="5" width="15" style="2952" customWidth="1"/>
    <col min="6" max="10" width="8.875" style="2952" customWidth="1"/>
    <col min="11" max="12" width="12.375" style="2954" customWidth="1"/>
    <col min="13" max="13" width="8.625" style="2952" customWidth="1"/>
    <col min="14" max="14" width="11.875" style="2952" customWidth="1"/>
    <col min="15" max="15" width="8.5" style="2952" customWidth="1"/>
    <col min="16" max="17" width="10.875" style="2952" customWidth="1"/>
    <col min="18" max="19" width="12.5" style="2952" customWidth="1"/>
    <col min="20" max="20" width="12.125" style="2952" customWidth="1"/>
    <col min="21" max="21" width="7.5" style="2952" customWidth="1"/>
    <col min="22" max="22" width="6.375" style="2952" customWidth="1"/>
    <col min="23" max="30" width="6.75" style="2952" customWidth="1"/>
    <col min="31" max="31" width="8" style="2952" customWidth="1"/>
    <col min="32" max="34" width="7.25" style="2952" customWidth="1"/>
    <col min="35" max="39" width="8" style="2952" customWidth="1"/>
    <col min="40" max="40" width="13.75" style="2950"/>
    <col min="41" max="41" width="11.625" style="2950" customWidth="1"/>
    <col min="42" max="42" width="9.75" style="2950" customWidth="1"/>
    <col min="43" max="67" width="13.75" style="2950"/>
    <col min="68" max="16384" width="13.75" style="2952"/>
  </cols>
  <sheetData>
    <row r="1" ht="19.5" spans="1:44">
      <c r="A1" s="2955" t="s">
        <v>653</v>
      </c>
      <c r="B1" s="2956"/>
      <c r="C1" s="2180"/>
      <c r="D1" s="2957"/>
      <c r="E1" s="2180"/>
      <c r="F1" s="2180"/>
      <c r="G1" s="2180"/>
      <c r="H1" s="2180"/>
      <c r="I1" s="2180"/>
      <c r="J1" s="2180"/>
      <c r="K1" s="1055"/>
      <c r="L1" s="1055"/>
      <c r="M1" s="2180"/>
      <c r="N1" s="2180"/>
      <c r="O1" s="2180"/>
      <c r="P1" s="2180"/>
      <c r="Q1" s="2180"/>
      <c r="R1" s="2180"/>
      <c r="S1" s="2180"/>
      <c r="T1" s="2180"/>
      <c r="U1" s="2180"/>
      <c r="V1" s="2180"/>
      <c r="W1" s="2180"/>
      <c r="X1" s="2180"/>
      <c r="Y1" s="2180"/>
      <c r="Z1" s="2180"/>
      <c r="AA1" s="2180"/>
      <c r="AB1" s="2180"/>
      <c r="AC1" s="2180"/>
      <c r="AD1" s="2180"/>
      <c r="AE1" s="2180"/>
      <c r="AF1" s="2180"/>
      <c r="AG1" s="2180"/>
      <c r="AH1" s="2180"/>
      <c r="AI1" s="2180"/>
      <c r="AJ1" s="2180"/>
      <c r="AK1" s="2180"/>
      <c r="AL1" s="2180"/>
      <c r="AM1" s="2180"/>
      <c r="AN1" s="2367"/>
      <c r="AO1" s="2367"/>
      <c r="AP1" s="2367"/>
      <c r="AQ1" s="2367"/>
      <c r="AR1" s="2367"/>
    </row>
    <row r="2" s="2947" customFormat="1" ht="15.75" spans="1:67">
      <c r="A2" s="2958" t="s">
        <v>654</v>
      </c>
      <c r="B2" s="2959">
        <f>项目基本情况!D3</f>
        <v>45846</v>
      </c>
      <c r="C2" s="2960"/>
      <c r="D2" s="2961"/>
      <c r="E2" s="2960"/>
      <c r="F2" s="2960"/>
      <c r="G2" s="2960"/>
      <c r="H2" s="2960"/>
      <c r="I2" s="2960"/>
      <c r="J2" s="2960"/>
      <c r="K2" s="3057"/>
      <c r="L2" s="3057"/>
      <c r="M2" s="2960"/>
      <c r="N2" s="2960"/>
      <c r="O2" s="2960"/>
      <c r="P2" s="2960"/>
      <c r="Q2" s="2960"/>
      <c r="R2" s="2960"/>
      <c r="S2" s="2960"/>
      <c r="T2" s="2960"/>
      <c r="U2" s="2960"/>
      <c r="V2" s="2960"/>
      <c r="W2" s="2960"/>
      <c r="X2" s="2960"/>
      <c r="Y2" s="2960"/>
      <c r="Z2" s="2960"/>
      <c r="AA2" s="2960"/>
      <c r="AB2" s="2960"/>
      <c r="AC2" s="2960"/>
      <c r="AD2" s="2960"/>
      <c r="AE2" s="2960"/>
      <c r="AF2" s="2960"/>
      <c r="AG2" s="2960"/>
      <c r="AH2" s="2960"/>
      <c r="AI2" s="2960"/>
      <c r="AJ2" s="2960"/>
      <c r="AK2" s="2960"/>
      <c r="AL2" s="2960"/>
      <c r="AM2" s="2960"/>
      <c r="AN2" s="2993"/>
      <c r="AO2" s="2993"/>
      <c r="AP2" s="2993"/>
      <c r="AQ2" s="2993"/>
      <c r="AR2" s="2993"/>
      <c r="AS2" s="2876"/>
      <c r="AT2" s="2876"/>
      <c r="AU2" s="2876"/>
      <c r="AV2" s="2876"/>
      <c r="AW2" s="2876"/>
      <c r="AX2" s="2876"/>
      <c r="AY2" s="2876"/>
      <c r="AZ2" s="2876"/>
      <c r="BA2" s="2876"/>
      <c r="BB2" s="2876"/>
      <c r="BC2" s="2876"/>
      <c r="BD2" s="2876"/>
      <c r="BE2" s="2876"/>
      <c r="BF2" s="2876"/>
      <c r="BG2" s="2876"/>
      <c r="BH2" s="2876"/>
      <c r="BI2" s="2876"/>
      <c r="BJ2" s="2876"/>
      <c r="BK2" s="2876"/>
      <c r="BL2" s="2876"/>
      <c r="BM2" s="2876"/>
      <c r="BN2" s="2876"/>
      <c r="BO2" s="2876"/>
    </row>
    <row r="3" s="2947" customFormat="1" ht="15" spans="1:67">
      <c r="A3" s="2962"/>
      <c r="B3" s="2963"/>
      <c r="C3" s="2960"/>
      <c r="D3" s="2961"/>
      <c r="E3" s="2960"/>
      <c r="F3" s="2960"/>
      <c r="G3" s="2960"/>
      <c r="H3" s="2960"/>
      <c r="I3" s="2960"/>
      <c r="J3" s="2960"/>
      <c r="K3" s="3057"/>
      <c r="L3" s="3057"/>
      <c r="M3" s="2960"/>
      <c r="N3" s="2960"/>
      <c r="O3" s="2960"/>
      <c r="P3" s="2960"/>
      <c r="Q3" s="2960"/>
      <c r="R3" s="2960"/>
      <c r="S3" s="2960"/>
      <c r="T3" s="2960"/>
      <c r="U3" s="2960"/>
      <c r="V3" s="2960"/>
      <c r="W3" s="2960"/>
      <c r="X3" s="2960"/>
      <c r="Y3" s="2960"/>
      <c r="Z3" s="2960"/>
      <c r="AA3" s="2960"/>
      <c r="AB3" s="2960"/>
      <c r="AC3" s="2960"/>
      <c r="AD3" s="2960"/>
      <c r="AE3" s="2960"/>
      <c r="AF3" s="2960"/>
      <c r="AG3" s="2960"/>
      <c r="AH3" s="2960"/>
      <c r="AI3" s="2960"/>
      <c r="AJ3" s="2960"/>
      <c r="AK3" s="2960"/>
      <c r="AL3" s="2960"/>
      <c r="AM3" s="2960"/>
      <c r="AN3" s="2993"/>
      <c r="AO3" s="2993"/>
      <c r="AP3" s="2993"/>
      <c r="AQ3" s="2993"/>
      <c r="AR3" s="2993"/>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row>
    <row r="4" s="2947" customFormat="1" ht="15" spans="1:67">
      <c r="A4" s="1634" t="s">
        <v>655</v>
      </c>
      <c r="B4" s="2551"/>
      <c r="C4" s="2964"/>
      <c r="D4" s="2965"/>
      <c r="E4" s="2964" t="s">
        <v>656</v>
      </c>
      <c r="F4" s="2964"/>
      <c r="G4" s="2964"/>
      <c r="H4" s="2964"/>
      <c r="I4" s="2964"/>
      <c r="J4" s="3058"/>
      <c r="K4" s="3059"/>
      <c r="L4" s="3060"/>
      <c r="M4" s="2964"/>
      <c r="N4" s="2964" t="s">
        <v>657</v>
      </c>
      <c r="O4" s="2964"/>
      <c r="P4" s="2964"/>
      <c r="Q4" s="2964"/>
      <c r="R4" s="2964"/>
      <c r="S4" s="3058"/>
      <c r="T4" s="3082" t="str">
        <f>'数据-汇总表'!I17</f>
        <v>按面积比例</v>
      </c>
      <c r="U4" s="2551" t="s">
        <v>658</v>
      </c>
      <c r="V4" s="2964"/>
      <c r="W4" s="2964"/>
      <c r="X4" s="2964"/>
      <c r="Y4" s="3058"/>
      <c r="Z4" s="3109" t="s">
        <v>659</v>
      </c>
      <c r="AA4" s="3109"/>
      <c r="AB4" s="3109"/>
      <c r="AC4" s="3109"/>
      <c r="AD4" s="3109"/>
      <c r="AE4" s="3110" t="s">
        <v>660</v>
      </c>
      <c r="AF4" s="3109"/>
      <c r="AG4" s="3122"/>
      <c r="AH4" s="2551"/>
      <c r="AI4" s="2964"/>
      <c r="AJ4" s="2964"/>
      <c r="AK4" s="2964"/>
      <c r="AL4" s="2964"/>
      <c r="AM4" s="3058"/>
      <c r="AN4" s="2993"/>
      <c r="AO4" s="2993"/>
      <c r="AP4" s="2993"/>
      <c r="AQ4" s="2993"/>
      <c r="AR4" s="2993"/>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row>
    <row r="5" s="2948" customFormat="1" ht="42" spans="1:67">
      <c r="A5" s="2966" t="s">
        <v>633</v>
      </c>
      <c r="B5" s="2967" t="s">
        <v>632</v>
      </c>
      <c r="C5" s="2968" t="s">
        <v>661</v>
      </c>
      <c r="D5" s="2969" t="s">
        <v>662</v>
      </c>
      <c r="E5" s="2970" t="s">
        <v>663</v>
      </c>
      <c r="F5" s="2971" t="s">
        <v>664</v>
      </c>
      <c r="G5" s="2970" t="s">
        <v>665</v>
      </c>
      <c r="H5" s="2970" t="s">
        <v>666</v>
      </c>
      <c r="I5" s="2970" t="s">
        <v>667</v>
      </c>
      <c r="J5" s="3061" t="s">
        <v>668</v>
      </c>
      <c r="K5" s="3062" t="s">
        <v>642</v>
      </c>
      <c r="L5" s="3063" t="s">
        <v>669</v>
      </c>
      <c r="M5" s="3064" t="s">
        <v>670</v>
      </c>
      <c r="N5" s="3065" t="s">
        <v>671</v>
      </c>
      <c r="O5" s="3063" t="s">
        <v>672</v>
      </c>
      <c r="P5" s="3066" t="s">
        <v>673</v>
      </c>
      <c r="Q5" s="1520" t="s">
        <v>674</v>
      </c>
      <c r="R5" s="3083" t="s">
        <v>675</v>
      </c>
      <c r="S5" s="3084" t="s">
        <v>676</v>
      </c>
      <c r="T5" s="3085" t="s">
        <v>677</v>
      </c>
      <c r="U5" s="3086" t="s">
        <v>678</v>
      </c>
      <c r="V5" s="2970" t="s">
        <v>679</v>
      </c>
      <c r="W5" s="2970" t="s">
        <v>680</v>
      </c>
      <c r="X5" s="1178"/>
      <c r="Y5" s="1651" t="s">
        <v>681</v>
      </c>
      <c r="Z5" s="3111" t="s">
        <v>678</v>
      </c>
      <c r="AA5" s="2970" t="s">
        <v>679</v>
      </c>
      <c r="AB5" s="2970" t="s">
        <v>680</v>
      </c>
      <c r="AC5" s="1178"/>
      <c r="AD5" s="1178" t="s">
        <v>681</v>
      </c>
      <c r="AE5" s="3086" t="s">
        <v>682</v>
      </c>
      <c r="AF5" s="2970" t="s">
        <v>683</v>
      </c>
      <c r="AG5" s="1651" t="s">
        <v>684</v>
      </c>
      <c r="AH5" s="3086" t="s">
        <v>685</v>
      </c>
      <c r="AI5" s="3111" t="s">
        <v>686</v>
      </c>
      <c r="AJ5" s="3111" t="s">
        <v>687</v>
      </c>
      <c r="AK5" s="2970" t="s">
        <v>688</v>
      </c>
      <c r="AL5" s="2970" t="s">
        <v>689</v>
      </c>
      <c r="AM5" s="1651" t="s">
        <v>690</v>
      </c>
      <c r="AN5" s="3123" t="s">
        <v>691</v>
      </c>
      <c r="AO5" s="3141" t="s">
        <v>692</v>
      </c>
      <c r="AP5" s="3142" t="s">
        <v>693</v>
      </c>
      <c r="AQ5" s="3143" t="s">
        <v>694</v>
      </c>
      <c r="AR5" s="3143" t="s">
        <v>695</v>
      </c>
      <c r="AS5" s="2877"/>
      <c r="AT5" s="2877"/>
      <c r="AU5" s="2877"/>
      <c r="AV5" s="2877"/>
      <c r="AW5" s="2877"/>
      <c r="AX5" s="2877"/>
      <c r="AY5" s="2877"/>
      <c r="AZ5" s="2877"/>
      <c r="BA5" s="2877"/>
      <c r="BB5" s="2877"/>
      <c r="BC5" s="2877"/>
      <c r="BD5" s="2877"/>
      <c r="BE5" s="2877"/>
      <c r="BF5" s="2877"/>
      <c r="BG5" s="2877"/>
      <c r="BH5" s="2877"/>
      <c r="BI5" s="2877"/>
      <c r="BJ5" s="2877"/>
      <c r="BK5" s="2877"/>
      <c r="BL5" s="2877"/>
      <c r="BM5" s="2877"/>
      <c r="BN5" s="2877"/>
      <c r="BO5" s="2877"/>
    </row>
    <row r="6" s="2947" customFormat="1" ht="14.25" spans="1:67">
      <c r="A6" s="2972">
        <f>'数据-汇总表'!C19</f>
        <v>1607</v>
      </c>
      <c r="B6" s="2973" t="str">
        <f>IF(A6=0,"","经营性")</f>
        <v>经营性</v>
      </c>
      <c r="C6" s="2974" t="s">
        <v>230</v>
      </c>
      <c r="D6" s="2975">
        <f>SUMIF(项目基本情况!C$12:I$12,C6,项目基本情况!C$14:I$14)</f>
        <v>50</v>
      </c>
      <c r="E6" s="2976">
        <f>IF(B6="","",SUMIF(项目基本情况!C$12:I$12,C6,项目基本情况!C$13:I$13))</f>
        <v>56490</v>
      </c>
      <c r="F6" s="2977">
        <f>SUMIF(项目基本情况!C$12:I$12,C6,项目基本情况!C$15:I$15)</f>
        <v>29.16</v>
      </c>
      <c r="G6" s="2978">
        <f>IF(ISERROR(ROUND(POWER(1+H6,D6-F6)*(POWER(1+H6,F6)-1)/(POWER(1+H6,D6)-1),3)),0,ROUND(POWER(1+H6,D6-F6)*(POWER(1+H6,F6)-1)/(POWER(1+H6,D6)-1),3))</f>
        <v>0.831</v>
      </c>
      <c r="H6" s="2979">
        <v>0.05</v>
      </c>
      <c r="I6" s="2979">
        <v>0.055</v>
      </c>
      <c r="J6" s="2980">
        <v>0.07</v>
      </c>
      <c r="K6" s="3067">
        <f>SUMIF('数据-汇总表'!C$19:C$33,A6,'数据-汇总表'!E$19:E$33)</f>
        <v>112.13</v>
      </c>
      <c r="L6" s="3068">
        <v>5000</v>
      </c>
      <c r="M6" s="3069">
        <f t="shared" ref="M6:M14" si="0">ROUND(K6*L6/10000,0)</f>
        <v>56</v>
      </c>
      <c r="N6" s="3070">
        <f>N21</f>
        <v>0.78</v>
      </c>
      <c r="O6" s="3069" t="str">
        <f>IF($N$5="成新度","——",ROUND(M6*N6,0))</f>
        <v>——</v>
      </c>
      <c r="P6" s="3071" t="str">
        <f>IF($N$5="成新度","——",M6-O6)</f>
        <v>——</v>
      </c>
      <c r="Q6" s="3087">
        <v>0.15</v>
      </c>
      <c r="R6" s="3088">
        <f ca="1">SUMIF('数据-汇总表'!C$19:C$33,A6,'数据-汇总表'!R$19:R$27)</f>
        <v>0</v>
      </c>
      <c r="S6" s="3089">
        <f>IF('数据-汇总表'!$I$17="按面积比例",SUMIF('数据-汇总表'!C$19:C$33,A6,'数据-汇总表'!K$19:K$33),SUMIF('数据-汇总表'!C$19:C$33,A6,'数据-汇总表'!N$19:N$33))</f>
        <v>0</v>
      </c>
      <c r="T6" s="3090">
        <f>ROUND($L$14*S6/10000,0)</f>
        <v>0</v>
      </c>
      <c r="U6" s="3091">
        <v>3.5</v>
      </c>
      <c r="V6" s="3092">
        <v>0.02</v>
      </c>
      <c r="W6" s="3092">
        <v>0.1</v>
      </c>
      <c r="X6" s="3093"/>
      <c r="Y6" s="3112">
        <f>N6</f>
        <v>0.78</v>
      </c>
      <c r="Z6" s="3113"/>
      <c r="AA6" s="2980"/>
      <c r="AB6" s="2980"/>
      <c r="AC6" s="3093"/>
      <c r="AD6" s="3114"/>
      <c r="AE6" s="3115">
        <f ca="1">IF(AN6="",0,SUMIF(INDIRECT("'"&amp;AN6&amp;"'"&amp;"!E:E"),$AE$5,INDIRECT("'"&amp;AN6&amp;"'"&amp;"!F:F")))</f>
        <v>29.16</v>
      </c>
      <c r="AF6" s="2526"/>
      <c r="AG6" s="1819">
        <f ca="1">IF(AF6="",0,AE6-AF6)</f>
        <v>0</v>
      </c>
      <c r="AH6" s="3124"/>
      <c r="AI6" s="3125">
        <v>365</v>
      </c>
      <c r="AJ6" s="3126"/>
      <c r="AK6" s="3127">
        <v>0.003</v>
      </c>
      <c r="AL6" s="3128">
        <v>0.001</v>
      </c>
      <c r="AM6" s="3129">
        <v>0.01</v>
      </c>
      <c r="AN6" s="3130" t="s">
        <v>285</v>
      </c>
      <c r="AO6" s="1394">
        <f ca="1">SUMIF(INDIRECT("'"&amp;AN6&amp;"'"&amp;"!A:A"),"总价",INDIRECT("'"&amp;AN6&amp;"'"&amp;"!B:B"))</f>
        <v>188.3998</v>
      </c>
      <c r="AP6" s="3144">
        <f>IF(C6="住宅",K6*L6,0)</f>
        <v>0</v>
      </c>
      <c r="AQ6" s="1394">
        <f>ROUND($L$14*$N$14*S6/10000,0)</f>
        <v>0</v>
      </c>
      <c r="AR6" s="1394">
        <f>ROUND($L$14*(1-$N$14)*S6/10000,0)</f>
        <v>0</v>
      </c>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row>
    <row r="7" s="2947" customFormat="1" ht="14.25" spans="1:67">
      <c r="A7" s="2972">
        <f>'数据-汇总表'!C20</f>
        <v>0</v>
      </c>
      <c r="B7" s="2973" t="str">
        <f t="shared" ref="B7:B13" si="1">IF(A7=0,"","经营性")</f>
        <v/>
      </c>
      <c r="C7" s="2974"/>
      <c r="D7" s="2975">
        <f>SUMIF(项目基本情况!C$12:I$12,C7,项目基本情况!C$14:I$14)</f>
        <v>0</v>
      </c>
      <c r="E7" s="2976" t="str">
        <f>IF(B7="","",SUMIF(项目基本情况!C$12:I$12,C7,项目基本情况!C$13:I$13))</f>
        <v/>
      </c>
      <c r="F7" s="2977">
        <f>SUMIF(项目基本情况!C$12:I$12,C7,项目基本情况!C$15:I$15)</f>
        <v>0</v>
      </c>
      <c r="G7" s="2978">
        <f t="shared" ref="G7:G13" si="2">IF(ISERROR(ROUND(POWER(1+H7,D7-F7)*(POWER(1+H7,F7)-1)/(POWER(1+H7,D7)-1),3)),0,ROUND(POWER(1+H7,D7-F7)*(POWER(1+H7,F7)-1)/(POWER(1+H7,D7)-1),3))</f>
        <v>0</v>
      </c>
      <c r="H7" s="2979"/>
      <c r="I7" s="2979"/>
      <c r="J7" s="2980"/>
      <c r="K7" s="3067">
        <f>SUMIF('数据-汇总表'!C$19:C$33,A7,'数据-汇总表'!E$19:E$33)</f>
        <v>0</v>
      </c>
      <c r="L7" s="3068"/>
      <c r="M7" s="3069">
        <f t="shared" si="0"/>
        <v>0</v>
      </c>
      <c r="N7" s="3070"/>
      <c r="O7" s="3069" t="str">
        <f t="shared" ref="O7:O14" si="3">IF($N$5="成新度","——",ROUND(M7*N7,0))</f>
        <v>——</v>
      </c>
      <c r="P7" s="3071" t="str">
        <f t="shared" ref="P7:P14" si="4">IF($N$5="成新度","——",M7-O7)</f>
        <v>——</v>
      </c>
      <c r="Q7" s="3087"/>
      <c r="R7" s="3088">
        <f ca="1">SUMIF('数据-汇总表'!C$19:C$33,A7,'数据-汇总表'!R$19:R$27)</f>
        <v>0</v>
      </c>
      <c r="S7" s="3089">
        <f>IF('数据-汇总表'!$I$17="按面积比例",SUMIF('数据-汇总表'!C$19:C$33,A7,'数据-汇总表'!K$19:K$33),SUMIF('数据-汇总表'!C$19:C$33,A7,'数据-汇总表'!N$19:N$33))</f>
        <v>0</v>
      </c>
      <c r="T7" s="3090">
        <f t="shared" ref="T7:T13" si="5">ROUND($L$14*S7/10000,0)</f>
        <v>0</v>
      </c>
      <c r="U7" s="3091"/>
      <c r="V7" s="3092"/>
      <c r="W7" s="3092"/>
      <c r="X7" s="3093"/>
      <c r="Y7" s="3112"/>
      <c r="Z7" s="3113"/>
      <c r="AA7" s="2980"/>
      <c r="AB7" s="2980"/>
      <c r="AC7" s="3093"/>
      <c r="AD7" s="3114"/>
      <c r="AE7" s="3115">
        <f ca="1" t="shared" ref="AE7:AE13" si="6">IF(AN7="",0,SUMIF(INDIRECT("'"&amp;AN7&amp;"'"&amp;"!E:E"),$AE$5,INDIRECT("'"&amp;AN7&amp;"'"&amp;"!F:F")))</f>
        <v>0</v>
      </c>
      <c r="AF7" s="2526"/>
      <c r="AG7" s="1819">
        <f ca="1" t="shared" ref="AG7:AG13" si="7">IF(AF7="",0,AE7-AF7)</f>
        <v>0</v>
      </c>
      <c r="AH7" s="3124"/>
      <c r="AI7" s="3125"/>
      <c r="AJ7" s="3126"/>
      <c r="AK7" s="3127"/>
      <c r="AL7" s="3128"/>
      <c r="AM7" s="3129"/>
      <c r="AN7" s="3130"/>
      <c r="AO7" s="1394" t="e">
        <f ca="1" t="shared" ref="AO7:AO13" si="8">SUMIF(INDIRECT("'"&amp;AN7&amp;"'"&amp;"!A:A"),"总价",INDIRECT("'"&amp;AN7&amp;"'"&amp;"!B:B"))</f>
        <v>#REF!</v>
      </c>
      <c r="AP7" s="3144">
        <f t="shared" ref="AP7:AP13" si="9">IF(C7="住宅",K7*L7,0)</f>
        <v>0</v>
      </c>
      <c r="AQ7" s="1394">
        <f t="shared" ref="AQ7:AQ13" si="10">ROUND($L$14*$N$14*S7/10000,0)</f>
        <v>0</v>
      </c>
      <c r="AR7" s="1394">
        <f t="shared" ref="AR7:AR13" si="11">ROUND($L$14*(1-$N$14)*S7/10000,0)</f>
        <v>0</v>
      </c>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row>
    <row r="8" s="2947" customFormat="1" ht="14.25" spans="1:67">
      <c r="A8" s="2972">
        <f>'数据-汇总表'!C21</f>
        <v>0</v>
      </c>
      <c r="B8" s="2973" t="str">
        <f t="shared" si="1"/>
        <v/>
      </c>
      <c r="C8" s="2974"/>
      <c r="D8" s="2975">
        <f>SUMIF(项目基本情况!C$12:I$12,C8,项目基本情况!C$14:I$14)</f>
        <v>0</v>
      </c>
      <c r="E8" s="2976" t="str">
        <f>IF(B8="","",SUMIF(项目基本情况!C$12:I$12,C8,项目基本情况!C$13:I$13))</f>
        <v/>
      </c>
      <c r="F8" s="2977">
        <f>SUMIF(项目基本情况!C$12:I$12,C8,项目基本情况!C$15:I$15)</f>
        <v>0</v>
      </c>
      <c r="G8" s="2978">
        <f t="shared" si="2"/>
        <v>0</v>
      </c>
      <c r="H8" s="2979"/>
      <c r="I8" s="2979"/>
      <c r="J8" s="2980"/>
      <c r="K8" s="3067">
        <f>SUMIF('数据-汇总表'!C$19:C$33,A8,'数据-汇总表'!E$19:E$33)</f>
        <v>0</v>
      </c>
      <c r="L8" s="3068"/>
      <c r="M8" s="3069">
        <f t="shared" si="0"/>
        <v>0</v>
      </c>
      <c r="N8" s="3070"/>
      <c r="O8" s="3069" t="str">
        <f t="shared" si="3"/>
        <v>——</v>
      </c>
      <c r="P8" s="3071" t="str">
        <f t="shared" si="4"/>
        <v>——</v>
      </c>
      <c r="Q8" s="3087"/>
      <c r="R8" s="3088">
        <f ca="1">SUMIF('数据-汇总表'!C$19:C$33,A8,'数据-汇总表'!R$19:R$27)</f>
        <v>0</v>
      </c>
      <c r="S8" s="3089">
        <f>IF('数据-汇总表'!$I$17="按面积比例",SUMIF('数据-汇总表'!C$19:C$33,A8,'数据-汇总表'!K$19:K$33),SUMIF('数据-汇总表'!C$19:C$33,A8,'数据-汇总表'!N$19:N$33))</f>
        <v>0</v>
      </c>
      <c r="T8" s="3090">
        <f t="shared" si="5"/>
        <v>0</v>
      </c>
      <c r="U8" s="3094"/>
      <c r="V8" s="3095"/>
      <c r="W8" s="3095"/>
      <c r="X8" s="3093"/>
      <c r="Y8" s="3112"/>
      <c r="Z8" s="3113"/>
      <c r="AA8" s="2980"/>
      <c r="AB8" s="2980"/>
      <c r="AC8" s="3093"/>
      <c r="AD8" s="3114"/>
      <c r="AE8" s="3115">
        <f ca="1" t="shared" si="6"/>
        <v>0</v>
      </c>
      <c r="AF8" s="2526"/>
      <c r="AG8" s="1819">
        <f ca="1" t="shared" si="7"/>
        <v>0</v>
      </c>
      <c r="AH8" s="3131"/>
      <c r="AI8" s="3125"/>
      <c r="AJ8" s="3126"/>
      <c r="AK8" s="3132"/>
      <c r="AL8" s="3133"/>
      <c r="AM8" s="3134"/>
      <c r="AN8" s="3130"/>
      <c r="AO8" s="1394" t="e">
        <f ca="1" t="shared" si="8"/>
        <v>#REF!</v>
      </c>
      <c r="AP8" s="3144">
        <f t="shared" si="9"/>
        <v>0</v>
      </c>
      <c r="AQ8" s="1394">
        <f t="shared" si="10"/>
        <v>0</v>
      </c>
      <c r="AR8" s="1394">
        <f t="shared" si="11"/>
        <v>0</v>
      </c>
      <c r="AS8" s="2876"/>
      <c r="AT8" s="2876"/>
      <c r="AU8" s="2876"/>
      <c r="AV8" s="2876"/>
      <c r="AW8" s="2876"/>
      <c r="AX8" s="2876"/>
      <c r="AY8" s="2876"/>
      <c r="AZ8" s="2876"/>
      <c r="BA8" s="2876"/>
      <c r="BB8" s="2876"/>
      <c r="BC8" s="2876"/>
      <c r="BD8" s="2876"/>
      <c r="BE8" s="2876"/>
      <c r="BF8" s="2876"/>
      <c r="BG8" s="2876"/>
      <c r="BH8" s="2876"/>
      <c r="BI8" s="2876"/>
      <c r="BJ8" s="2876"/>
      <c r="BK8" s="2876"/>
      <c r="BL8" s="2876"/>
      <c r="BM8" s="2876"/>
      <c r="BN8" s="2876"/>
      <c r="BO8" s="2876"/>
    </row>
    <row r="9" s="2947" customFormat="1" ht="14.25" spans="1:67">
      <c r="A9" s="2972">
        <f>'数据-汇总表'!C22</f>
        <v>0</v>
      </c>
      <c r="B9" s="2973" t="str">
        <f t="shared" si="1"/>
        <v/>
      </c>
      <c r="C9" s="2974"/>
      <c r="D9" s="2975">
        <f>SUMIF(项目基本情况!C$12:I$12,C9,项目基本情况!C$14:I$14)</f>
        <v>0</v>
      </c>
      <c r="E9" s="2976" t="str">
        <f>IF(B9="","",SUMIF(项目基本情况!C$12:I$12,C9,项目基本情况!C$13:I$13))</f>
        <v/>
      </c>
      <c r="F9" s="2977">
        <f>SUMIF(项目基本情况!C$12:I$12,C9,项目基本情况!C$15:I$15)</f>
        <v>0</v>
      </c>
      <c r="G9" s="2978">
        <f t="shared" si="2"/>
        <v>0</v>
      </c>
      <c r="H9" s="2980"/>
      <c r="I9" s="2980"/>
      <c r="J9" s="2980"/>
      <c r="K9" s="3067">
        <f>SUMIF('数据-汇总表'!C$19:C$33,A9,'数据-汇总表'!E$19:E$33)</f>
        <v>0</v>
      </c>
      <c r="L9" s="3068"/>
      <c r="M9" s="3069">
        <f t="shared" si="0"/>
        <v>0</v>
      </c>
      <c r="N9" s="3070"/>
      <c r="O9" s="3069" t="str">
        <f t="shared" si="3"/>
        <v>——</v>
      </c>
      <c r="P9" s="3071" t="str">
        <f t="shared" si="4"/>
        <v>——</v>
      </c>
      <c r="Q9" s="3096"/>
      <c r="R9" s="3088">
        <f ca="1">SUMIF('数据-汇总表'!C$19:C$33,A9,'数据-汇总表'!R$19:R$27)</f>
        <v>0</v>
      </c>
      <c r="S9" s="3089">
        <f>IF('数据-汇总表'!$I$17="按面积比例",SUMIF('数据-汇总表'!C$19:C$33,A9,'数据-汇总表'!K$19:K$33),SUMIF('数据-汇总表'!C$19:C$33,A9,'数据-汇总表'!N$19:N$33))</f>
        <v>0</v>
      </c>
      <c r="T9" s="3090">
        <f t="shared" si="5"/>
        <v>0</v>
      </c>
      <c r="U9" s="3091"/>
      <c r="V9" s="3092"/>
      <c r="W9" s="3092"/>
      <c r="X9" s="3093"/>
      <c r="Y9" s="3112"/>
      <c r="Z9" s="3113"/>
      <c r="AA9" s="2980"/>
      <c r="AB9" s="2980"/>
      <c r="AC9" s="3093"/>
      <c r="AD9" s="3114"/>
      <c r="AE9" s="3115">
        <f ca="1" t="shared" si="6"/>
        <v>0</v>
      </c>
      <c r="AF9" s="2526"/>
      <c r="AG9" s="1819">
        <f ca="1" t="shared" si="7"/>
        <v>0</v>
      </c>
      <c r="AH9" s="3124"/>
      <c r="AI9" s="3125"/>
      <c r="AJ9" s="3126"/>
      <c r="AK9" s="3127"/>
      <c r="AL9" s="3128"/>
      <c r="AM9" s="3129"/>
      <c r="AN9" s="3130"/>
      <c r="AO9" s="1394" t="e">
        <f ca="1" t="shared" si="8"/>
        <v>#REF!</v>
      </c>
      <c r="AP9" s="3144">
        <f t="shared" si="9"/>
        <v>0</v>
      </c>
      <c r="AQ9" s="1394">
        <f t="shared" si="10"/>
        <v>0</v>
      </c>
      <c r="AR9" s="1394">
        <f t="shared" si="11"/>
        <v>0</v>
      </c>
      <c r="AS9" s="2876"/>
      <c r="AT9" s="2876"/>
      <c r="AU9" s="2876"/>
      <c r="AV9" s="2876"/>
      <c r="AW9" s="2876"/>
      <c r="AX9" s="2876"/>
      <c r="AY9" s="2876"/>
      <c r="AZ9" s="2876"/>
      <c r="BA9" s="2876"/>
      <c r="BB9" s="2876"/>
      <c r="BC9" s="2876"/>
      <c r="BD9" s="2876"/>
      <c r="BE9" s="2876"/>
      <c r="BF9" s="2876"/>
      <c r="BG9" s="2876"/>
      <c r="BH9" s="2876"/>
      <c r="BI9" s="2876"/>
      <c r="BJ9" s="2876"/>
      <c r="BK9" s="2876"/>
      <c r="BL9" s="2876"/>
      <c r="BM9" s="2876"/>
      <c r="BN9" s="2876"/>
      <c r="BO9" s="2876"/>
    </row>
    <row r="10" s="2947" customFormat="1" ht="14.25" spans="1:67">
      <c r="A10" s="2972">
        <f>'数据-汇总表'!C23</f>
        <v>0</v>
      </c>
      <c r="B10" s="2973" t="str">
        <f t="shared" si="1"/>
        <v/>
      </c>
      <c r="C10" s="2974"/>
      <c r="D10" s="2975">
        <f>SUMIF(项目基本情况!C$12:I$12,C10,项目基本情况!C$14:I$14)</f>
        <v>0</v>
      </c>
      <c r="E10" s="2976" t="str">
        <f>IF(B10="","",SUMIF(项目基本情况!C$12:I$12,C10,项目基本情况!C$13:I$13))</f>
        <v/>
      </c>
      <c r="F10" s="2977">
        <f>SUMIF(项目基本情况!C$12:I$12,C10,项目基本情况!C$15:I$15)</f>
        <v>0</v>
      </c>
      <c r="G10" s="2978">
        <f t="shared" si="2"/>
        <v>0</v>
      </c>
      <c r="H10" s="2980"/>
      <c r="I10" s="2980"/>
      <c r="J10" s="2980"/>
      <c r="K10" s="3067">
        <f>SUMIF('数据-汇总表'!C$19:C$33,A10,'数据-汇总表'!E$19:E$33)</f>
        <v>0</v>
      </c>
      <c r="L10" s="3068"/>
      <c r="M10" s="3069">
        <f t="shared" si="0"/>
        <v>0</v>
      </c>
      <c r="N10" s="3070"/>
      <c r="O10" s="3069" t="str">
        <f t="shared" si="3"/>
        <v>——</v>
      </c>
      <c r="P10" s="3071" t="str">
        <f t="shared" si="4"/>
        <v>——</v>
      </c>
      <c r="Q10" s="3096"/>
      <c r="R10" s="3088">
        <f ca="1">SUMIF('数据-汇总表'!C$19:C$33,A10,'数据-汇总表'!R$19:R$27)</f>
        <v>0</v>
      </c>
      <c r="S10" s="3089">
        <f>IF('数据-汇总表'!$I$17="按面积比例",SUMIF('数据-汇总表'!C$19:C$33,A10,'数据-汇总表'!K$19:K$33),SUMIF('数据-汇总表'!C$19:C$33,A10,'数据-汇总表'!N$19:N$33))</f>
        <v>0</v>
      </c>
      <c r="T10" s="3090">
        <f t="shared" si="5"/>
        <v>0</v>
      </c>
      <c r="U10" s="3091"/>
      <c r="V10" s="3092"/>
      <c r="W10" s="3092"/>
      <c r="X10" s="3093"/>
      <c r="Y10" s="3112"/>
      <c r="Z10" s="3113"/>
      <c r="AA10" s="2980"/>
      <c r="AB10" s="2980"/>
      <c r="AC10" s="3093"/>
      <c r="AD10" s="3114"/>
      <c r="AE10" s="3115">
        <f ca="1" t="shared" si="6"/>
        <v>0</v>
      </c>
      <c r="AF10" s="2526"/>
      <c r="AG10" s="1819">
        <f ca="1" t="shared" si="7"/>
        <v>0</v>
      </c>
      <c r="AH10" s="3124"/>
      <c r="AI10" s="3125"/>
      <c r="AJ10" s="3126"/>
      <c r="AK10" s="3127"/>
      <c r="AL10" s="3128"/>
      <c r="AM10" s="3129"/>
      <c r="AN10" s="3130"/>
      <c r="AO10" s="1394" t="e">
        <f ca="1" t="shared" si="8"/>
        <v>#REF!</v>
      </c>
      <c r="AP10" s="3144">
        <f t="shared" si="9"/>
        <v>0</v>
      </c>
      <c r="AQ10" s="1394">
        <f t="shared" si="10"/>
        <v>0</v>
      </c>
      <c r="AR10" s="1394">
        <f t="shared" si="11"/>
        <v>0</v>
      </c>
      <c r="AS10" s="2876"/>
      <c r="AT10" s="2876"/>
      <c r="AU10" s="2876"/>
      <c r="AV10" s="2876"/>
      <c r="AW10" s="2876"/>
      <c r="AX10" s="2876"/>
      <c r="AY10" s="2876"/>
      <c r="AZ10" s="2876"/>
      <c r="BA10" s="2876"/>
      <c r="BB10" s="2876"/>
      <c r="BC10" s="2876"/>
      <c r="BD10" s="2876"/>
      <c r="BE10" s="2876"/>
      <c r="BF10" s="2876"/>
      <c r="BG10" s="2876"/>
      <c r="BH10" s="2876"/>
      <c r="BI10" s="2876"/>
      <c r="BJ10" s="2876"/>
      <c r="BK10" s="2876"/>
      <c r="BL10" s="2876"/>
      <c r="BM10" s="2876"/>
      <c r="BN10" s="2876"/>
      <c r="BO10" s="2876"/>
    </row>
    <row r="11" s="2947" customFormat="1" ht="14.25" spans="1:67">
      <c r="A11" s="2972">
        <f>'数据-汇总表'!C24</f>
        <v>0</v>
      </c>
      <c r="B11" s="2973" t="str">
        <f t="shared" si="1"/>
        <v/>
      </c>
      <c r="C11" s="2974"/>
      <c r="D11" s="2975">
        <f>SUMIF(项目基本情况!C$12:I$12,C11,项目基本情况!C$14:I$14)</f>
        <v>0</v>
      </c>
      <c r="E11" s="2976" t="str">
        <f>IF(B11="","",SUMIF(项目基本情况!C$12:I$12,C11,项目基本情况!C$13:I$13))</f>
        <v/>
      </c>
      <c r="F11" s="2977">
        <f>SUMIF(项目基本情况!C$12:I$12,C11,项目基本情况!C$15:I$15)</f>
        <v>0</v>
      </c>
      <c r="G11" s="2978">
        <f t="shared" si="2"/>
        <v>0</v>
      </c>
      <c r="H11" s="2980"/>
      <c r="I11" s="2980"/>
      <c r="J11" s="2980"/>
      <c r="K11" s="3067">
        <f>SUMIF('数据-汇总表'!C$19:C$33,A11,'数据-汇总表'!E$19:E$33)</f>
        <v>0</v>
      </c>
      <c r="L11" s="3072"/>
      <c r="M11" s="3069">
        <f t="shared" si="0"/>
        <v>0</v>
      </c>
      <c r="N11" s="3070"/>
      <c r="O11" s="3069" t="str">
        <f t="shared" si="3"/>
        <v>——</v>
      </c>
      <c r="P11" s="3071" t="str">
        <f t="shared" si="4"/>
        <v>——</v>
      </c>
      <c r="Q11" s="3096"/>
      <c r="R11" s="3088">
        <f ca="1">SUMIF('数据-汇总表'!C$19:C$33,A11,'数据-汇总表'!R$19:R$27)</f>
        <v>0</v>
      </c>
      <c r="S11" s="3089">
        <f>IF('数据-汇总表'!$I$17="按面积比例",SUMIF('数据-汇总表'!C$19:C$33,A11,'数据-汇总表'!K$19:K$33),SUMIF('数据-汇总表'!C$19:C$33,A11,'数据-汇总表'!N$19:N$33))</f>
        <v>0</v>
      </c>
      <c r="T11" s="3090">
        <f t="shared" si="5"/>
        <v>0</v>
      </c>
      <c r="U11" s="3091"/>
      <c r="V11" s="2980"/>
      <c r="W11" s="2980"/>
      <c r="X11" s="3093"/>
      <c r="Y11" s="3112"/>
      <c r="Z11" s="3116"/>
      <c r="AA11" s="2980"/>
      <c r="AB11" s="2980"/>
      <c r="AC11" s="3093"/>
      <c r="AD11" s="3114"/>
      <c r="AE11" s="3115">
        <f ca="1" t="shared" si="6"/>
        <v>0</v>
      </c>
      <c r="AF11" s="2526"/>
      <c r="AG11" s="1819">
        <f ca="1" t="shared" si="7"/>
        <v>0</v>
      </c>
      <c r="AH11" s="3124"/>
      <c r="AI11" s="3125"/>
      <c r="AJ11" s="3126"/>
      <c r="AK11" s="3135"/>
      <c r="AL11" s="3136"/>
      <c r="AM11" s="3137"/>
      <c r="AN11" s="3130"/>
      <c r="AO11" s="1394" t="e">
        <f ca="1" t="shared" si="8"/>
        <v>#REF!</v>
      </c>
      <c r="AP11" s="3144">
        <f t="shared" si="9"/>
        <v>0</v>
      </c>
      <c r="AQ11" s="1394">
        <f t="shared" si="10"/>
        <v>0</v>
      </c>
      <c r="AR11" s="1394">
        <f t="shared" si="11"/>
        <v>0</v>
      </c>
      <c r="AS11" s="2876"/>
      <c r="AT11" s="2876"/>
      <c r="AU11" s="2876"/>
      <c r="AV11" s="2876"/>
      <c r="AW11" s="2876"/>
      <c r="AX11" s="2876"/>
      <c r="AY11" s="2876"/>
      <c r="AZ11" s="2876"/>
      <c r="BA11" s="2876"/>
      <c r="BB11" s="2876"/>
      <c r="BC11" s="2876"/>
      <c r="BD11" s="2876"/>
      <c r="BE11" s="2876"/>
      <c r="BF11" s="2876"/>
      <c r="BG11" s="2876"/>
      <c r="BH11" s="2876"/>
      <c r="BI11" s="2876"/>
      <c r="BJ11" s="2876"/>
      <c r="BK11" s="2876"/>
      <c r="BL11" s="2876"/>
      <c r="BM11" s="2876"/>
      <c r="BN11" s="2876"/>
      <c r="BO11" s="2876"/>
    </row>
    <row r="12" s="2947" customFormat="1" ht="14.25" spans="1:67">
      <c r="A12" s="2972">
        <f>'数据-汇总表'!C25</f>
        <v>0</v>
      </c>
      <c r="B12" s="2973" t="str">
        <f t="shared" si="1"/>
        <v/>
      </c>
      <c r="C12" s="2974"/>
      <c r="D12" s="2975">
        <f>SUMIF(项目基本情况!C$12:I$12,C12,项目基本情况!C$14:I$14)</f>
        <v>0</v>
      </c>
      <c r="E12" s="2976" t="str">
        <f>IF(B12="","",SUMIF(项目基本情况!C$12:I$12,C12,项目基本情况!C$13:I$13))</f>
        <v/>
      </c>
      <c r="F12" s="2977">
        <f>SUMIF(项目基本情况!C$12:I$12,C12,项目基本情况!C$15:I$15)</f>
        <v>0</v>
      </c>
      <c r="G12" s="2978">
        <f t="shared" si="2"/>
        <v>0</v>
      </c>
      <c r="H12" s="2980"/>
      <c r="I12" s="2980"/>
      <c r="J12" s="2980"/>
      <c r="K12" s="3067">
        <f>SUMIF('数据-汇总表'!C$19:C$33,A12,'数据-汇总表'!E$19:E$33)</f>
        <v>0</v>
      </c>
      <c r="L12" s="3072"/>
      <c r="M12" s="3069">
        <f t="shared" si="0"/>
        <v>0</v>
      </c>
      <c r="N12" s="3070"/>
      <c r="O12" s="3069" t="str">
        <f t="shared" si="3"/>
        <v>——</v>
      </c>
      <c r="P12" s="3071" t="str">
        <f t="shared" si="4"/>
        <v>——</v>
      </c>
      <c r="Q12" s="3096"/>
      <c r="R12" s="3088">
        <f ca="1">SUMIF('数据-汇总表'!C$19:C$33,A12,'数据-汇总表'!R$19:R$27)</f>
        <v>0</v>
      </c>
      <c r="S12" s="3089">
        <f>IF('数据-汇总表'!$I$17="按面积比例",SUMIF('数据-汇总表'!C$19:C$33,A12,'数据-汇总表'!K$19:K$33),SUMIF('数据-汇总表'!C$19:C$33,A12,'数据-汇总表'!N$19:N$33))</f>
        <v>0</v>
      </c>
      <c r="T12" s="3090">
        <f t="shared" si="5"/>
        <v>0</v>
      </c>
      <c r="U12" s="3091"/>
      <c r="V12" s="2980"/>
      <c r="W12" s="2980"/>
      <c r="X12" s="3093"/>
      <c r="Y12" s="3112"/>
      <c r="Z12" s="3116"/>
      <c r="AA12" s="2980"/>
      <c r="AB12" s="2980"/>
      <c r="AC12" s="3093"/>
      <c r="AD12" s="3114"/>
      <c r="AE12" s="3115">
        <f ca="1" t="shared" si="6"/>
        <v>0</v>
      </c>
      <c r="AF12" s="2526"/>
      <c r="AG12" s="1819">
        <f ca="1" t="shared" si="7"/>
        <v>0</v>
      </c>
      <c r="AH12" s="3124"/>
      <c r="AI12" s="3125"/>
      <c r="AJ12" s="3126"/>
      <c r="AK12" s="3135"/>
      <c r="AL12" s="3136"/>
      <c r="AM12" s="3137"/>
      <c r="AN12" s="3130"/>
      <c r="AO12" s="1394" t="e">
        <f ca="1" t="shared" si="8"/>
        <v>#REF!</v>
      </c>
      <c r="AP12" s="3144">
        <f t="shared" si="9"/>
        <v>0</v>
      </c>
      <c r="AQ12" s="1394">
        <f t="shared" si="10"/>
        <v>0</v>
      </c>
      <c r="AR12" s="1394">
        <f t="shared" si="11"/>
        <v>0</v>
      </c>
      <c r="AS12" s="2876"/>
      <c r="AT12" s="2876"/>
      <c r="AU12" s="2876"/>
      <c r="AV12" s="2876"/>
      <c r="AW12" s="2876"/>
      <c r="AX12" s="2876"/>
      <c r="AY12" s="2876"/>
      <c r="AZ12" s="2876"/>
      <c r="BA12" s="2876"/>
      <c r="BB12" s="2876"/>
      <c r="BC12" s="2876"/>
      <c r="BD12" s="2876"/>
      <c r="BE12" s="2876"/>
      <c r="BF12" s="2876"/>
      <c r="BG12" s="2876"/>
      <c r="BH12" s="2876"/>
      <c r="BI12" s="2876"/>
      <c r="BJ12" s="2876"/>
      <c r="BK12" s="2876"/>
      <c r="BL12" s="2876"/>
      <c r="BM12" s="2876"/>
      <c r="BN12" s="2876"/>
      <c r="BO12" s="2876"/>
    </row>
    <row r="13" s="2947" customFormat="1" ht="14.25" spans="1:67">
      <c r="A13" s="2972">
        <f>'数据-汇总表'!C26</f>
        <v>0</v>
      </c>
      <c r="B13" s="2973" t="str">
        <f t="shared" si="1"/>
        <v/>
      </c>
      <c r="C13" s="2974"/>
      <c r="D13" s="2975">
        <f>SUMIF(项目基本情况!C$12:I$12,C13,项目基本情况!C$14:I$14)</f>
        <v>0</v>
      </c>
      <c r="E13" s="2976" t="str">
        <f>IF(B13="","",SUMIF(项目基本情况!C$12:I$12,C13,项目基本情况!C$13:I$13))</f>
        <v/>
      </c>
      <c r="F13" s="2977">
        <f>SUMIF(项目基本情况!C$12:I$12,C13,项目基本情况!C$15:I$15)</f>
        <v>0</v>
      </c>
      <c r="G13" s="2978">
        <f t="shared" si="2"/>
        <v>0</v>
      </c>
      <c r="H13" s="2980"/>
      <c r="I13" s="2980"/>
      <c r="J13" s="2980"/>
      <c r="K13" s="3067">
        <f>SUMIF('数据-汇总表'!C$19:C$33,A13,'数据-汇总表'!E$19:E$33)</f>
        <v>0</v>
      </c>
      <c r="L13" s="3072"/>
      <c r="M13" s="3069">
        <f t="shared" si="0"/>
        <v>0</v>
      </c>
      <c r="N13" s="3073"/>
      <c r="O13" s="3069" t="str">
        <f t="shared" si="3"/>
        <v>——</v>
      </c>
      <c r="P13" s="3071" t="str">
        <f t="shared" si="4"/>
        <v>——</v>
      </c>
      <c r="Q13" s="3096"/>
      <c r="R13" s="3088">
        <f ca="1">SUMIF('数据-汇总表'!C$19:C$33,A13,'数据-汇总表'!R$19:R$27)</f>
        <v>0</v>
      </c>
      <c r="S13" s="3089">
        <f>IF('数据-汇总表'!$I$17="按面积比例",SUMIF('数据-汇总表'!C$19:C$33,A13,'数据-汇总表'!K$19:K$33),SUMIF('数据-汇总表'!C$19:C$33,A13,'数据-汇总表'!N$19:N$33))</f>
        <v>0</v>
      </c>
      <c r="T13" s="3090">
        <f t="shared" si="5"/>
        <v>0</v>
      </c>
      <c r="U13" s="3097"/>
      <c r="V13" s="3092"/>
      <c r="W13" s="3092"/>
      <c r="X13" s="3093"/>
      <c r="Y13" s="3112"/>
      <c r="Z13" s="3113"/>
      <c r="AA13" s="2980"/>
      <c r="AB13" s="2980"/>
      <c r="AC13" s="3093"/>
      <c r="AD13" s="3114"/>
      <c r="AE13" s="3115">
        <f ca="1" t="shared" si="6"/>
        <v>0</v>
      </c>
      <c r="AF13" s="2526"/>
      <c r="AG13" s="1819">
        <f ca="1" t="shared" si="7"/>
        <v>0</v>
      </c>
      <c r="AH13" s="3124"/>
      <c r="AI13" s="3125"/>
      <c r="AJ13" s="3126"/>
      <c r="AK13" s="3127"/>
      <c r="AL13" s="3128"/>
      <c r="AM13" s="3129"/>
      <c r="AN13" s="3130"/>
      <c r="AO13" s="1394" t="e">
        <f ca="1" t="shared" si="8"/>
        <v>#REF!</v>
      </c>
      <c r="AP13" s="3144">
        <f t="shared" si="9"/>
        <v>0</v>
      </c>
      <c r="AQ13" s="1394">
        <f t="shared" si="10"/>
        <v>0</v>
      </c>
      <c r="AR13" s="1394">
        <f t="shared" si="11"/>
        <v>0</v>
      </c>
      <c r="AS13" s="2876"/>
      <c r="AT13" s="2876"/>
      <c r="AU13" s="2876"/>
      <c r="AV13" s="2876"/>
      <c r="AW13" s="2876"/>
      <c r="AX13" s="2876"/>
      <c r="AY13" s="2876"/>
      <c r="AZ13" s="2876"/>
      <c r="BA13" s="2876"/>
      <c r="BB13" s="2876"/>
      <c r="BC13" s="2876"/>
      <c r="BD13" s="2876"/>
      <c r="BE13" s="2876"/>
      <c r="BF13" s="2876"/>
      <c r="BG13" s="2876"/>
      <c r="BH13" s="2876"/>
      <c r="BI13" s="2876"/>
      <c r="BJ13" s="2876"/>
      <c r="BK13" s="2876"/>
      <c r="BL13" s="2876"/>
      <c r="BM13" s="2876"/>
      <c r="BN13" s="2876"/>
      <c r="BO13" s="2876"/>
    </row>
    <row r="14" s="2947" customFormat="1" ht="14.25" spans="1:67">
      <c r="A14" s="2981" t="s">
        <v>649</v>
      </c>
      <c r="B14" s="2973" t="s">
        <v>648</v>
      </c>
      <c r="C14" s="2982" t="s">
        <v>649</v>
      </c>
      <c r="D14" s="2975"/>
      <c r="E14" s="2976"/>
      <c r="F14" s="2977"/>
      <c r="G14" s="2978"/>
      <c r="H14" s="2983"/>
      <c r="I14" s="2983"/>
      <c r="J14" s="2983"/>
      <c r="K14" s="3067">
        <f>SUMIF('数据-汇总表'!C$19:C$33,A14,'数据-汇总表'!E$19:E$33)</f>
        <v>0</v>
      </c>
      <c r="L14" s="3072"/>
      <c r="M14" s="3069">
        <f t="shared" si="0"/>
        <v>0</v>
      </c>
      <c r="N14" s="3073"/>
      <c r="O14" s="3069" t="str">
        <f t="shared" si="3"/>
        <v>——</v>
      </c>
      <c r="P14" s="3071" t="str">
        <f t="shared" si="4"/>
        <v>——</v>
      </c>
      <c r="Q14" s="3098"/>
      <c r="R14" s="3088"/>
      <c r="S14" s="3089"/>
      <c r="T14" s="3090"/>
      <c r="U14" s="3099"/>
      <c r="V14" s="3100"/>
      <c r="W14" s="3100"/>
      <c r="X14" s="3101"/>
      <c r="Y14" s="3117"/>
      <c r="Z14" s="3118"/>
      <c r="AA14" s="3119"/>
      <c r="AB14" s="3119"/>
      <c r="AC14" s="3093"/>
      <c r="AD14" s="3101"/>
      <c r="AE14" s="3115"/>
      <c r="AF14" s="1394"/>
      <c r="AG14" s="1819"/>
      <c r="AH14" s="3115"/>
      <c r="AI14" s="1377"/>
      <c r="AJ14" s="1393"/>
      <c r="AK14" s="3138"/>
      <c r="AL14" s="3139"/>
      <c r="AM14" s="3140"/>
      <c r="AN14" s="2367"/>
      <c r="AO14" s="2993"/>
      <c r="AP14" s="2993"/>
      <c r="AQ14" s="2993"/>
      <c r="AR14" s="2993"/>
      <c r="AS14" s="2876"/>
      <c r="AT14" s="2876"/>
      <c r="AU14" s="2876"/>
      <c r="AV14" s="2876"/>
      <c r="AW14" s="2876"/>
      <c r="AX14" s="2876"/>
      <c r="AY14" s="2876"/>
      <c r="AZ14" s="2876"/>
      <c r="BA14" s="2876"/>
      <c r="BB14" s="2876"/>
      <c r="BC14" s="2876"/>
      <c r="BD14" s="2876"/>
      <c r="BE14" s="2876"/>
      <c r="BF14" s="2876"/>
      <c r="BG14" s="2876"/>
      <c r="BH14" s="2876"/>
      <c r="BI14" s="2876"/>
      <c r="BJ14" s="2876"/>
      <c r="BK14" s="2876"/>
      <c r="BL14" s="2876"/>
      <c r="BM14" s="2876"/>
      <c r="BN14" s="2876"/>
      <c r="BO14" s="2876"/>
    </row>
    <row r="15" s="2947" customFormat="1" ht="27" spans="1:67">
      <c r="A15" s="2981" t="s">
        <v>650</v>
      </c>
      <c r="B15" s="2973" t="s">
        <v>648</v>
      </c>
      <c r="C15" s="2982" t="s">
        <v>696</v>
      </c>
      <c r="D15" s="2975"/>
      <c r="E15" s="2976"/>
      <c r="F15" s="2977"/>
      <c r="G15" s="2978"/>
      <c r="H15" s="2983"/>
      <c r="I15" s="2983"/>
      <c r="J15" s="2983"/>
      <c r="K15" s="3067">
        <f>SUMIF('数据-汇总表'!C$19:C$33,A15,'数据-汇总表'!E$19:E$33)</f>
        <v>0</v>
      </c>
      <c r="L15" s="3074"/>
      <c r="M15" s="3069"/>
      <c r="N15" s="3075"/>
      <c r="O15" s="3069"/>
      <c r="P15" s="3071"/>
      <c r="Q15" s="3098"/>
      <c r="R15" s="3088"/>
      <c r="S15" s="3089"/>
      <c r="T15" s="3090"/>
      <c r="U15" s="3099"/>
      <c r="V15" s="3100"/>
      <c r="W15" s="3100"/>
      <c r="X15" s="3101"/>
      <c r="Y15" s="3117"/>
      <c r="Z15" s="3118"/>
      <c r="AA15" s="3119"/>
      <c r="AB15" s="3119"/>
      <c r="AC15" s="3093"/>
      <c r="AD15" s="3101"/>
      <c r="AE15" s="3115"/>
      <c r="AF15" s="1394"/>
      <c r="AG15" s="1819"/>
      <c r="AH15" s="3115"/>
      <c r="AI15" s="1377"/>
      <c r="AJ15" s="1393"/>
      <c r="AK15" s="3138"/>
      <c r="AL15" s="3139"/>
      <c r="AM15" s="3140"/>
      <c r="AN15" s="2367"/>
      <c r="AO15" s="2993"/>
      <c r="AP15" s="2993"/>
      <c r="AQ15" s="2993"/>
      <c r="AR15" s="2993"/>
      <c r="AS15" s="2876"/>
      <c r="AT15" s="2876"/>
      <c r="AU15" s="2876"/>
      <c r="AV15" s="2876"/>
      <c r="AW15" s="2876"/>
      <c r="AX15" s="2876"/>
      <c r="AY15" s="2876"/>
      <c r="AZ15" s="2876"/>
      <c r="BA15" s="2876"/>
      <c r="BB15" s="2876"/>
      <c r="BC15" s="2876"/>
      <c r="BD15" s="2876"/>
      <c r="BE15" s="2876"/>
      <c r="BF15" s="2876"/>
      <c r="BG15" s="2876"/>
      <c r="BH15" s="2876"/>
      <c r="BI15" s="2876"/>
      <c r="BJ15" s="2876"/>
      <c r="BK15" s="2876"/>
      <c r="BL15" s="2876"/>
      <c r="BM15" s="2876"/>
      <c r="BN15" s="2876"/>
      <c r="BO15" s="2876"/>
    </row>
    <row r="16" s="2947" customFormat="1" ht="15.75" spans="1:67">
      <c r="A16" s="2984" t="s">
        <v>651</v>
      </c>
      <c r="B16" s="2985"/>
      <c r="C16" s="2424"/>
      <c r="D16" s="2986"/>
      <c r="E16" s="2985"/>
      <c r="F16" s="2985"/>
      <c r="G16" s="2987">
        <f>ROUND(SUMPRODUCT(G6:G13,K6:K13)/SUMPRODUCT((G6:G13&gt;0)*(K6:K13)),3)</f>
        <v>0.831</v>
      </c>
      <c r="H16" s="2988">
        <f>ROUND(SUMPRODUCT(H6:H13,K6:K13)/SUMPRODUCT((H6:H13&gt;0)*(K6:K13)),3)</f>
        <v>0.05</v>
      </c>
      <c r="I16" s="3076"/>
      <c r="J16" s="3076"/>
      <c r="K16" s="3077">
        <f>SUM(K6:K15)</f>
        <v>112.13</v>
      </c>
      <c r="L16" s="3078">
        <f>ROUND(M16*10000/SUM(K6:K14),0)</f>
        <v>4994</v>
      </c>
      <c r="M16" s="3078">
        <f>SUM(M6:M14)</f>
        <v>56</v>
      </c>
      <c r="N16" s="3079">
        <f>ROUND(SUMPRODUCT(M6:M14,N6:N14)/M16,3)</f>
        <v>0.78</v>
      </c>
      <c r="O16" s="3078">
        <f>SUM(O6:O14)</f>
        <v>0</v>
      </c>
      <c r="P16" s="3078">
        <f>SUM(P6:P14)</f>
        <v>0</v>
      </c>
      <c r="Q16" s="3102">
        <f>ROUND(SUMPRODUCT(Q6:Q13,K6:K13)/SUMPRODUCT((Q6:Q13&gt;0)*(K6:K13)),2)</f>
        <v>0.15</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367"/>
      <c r="AO16" s="2993"/>
      <c r="AP16" s="2993"/>
      <c r="AQ16" s="2993"/>
      <c r="AR16" s="2993"/>
      <c r="AS16" s="2876"/>
      <c r="AT16" s="2876"/>
      <c r="AU16" s="2876"/>
      <c r="AV16" s="2876"/>
      <c r="AW16" s="2876"/>
      <c r="AX16" s="2876"/>
      <c r="AY16" s="2876"/>
      <c r="AZ16" s="2876"/>
      <c r="BA16" s="2876"/>
      <c r="BB16" s="2876"/>
      <c r="BC16" s="2876"/>
      <c r="BD16" s="2876"/>
      <c r="BE16" s="2876"/>
      <c r="BF16" s="2876"/>
      <c r="BG16" s="2876"/>
      <c r="BH16" s="2876"/>
      <c r="BI16" s="2876"/>
      <c r="BJ16" s="2876"/>
      <c r="BK16" s="2876"/>
      <c r="BL16" s="2876"/>
      <c r="BM16" s="2876"/>
      <c r="BN16" s="2876"/>
      <c r="BO16" s="2876"/>
    </row>
    <row r="17" ht="13.5" spans="1:44">
      <c r="A17" s="2989"/>
      <c r="B17" s="2990"/>
      <c r="C17" s="2367"/>
      <c r="D17" s="2991"/>
      <c r="E17" s="2991"/>
      <c r="F17" s="2367"/>
      <c r="G17" s="2367"/>
      <c r="H17" s="2367"/>
      <c r="I17" s="2367"/>
      <c r="J17" s="2367"/>
      <c r="K17" s="3080"/>
      <c r="L17" s="3080"/>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c r="AH17" s="2367"/>
      <c r="AI17" s="2367"/>
      <c r="AJ17" s="2367"/>
      <c r="AK17" s="2367"/>
      <c r="AL17" s="2367"/>
      <c r="AM17" s="2367"/>
      <c r="AN17" s="2367"/>
      <c r="AO17" s="2367"/>
      <c r="AP17" s="2367"/>
      <c r="AQ17" s="2367"/>
      <c r="AR17" s="2367"/>
    </row>
    <row r="18" ht="15" spans="1:44">
      <c r="A18" s="1634" t="s">
        <v>697</v>
      </c>
      <c r="B18" s="2992"/>
      <c r="C18" s="2993"/>
      <c r="D18" s="2994"/>
      <c r="E18" s="2993"/>
      <c r="F18" s="2993"/>
      <c r="G18" s="2993"/>
      <c r="H18" s="2993"/>
      <c r="I18" s="2993"/>
      <c r="J18" s="2993"/>
      <c r="K18" s="3080"/>
      <c r="L18" s="3080"/>
      <c r="M18" s="2367"/>
      <c r="N18" s="2367">
        <v>2007</v>
      </c>
      <c r="O18" s="2367"/>
      <c r="P18" s="2367"/>
      <c r="Q18" s="2367"/>
      <c r="R18" s="2367"/>
      <c r="S18" s="2367"/>
      <c r="T18" s="2367"/>
      <c r="U18" s="2367"/>
      <c r="V18" s="2367"/>
      <c r="W18" s="2367"/>
      <c r="X18" s="2367"/>
      <c r="Y18" s="2367"/>
      <c r="Z18" s="2367"/>
      <c r="AA18" s="2367"/>
      <c r="AB18" s="2367"/>
      <c r="AC18" s="2367"/>
      <c r="AD18" s="2367"/>
      <c r="AE18" s="2367"/>
      <c r="AF18" s="2367"/>
      <c r="AG18" s="2367"/>
      <c r="AH18" s="2367"/>
      <c r="AI18" s="2367"/>
      <c r="AJ18" s="2367"/>
      <c r="AK18" s="2367"/>
      <c r="AL18" s="2367"/>
      <c r="AM18" s="2367"/>
      <c r="AN18" s="2367"/>
      <c r="AO18" s="2367"/>
      <c r="AP18" s="2367"/>
      <c r="AQ18" s="2367"/>
      <c r="AR18" s="2367"/>
    </row>
    <row r="19" ht="14.25" spans="1:44">
      <c r="A19" s="2995" t="s">
        <v>698</v>
      </c>
      <c r="B19" s="2996">
        <v>0</v>
      </c>
      <c r="C19" s="2997" t="s">
        <v>699</v>
      </c>
      <c r="D19" s="2994"/>
      <c r="E19" s="2993"/>
      <c r="F19" s="2993"/>
      <c r="G19" s="2993"/>
      <c r="H19" s="2993"/>
      <c r="I19" s="2993"/>
      <c r="J19" s="2993"/>
      <c r="K19" s="3080"/>
      <c r="L19" s="3080"/>
      <c r="M19" s="2367"/>
      <c r="N19" s="2367">
        <f>1-(2025-N18)/60</f>
        <v>0.7</v>
      </c>
      <c r="O19" s="2367"/>
      <c r="P19" s="2367"/>
      <c r="Q19" s="2367"/>
      <c r="R19" s="2367"/>
      <c r="S19" s="2367"/>
      <c r="T19" s="2367"/>
      <c r="U19" s="2367"/>
      <c r="V19" s="2367"/>
      <c r="W19" s="2367"/>
      <c r="X19" s="2367"/>
      <c r="Y19" s="2367"/>
      <c r="Z19" s="2367"/>
      <c r="AA19" s="2367"/>
      <c r="AB19" s="2367"/>
      <c r="AC19" s="2367"/>
      <c r="AD19" s="2367"/>
      <c r="AE19" s="2367"/>
      <c r="AF19" s="2367"/>
      <c r="AG19" s="2367"/>
      <c r="AH19" s="2367"/>
      <c r="AI19" s="2367"/>
      <c r="AJ19" s="2367"/>
      <c r="AK19" s="2367"/>
      <c r="AL19" s="2367"/>
      <c r="AM19" s="2367"/>
      <c r="AN19" s="2367"/>
      <c r="AO19" s="2367"/>
      <c r="AP19" s="2367"/>
      <c r="AQ19" s="2367"/>
      <c r="AR19" s="2367"/>
    </row>
    <row r="20" ht="14.25" spans="1:44">
      <c r="A20" s="2998" t="s">
        <v>700</v>
      </c>
      <c r="B20" s="2999">
        <v>2</v>
      </c>
      <c r="C20" s="3000" t="s">
        <v>701</v>
      </c>
      <c r="D20" s="2994"/>
      <c r="E20" s="2993"/>
      <c r="F20" s="2993"/>
      <c r="G20" s="2993"/>
      <c r="H20" s="2993"/>
      <c r="I20" s="2993"/>
      <c r="J20" s="2993"/>
      <c r="K20" s="3080"/>
      <c r="L20" s="3080"/>
      <c r="M20" s="2367"/>
      <c r="N20" s="2367">
        <v>0.85</v>
      </c>
      <c r="O20" s="2367"/>
      <c r="P20" s="2367"/>
      <c r="Q20" s="2367"/>
      <c r="R20" s="2367"/>
      <c r="S20" s="2367"/>
      <c r="T20" s="2367"/>
      <c r="U20" s="2367"/>
      <c r="V20" s="2367"/>
      <c r="W20" s="2367"/>
      <c r="X20" s="2367"/>
      <c r="Y20" s="2367"/>
      <c r="Z20" s="2367"/>
      <c r="AA20" s="2367"/>
      <c r="AB20" s="2367"/>
      <c r="AC20" s="2367"/>
      <c r="AD20" s="2367"/>
      <c r="AE20" s="2367"/>
      <c r="AF20" s="2367"/>
      <c r="AG20" s="2367"/>
      <c r="AH20" s="2367"/>
      <c r="AI20" s="2367"/>
      <c r="AJ20" s="2367"/>
      <c r="AK20" s="2367"/>
      <c r="AL20" s="2367"/>
      <c r="AM20" s="2367"/>
      <c r="AN20" s="2367"/>
      <c r="AO20" s="2367"/>
      <c r="AP20" s="2367"/>
      <c r="AQ20" s="2367"/>
      <c r="AR20" s="2367"/>
    </row>
    <row r="21" ht="14.25" spans="1:44">
      <c r="A21" s="3001" t="s">
        <v>702</v>
      </c>
      <c r="B21" s="2999">
        <v>2</v>
      </c>
      <c r="C21" s="2993"/>
      <c r="D21" s="2994"/>
      <c r="E21" s="2993"/>
      <c r="F21" s="2993"/>
      <c r="G21" s="2993"/>
      <c r="H21" s="2993"/>
      <c r="I21" s="2993"/>
      <c r="J21" s="2993"/>
      <c r="K21" s="3080"/>
      <c r="L21" s="3080"/>
      <c r="M21" s="2367"/>
      <c r="N21" s="2367">
        <f>ROUND((N19+N20)/2,2)</f>
        <v>0.78</v>
      </c>
      <c r="O21" s="2367"/>
      <c r="P21" s="2367"/>
      <c r="Q21" s="2367"/>
      <c r="R21" s="2367"/>
      <c r="S21" s="2367"/>
      <c r="T21" s="2367"/>
      <c r="U21" s="2367"/>
      <c r="V21" s="2367"/>
      <c r="W21" s="2367"/>
      <c r="X21" s="2367"/>
      <c r="Y21" s="2367"/>
      <c r="Z21" s="2367"/>
      <c r="AA21" s="2367"/>
      <c r="AB21" s="2367"/>
      <c r="AC21" s="2367"/>
      <c r="AD21" s="2367"/>
      <c r="AE21" s="2367"/>
      <c r="AF21" s="2367"/>
      <c r="AG21" s="2367"/>
      <c r="AH21" s="2367"/>
      <c r="AI21" s="2367"/>
      <c r="AJ21" s="2367"/>
      <c r="AK21" s="2367"/>
      <c r="AL21" s="2367"/>
      <c r="AM21" s="2367"/>
      <c r="AN21" s="2367"/>
      <c r="AO21" s="2367"/>
      <c r="AP21" s="2367"/>
      <c r="AQ21" s="2367"/>
      <c r="AR21" s="2367"/>
    </row>
    <row r="22" ht="14.25" spans="1:44">
      <c r="A22" s="2998" t="s">
        <v>703</v>
      </c>
      <c r="B22" s="3002">
        <f>B19+B20</f>
        <v>2</v>
      </c>
      <c r="C22" s="2993"/>
      <c r="D22" s="2994"/>
      <c r="E22" s="2993"/>
      <c r="F22" s="2993"/>
      <c r="G22" s="2993"/>
      <c r="H22" s="2993"/>
      <c r="I22" s="2993"/>
      <c r="J22" s="2993"/>
      <c r="K22" s="3080"/>
      <c r="L22" s="3080"/>
      <c r="M22" s="2367"/>
      <c r="N22" s="2367"/>
      <c r="O22" s="2367"/>
      <c r="P22" s="2367"/>
      <c r="Q22" s="2367"/>
      <c r="R22" s="2367"/>
      <c r="S22" s="2367"/>
      <c r="T22" s="2367"/>
      <c r="U22" s="2367"/>
      <c r="V22" s="2367"/>
      <c r="W22" s="2367"/>
      <c r="X22" s="2367"/>
      <c r="Y22" s="2367"/>
      <c r="Z22" s="2367"/>
      <c r="AA22" s="2367"/>
      <c r="AB22" s="2367"/>
      <c r="AC22" s="2367"/>
      <c r="AD22" s="2367"/>
      <c r="AE22" s="2367"/>
      <c r="AF22" s="2367"/>
      <c r="AG22" s="2367"/>
      <c r="AH22" s="2367"/>
      <c r="AI22" s="2367"/>
      <c r="AJ22" s="2367"/>
      <c r="AK22" s="2367"/>
      <c r="AL22" s="2367"/>
      <c r="AM22" s="2367"/>
      <c r="AN22" s="2367"/>
      <c r="AO22" s="2367"/>
      <c r="AP22" s="2367"/>
      <c r="AQ22" s="2367"/>
      <c r="AR22" s="2367"/>
    </row>
    <row r="23" ht="14.25" spans="1:44">
      <c r="A23" s="3001" t="s">
        <v>704</v>
      </c>
      <c r="B23" s="3002">
        <f>B19+B21</f>
        <v>2</v>
      </c>
      <c r="C23" s="2993"/>
      <c r="D23" s="2994"/>
      <c r="E23" s="2993"/>
      <c r="F23" s="2993"/>
      <c r="G23" s="2993"/>
      <c r="H23" s="2993"/>
      <c r="I23" s="2993"/>
      <c r="J23" s="2993"/>
      <c r="K23" s="3080"/>
      <c r="L23" s="3080"/>
      <c r="M23" s="2367"/>
      <c r="N23" s="2367"/>
      <c r="O23" s="2367"/>
      <c r="P23" s="2367"/>
      <c r="Q23" s="2367"/>
      <c r="R23" s="2367"/>
      <c r="S23" s="2367"/>
      <c r="T23" s="2367"/>
      <c r="U23" s="2367"/>
      <c r="V23" s="2367"/>
      <c r="W23" s="2367"/>
      <c r="X23" s="2367"/>
      <c r="Y23" s="2367"/>
      <c r="Z23" s="2367"/>
      <c r="AA23" s="2367"/>
      <c r="AB23" s="2367"/>
      <c r="AC23" s="2367"/>
      <c r="AD23" s="2367"/>
      <c r="AE23" s="2367"/>
      <c r="AF23" s="2367"/>
      <c r="AG23" s="2367"/>
      <c r="AH23" s="2367"/>
      <c r="AI23" s="2367"/>
      <c r="AJ23" s="2367"/>
      <c r="AK23" s="2367"/>
      <c r="AL23" s="2367"/>
      <c r="AM23" s="2367"/>
      <c r="AN23" s="2367"/>
      <c r="AO23" s="2367"/>
      <c r="AP23" s="2367"/>
      <c r="AQ23" s="2367"/>
      <c r="AR23" s="2367"/>
    </row>
    <row r="24" ht="15" spans="1:44">
      <c r="A24" s="3003" t="s">
        <v>705</v>
      </c>
      <c r="B24" s="3004">
        <f>B20-B21</f>
        <v>0</v>
      </c>
      <c r="C24" s="2993"/>
      <c r="D24" s="2994"/>
      <c r="E24" s="2993"/>
      <c r="F24" s="2993"/>
      <c r="G24" s="2993"/>
      <c r="H24" s="2993"/>
      <c r="I24" s="2993"/>
      <c r="J24" s="2993"/>
      <c r="K24" s="3080"/>
      <c r="L24" s="3080"/>
      <c r="M24" s="2367"/>
      <c r="N24" s="2367"/>
      <c r="O24" s="2367"/>
      <c r="P24" s="2367"/>
      <c r="Q24" s="2367"/>
      <c r="R24" s="2367"/>
      <c r="S24" s="2367"/>
      <c r="T24" s="2367"/>
      <c r="U24" s="2367"/>
      <c r="V24" s="2367"/>
      <c r="W24" s="2367"/>
      <c r="X24" s="2367"/>
      <c r="Y24" s="2367"/>
      <c r="Z24" s="2367"/>
      <c r="AA24" s="2367"/>
      <c r="AB24" s="2367"/>
      <c r="AC24" s="2367"/>
      <c r="AD24" s="2367"/>
      <c r="AE24" s="2367"/>
      <c r="AF24" s="2367"/>
      <c r="AG24" s="2367"/>
      <c r="AH24" s="2367"/>
      <c r="AI24" s="2367"/>
      <c r="AJ24" s="2367"/>
      <c r="AK24" s="2367"/>
      <c r="AL24" s="2367"/>
      <c r="AM24" s="2367"/>
      <c r="AN24" s="2367"/>
      <c r="AO24" s="2367"/>
      <c r="AP24" s="2367"/>
      <c r="AQ24" s="2367"/>
      <c r="AR24" s="2367"/>
    </row>
    <row r="25" ht="15" spans="1:44">
      <c r="A25" s="2962"/>
      <c r="B25" s="2963"/>
      <c r="C25" s="2993"/>
      <c r="D25" s="2994"/>
      <c r="E25" s="2993"/>
      <c r="F25" s="2993"/>
      <c r="G25" s="2993"/>
      <c r="H25" s="2993"/>
      <c r="I25" s="2993"/>
      <c r="J25" s="2993"/>
      <c r="K25" s="3080"/>
      <c r="L25" s="3080"/>
      <c r="M25" s="2367"/>
      <c r="N25" s="2367"/>
      <c r="O25" s="2367"/>
      <c r="P25" s="2367"/>
      <c r="Q25" s="2367"/>
      <c r="R25" s="2367"/>
      <c r="S25" s="2367"/>
      <c r="T25" s="2367"/>
      <c r="U25" s="2367"/>
      <c r="V25" s="2367"/>
      <c r="W25" s="2367"/>
      <c r="X25" s="2367"/>
      <c r="Y25" s="2367"/>
      <c r="Z25" s="2367"/>
      <c r="AA25" s="2367"/>
      <c r="AB25" s="2367"/>
      <c r="AC25" s="2367"/>
      <c r="AD25" s="2367"/>
      <c r="AE25" s="2367"/>
      <c r="AF25" s="2367"/>
      <c r="AG25" s="2367"/>
      <c r="AH25" s="2367"/>
      <c r="AI25" s="2367"/>
      <c r="AJ25" s="2367"/>
      <c r="AK25" s="2367"/>
      <c r="AL25" s="2367"/>
      <c r="AM25" s="2367"/>
      <c r="AN25" s="2367"/>
      <c r="AO25" s="2367"/>
      <c r="AP25" s="2367"/>
      <c r="AQ25" s="2367"/>
      <c r="AR25" s="2367"/>
    </row>
    <row r="26" ht="15" spans="1:44">
      <c r="A26" s="2958" t="s">
        <v>706</v>
      </c>
      <c r="B26" s="3005" t="s">
        <v>707</v>
      </c>
      <c r="C26" s="3006" t="s">
        <v>708</v>
      </c>
      <c r="D26" s="2994"/>
      <c r="E26" s="2993"/>
      <c r="F26" s="2993"/>
      <c r="G26" s="2993"/>
      <c r="H26" s="2993"/>
      <c r="I26" s="2993"/>
      <c r="J26" s="2993"/>
      <c r="K26" s="3080"/>
      <c r="L26" s="3080"/>
      <c r="M26" s="2367"/>
      <c r="N26" s="2367"/>
      <c r="O26" s="2367"/>
      <c r="P26" s="2367"/>
      <c r="Q26" s="2367"/>
      <c r="R26" s="2367"/>
      <c r="S26" s="2367"/>
      <c r="T26" s="2367"/>
      <c r="U26" s="2367"/>
      <c r="V26" s="2367"/>
      <c r="W26" s="2367"/>
      <c r="X26" s="2367"/>
      <c r="Y26" s="2367"/>
      <c r="Z26" s="2367"/>
      <c r="AA26" s="2367"/>
      <c r="AB26" s="2367"/>
      <c r="AC26" s="2367"/>
      <c r="AD26" s="2367"/>
      <c r="AE26" s="2367"/>
      <c r="AF26" s="2367"/>
      <c r="AG26" s="2367"/>
      <c r="AH26" s="2367"/>
      <c r="AI26" s="2367"/>
      <c r="AJ26" s="2367"/>
      <c r="AK26" s="2367"/>
      <c r="AL26" s="2367"/>
      <c r="AM26" s="2367"/>
      <c r="AN26" s="2367"/>
      <c r="AO26" s="2367"/>
      <c r="AP26" s="2367"/>
      <c r="AQ26" s="2367"/>
      <c r="AR26" s="2367"/>
    </row>
    <row r="27" s="2949" customFormat="1" ht="27.75" spans="1:67">
      <c r="A27" s="3007" t="s">
        <v>709</v>
      </c>
      <c r="B27" s="3008"/>
      <c r="C27" s="3009" t="s">
        <v>710</v>
      </c>
      <c r="D27" s="3010"/>
      <c r="E27" s="1509"/>
      <c r="F27" s="1509"/>
      <c r="G27" s="2993"/>
      <c r="H27" s="2993"/>
      <c r="I27" s="2993"/>
      <c r="J27" s="2993"/>
      <c r="K27" s="3080"/>
      <c r="L27" s="3080"/>
      <c r="M27" s="2367"/>
      <c r="N27" s="2367"/>
      <c r="O27" s="2367"/>
      <c r="P27" s="2367"/>
      <c r="Q27" s="2367"/>
      <c r="R27" s="2367"/>
      <c r="S27" s="2367"/>
      <c r="T27" s="2367"/>
      <c r="U27" s="2367"/>
      <c r="V27" s="2367"/>
      <c r="W27" s="2367"/>
      <c r="X27" s="2367"/>
      <c r="Y27" s="2367"/>
      <c r="Z27" s="2367"/>
      <c r="AA27" s="2367"/>
      <c r="AB27" s="2367"/>
      <c r="AC27" s="2367"/>
      <c r="AD27" s="2367"/>
      <c r="AE27" s="2367"/>
      <c r="AF27" s="2367"/>
      <c r="AG27" s="2367"/>
      <c r="AH27" s="2367"/>
      <c r="AI27" s="2367"/>
      <c r="AJ27" s="2367"/>
      <c r="AK27" s="2367"/>
      <c r="AL27" s="2367"/>
      <c r="AM27" s="2367"/>
      <c r="AN27" s="2367"/>
      <c r="AO27" s="2367"/>
      <c r="AP27" s="2367"/>
      <c r="AQ27" s="2367"/>
      <c r="AR27" s="2367"/>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row>
    <row r="28" s="2949" customFormat="1" ht="27.75" spans="1:67">
      <c r="A28" s="3011" t="s">
        <v>711</v>
      </c>
      <c r="B28" s="3012">
        <v>200</v>
      </c>
      <c r="C28" s="3013"/>
      <c r="D28" s="3010"/>
      <c r="E28" s="1509"/>
      <c r="F28" s="1509"/>
      <c r="G28" s="2993"/>
      <c r="H28" s="2993"/>
      <c r="I28" s="2993"/>
      <c r="J28" s="2993"/>
      <c r="K28" s="3080"/>
      <c r="L28" s="3080"/>
      <c r="M28" s="2367"/>
      <c r="N28" s="2367"/>
      <c r="O28" s="2367"/>
      <c r="P28" s="2367"/>
      <c r="Q28" s="2367"/>
      <c r="R28" s="2367"/>
      <c r="S28" s="2367"/>
      <c r="T28" s="2367"/>
      <c r="U28" s="2367"/>
      <c r="V28" s="2367"/>
      <c r="W28" s="2367"/>
      <c r="X28" s="2367"/>
      <c r="Y28" s="2367"/>
      <c r="Z28" s="2367"/>
      <c r="AA28" s="2367"/>
      <c r="AB28" s="2367"/>
      <c r="AC28" s="2367"/>
      <c r="AD28" s="2367"/>
      <c r="AE28" s="2367"/>
      <c r="AF28" s="2367"/>
      <c r="AG28" s="2367"/>
      <c r="AH28" s="2367"/>
      <c r="AI28" s="2367"/>
      <c r="AJ28" s="2367"/>
      <c r="AK28" s="2367"/>
      <c r="AL28" s="2367"/>
      <c r="AM28" s="2367"/>
      <c r="AN28" s="2367"/>
      <c r="AO28" s="2367"/>
      <c r="AP28" s="2367"/>
      <c r="AQ28" s="2367"/>
      <c r="AR28" s="2367"/>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row>
    <row r="29" s="2949" customFormat="1" ht="28.5" spans="1:67">
      <c r="A29" s="3014" t="s">
        <v>712</v>
      </c>
      <c r="B29" s="3015"/>
      <c r="C29" s="3016" t="s">
        <v>713</v>
      </c>
      <c r="D29" s="3010"/>
      <c r="E29" s="1509"/>
      <c r="F29" s="1509"/>
      <c r="G29" s="2993"/>
      <c r="H29" s="2993"/>
      <c r="I29" s="2993"/>
      <c r="J29" s="2993"/>
      <c r="K29" s="3080"/>
      <c r="L29" s="3080"/>
      <c r="M29" s="2367"/>
      <c r="N29" s="2367"/>
      <c r="O29" s="2367"/>
      <c r="P29" s="2367"/>
      <c r="Q29" s="2367"/>
      <c r="R29" s="2367"/>
      <c r="S29" s="2367"/>
      <c r="T29" s="2367"/>
      <c r="U29" s="2367"/>
      <c r="V29" s="2367"/>
      <c r="W29" s="2367"/>
      <c r="X29" s="2367"/>
      <c r="Y29" s="2367"/>
      <c r="Z29" s="2367"/>
      <c r="AA29" s="2367"/>
      <c r="AB29" s="2367"/>
      <c r="AC29" s="2367"/>
      <c r="AD29" s="2367"/>
      <c r="AE29" s="2367"/>
      <c r="AF29" s="2367"/>
      <c r="AG29" s="2367"/>
      <c r="AH29" s="2367"/>
      <c r="AI29" s="2367"/>
      <c r="AJ29" s="2367"/>
      <c r="AK29" s="2367"/>
      <c r="AL29" s="2367"/>
      <c r="AM29" s="2367"/>
      <c r="AN29" s="2367"/>
      <c r="AO29" s="2367"/>
      <c r="AP29" s="2367"/>
      <c r="AQ29" s="2367"/>
      <c r="AR29" s="2367"/>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row>
    <row r="30" s="2949" customFormat="1" ht="27" spans="1:67">
      <c r="A30" s="3017" t="s">
        <v>714</v>
      </c>
      <c r="B30" s="3018">
        <v>200</v>
      </c>
      <c r="C30" s="3013"/>
      <c r="D30" s="3010"/>
      <c r="E30" s="1509"/>
      <c r="F30" s="1509"/>
      <c r="G30" s="2993"/>
      <c r="H30" s="2993"/>
      <c r="I30" s="2993"/>
      <c r="J30" s="2993"/>
      <c r="K30" s="3080"/>
      <c r="L30" s="3080"/>
      <c r="M30" s="2367"/>
      <c r="N30" s="2367"/>
      <c r="O30" s="2367"/>
      <c r="P30" s="2367"/>
      <c r="Q30" s="2367"/>
      <c r="R30" s="2367"/>
      <c r="S30" s="2367"/>
      <c r="T30" s="2367"/>
      <c r="U30" s="2367"/>
      <c r="V30" s="2367"/>
      <c r="W30" s="2367"/>
      <c r="X30" s="2367"/>
      <c r="Y30" s="2367"/>
      <c r="Z30" s="2367"/>
      <c r="AA30" s="2367"/>
      <c r="AB30" s="2367"/>
      <c r="AC30" s="2367"/>
      <c r="AD30" s="2367"/>
      <c r="AE30" s="2367"/>
      <c r="AF30" s="2367"/>
      <c r="AG30" s="2367"/>
      <c r="AH30" s="2367"/>
      <c r="AI30" s="2367"/>
      <c r="AJ30" s="2367"/>
      <c r="AK30" s="2367"/>
      <c r="AL30" s="2367"/>
      <c r="AM30" s="2367"/>
      <c r="AN30" s="2367"/>
      <c r="AO30" s="2367"/>
      <c r="AP30" s="2367"/>
      <c r="AQ30" s="2367"/>
      <c r="AR30" s="2367"/>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row>
    <row r="31" s="2949" customFormat="1" ht="27" spans="1:67">
      <c r="A31" s="3011" t="s">
        <v>715</v>
      </c>
      <c r="B31" s="3019">
        <f>B30-B32</f>
        <v>200</v>
      </c>
      <c r="C31" s="3020"/>
      <c r="D31" s="3010"/>
      <c r="E31" s="1509"/>
      <c r="F31" s="1509"/>
      <c r="G31" s="2993"/>
      <c r="H31" s="2993"/>
      <c r="I31" s="2993"/>
      <c r="J31" s="2993"/>
      <c r="K31" s="3080"/>
      <c r="L31" s="3080"/>
      <c r="M31" s="2367"/>
      <c r="N31" s="2367"/>
      <c r="O31" s="2367"/>
      <c r="P31" s="2367"/>
      <c r="Q31" s="2367"/>
      <c r="R31" s="2367"/>
      <c r="S31" s="2367"/>
      <c r="T31" s="2367"/>
      <c r="U31" s="2367"/>
      <c r="V31" s="2367"/>
      <c r="W31" s="2367"/>
      <c r="X31" s="2367"/>
      <c r="Y31" s="2367"/>
      <c r="Z31" s="2367"/>
      <c r="AA31" s="2367"/>
      <c r="AB31" s="2367"/>
      <c r="AC31" s="2367"/>
      <c r="AD31" s="2367"/>
      <c r="AE31" s="2367"/>
      <c r="AF31" s="2367"/>
      <c r="AG31" s="2367"/>
      <c r="AH31" s="2367"/>
      <c r="AI31" s="2367"/>
      <c r="AJ31" s="2367"/>
      <c r="AK31" s="2367"/>
      <c r="AL31" s="2367"/>
      <c r="AM31" s="2367"/>
      <c r="AN31" s="2367"/>
      <c r="AO31" s="2367"/>
      <c r="AP31" s="2367"/>
      <c r="AQ31" s="2367"/>
      <c r="AR31" s="2367"/>
      <c r="AS31" s="2355"/>
      <c r="AT31" s="2355"/>
      <c r="AU31" s="2355"/>
      <c r="AV31" s="2355"/>
      <c r="AW31" s="2355"/>
      <c r="AX31" s="2355"/>
      <c r="AY31" s="2355"/>
      <c r="AZ31" s="2355"/>
      <c r="BA31" s="2355"/>
      <c r="BB31" s="2355"/>
      <c r="BC31" s="2355"/>
      <c r="BD31" s="2355"/>
      <c r="BE31" s="2355"/>
      <c r="BF31" s="2355"/>
      <c r="BG31" s="2355"/>
      <c r="BH31" s="2355"/>
      <c r="BI31" s="2355"/>
      <c r="BJ31" s="2355"/>
      <c r="BK31" s="2355"/>
      <c r="BL31" s="2355"/>
      <c r="BM31" s="2355"/>
      <c r="BN31" s="2355"/>
      <c r="BO31" s="2355"/>
    </row>
    <row r="32" s="2949" customFormat="1" ht="27.75" spans="1:67">
      <c r="A32" s="3021" t="s">
        <v>716</v>
      </c>
      <c r="B32" s="3022">
        <v>0</v>
      </c>
      <c r="C32" s="3013"/>
      <c r="D32" s="2994"/>
      <c r="E32" s="2993"/>
      <c r="F32" s="2993"/>
      <c r="G32" s="2993"/>
      <c r="H32" s="2993"/>
      <c r="I32" s="2993"/>
      <c r="J32" s="2993"/>
      <c r="K32" s="3080"/>
      <c r="L32" s="3080"/>
      <c r="M32" s="2367"/>
      <c r="N32" s="2367"/>
      <c r="O32" s="2367"/>
      <c r="P32" s="2367"/>
      <c r="Q32" s="2367"/>
      <c r="R32" s="2367"/>
      <c r="S32" s="2367"/>
      <c r="T32" s="2367"/>
      <c r="U32" s="2367"/>
      <c r="V32" s="2367"/>
      <c r="W32" s="2367"/>
      <c r="X32" s="2367"/>
      <c r="Y32" s="2367"/>
      <c r="Z32" s="2367"/>
      <c r="AA32" s="2367"/>
      <c r="AB32" s="2367"/>
      <c r="AC32" s="2367"/>
      <c r="AD32" s="2367"/>
      <c r="AE32" s="2367"/>
      <c r="AF32" s="2367"/>
      <c r="AG32" s="2367"/>
      <c r="AH32" s="2367"/>
      <c r="AI32" s="2367"/>
      <c r="AJ32" s="2367"/>
      <c r="AK32" s="2367"/>
      <c r="AL32" s="2367"/>
      <c r="AM32" s="2367"/>
      <c r="AN32" s="2367"/>
      <c r="AO32" s="2367"/>
      <c r="AP32" s="2367"/>
      <c r="AQ32" s="2367"/>
      <c r="AR32" s="2367"/>
      <c r="AS32" s="2355"/>
      <c r="AT32" s="2355"/>
      <c r="AU32" s="2355"/>
      <c r="AV32" s="2355"/>
      <c r="AW32" s="2355"/>
      <c r="AX32" s="2355"/>
      <c r="AY32" s="2355"/>
      <c r="AZ32" s="2355"/>
      <c r="BA32" s="2355"/>
      <c r="BB32" s="2355"/>
      <c r="BC32" s="2355"/>
      <c r="BD32" s="2355"/>
      <c r="BE32" s="2355"/>
      <c r="BF32" s="2355"/>
      <c r="BG32" s="2355"/>
      <c r="BH32" s="2355"/>
      <c r="BI32" s="2355"/>
      <c r="BJ32" s="2355"/>
      <c r="BK32" s="2355"/>
      <c r="BL32" s="2355"/>
      <c r="BM32" s="2355"/>
      <c r="BN32" s="2355"/>
      <c r="BO32" s="2355"/>
    </row>
    <row r="33" s="2949" customFormat="1" ht="14.25" spans="1:67">
      <c r="A33" s="3007" t="s">
        <v>717</v>
      </c>
      <c r="B33" s="3023">
        <v>0.05</v>
      </c>
      <c r="C33" s="3024" t="s">
        <v>718</v>
      </c>
      <c r="D33" s="2994"/>
      <c r="E33" s="2993"/>
      <c r="F33" s="2993"/>
      <c r="G33" s="2993"/>
      <c r="H33" s="2993"/>
      <c r="I33" s="2993"/>
      <c r="J33" s="2993"/>
      <c r="K33" s="3080"/>
      <c r="L33" s="3080"/>
      <c r="M33" s="2367"/>
      <c r="N33" s="2367"/>
      <c r="O33" s="2367"/>
      <c r="P33" s="2367"/>
      <c r="Q33" s="2367"/>
      <c r="R33" s="2367"/>
      <c r="S33" s="2367"/>
      <c r="T33" s="2367"/>
      <c r="U33" s="2367"/>
      <c r="V33" s="2367"/>
      <c r="W33" s="2367"/>
      <c r="X33" s="2367"/>
      <c r="Y33" s="2367"/>
      <c r="Z33" s="2367"/>
      <c r="AA33" s="2367"/>
      <c r="AB33" s="2367"/>
      <c r="AC33" s="2367"/>
      <c r="AD33" s="2367"/>
      <c r="AE33" s="2367"/>
      <c r="AF33" s="2367"/>
      <c r="AG33" s="2367"/>
      <c r="AH33" s="2367"/>
      <c r="AI33" s="2367"/>
      <c r="AJ33" s="2367"/>
      <c r="AK33" s="2367"/>
      <c r="AL33" s="2367"/>
      <c r="AM33" s="2367"/>
      <c r="AN33" s="2367"/>
      <c r="AO33" s="2367"/>
      <c r="AP33" s="2367"/>
      <c r="AQ33" s="2367"/>
      <c r="AR33" s="2367"/>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row>
    <row r="34" s="2949" customFormat="1" ht="14.25" spans="1:67">
      <c r="A34" s="3011" t="s">
        <v>719</v>
      </c>
      <c r="B34" s="3025">
        <v>0</v>
      </c>
      <c r="C34" s="3024" t="s">
        <v>720</v>
      </c>
      <c r="D34" s="3026" t="s">
        <v>721</v>
      </c>
      <c r="E34" s="2990"/>
      <c r="F34" s="2993"/>
      <c r="G34" s="2993"/>
      <c r="H34" s="2993"/>
      <c r="I34" s="2993"/>
      <c r="J34" s="2993"/>
      <c r="K34" s="3080"/>
      <c r="L34" s="3080"/>
      <c r="M34" s="2367"/>
      <c r="N34" s="2367"/>
      <c r="O34" s="2367"/>
      <c r="P34" s="2367"/>
      <c r="Q34" s="2367"/>
      <c r="R34" s="2367"/>
      <c r="S34" s="2367"/>
      <c r="T34" s="2367"/>
      <c r="U34" s="2367"/>
      <c r="V34" s="2367"/>
      <c r="W34" s="2367"/>
      <c r="X34" s="2367"/>
      <c r="Y34" s="2367"/>
      <c r="Z34" s="2367"/>
      <c r="AA34" s="2367"/>
      <c r="AB34" s="2367"/>
      <c r="AC34" s="2367"/>
      <c r="AD34" s="2367"/>
      <c r="AE34" s="2367"/>
      <c r="AF34" s="2367"/>
      <c r="AG34" s="2367"/>
      <c r="AH34" s="2367"/>
      <c r="AI34" s="2367"/>
      <c r="AJ34" s="2367"/>
      <c r="AK34" s="2367"/>
      <c r="AL34" s="2367"/>
      <c r="AM34" s="2367"/>
      <c r="AN34" s="2367"/>
      <c r="AO34" s="2367"/>
      <c r="AP34" s="2367"/>
      <c r="AQ34" s="2367"/>
      <c r="AR34" s="2367"/>
      <c r="AS34" s="2355"/>
      <c r="AT34" s="2355"/>
      <c r="AU34" s="2355"/>
      <c r="AV34" s="2355"/>
      <c r="AW34" s="2355"/>
      <c r="AX34" s="2355"/>
      <c r="AY34" s="2355"/>
      <c r="AZ34" s="2355"/>
      <c r="BA34" s="2355"/>
      <c r="BB34" s="2355"/>
      <c r="BC34" s="2355"/>
      <c r="BD34" s="2355"/>
      <c r="BE34" s="2355"/>
      <c r="BF34" s="2355"/>
      <c r="BG34" s="2355"/>
      <c r="BH34" s="2355"/>
      <c r="BI34" s="2355"/>
      <c r="BJ34" s="2355"/>
      <c r="BK34" s="2355"/>
      <c r="BL34" s="2355"/>
      <c r="BM34" s="2355"/>
      <c r="BN34" s="2355"/>
      <c r="BO34" s="2355"/>
    </row>
    <row r="35" s="2949" customFormat="1" ht="14.25" spans="1:67">
      <c r="A35" s="3011" t="s">
        <v>722</v>
      </c>
      <c r="B35" s="3012">
        <v>200</v>
      </c>
      <c r="C35" s="3024" t="s">
        <v>723</v>
      </c>
      <c r="D35" s="3010"/>
      <c r="E35" s="1509"/>
      <c r="F35" s="1509"/>
      <c r="G35" s="2993"/>
      <c r="H35" s="2993"/>
      <c r="I35" s="2993"/>
      <c r="J35" s="2993"/>
      <c r="K35" s="3080"/>
      <c r="L35" s="3080"/>
      <c r="M35" s="2367"/>
      <c r="N35" s="2367"/>
      <c r="O35" s="2367"/>
      <c r="P35" s="2367"/>
      <c r="Q35" s="2367"/>
      <c r="R35" s="2367"/>
      <c r="S35" s="2367"/>
      <c r="T35" s="2367"/>
      <c r="U35" s="2367"/>
      <c r="V35" s="2367"/>
      <c r="W35" s="2367"/>
      <c r="X35" s="2367"/>
      <c r="Y35" s="2367"/>
      <c r="Z35" s="2367"/>
      <c r="AA35" s="2367"/>
      <c r="AB35" s="2367"/>
      <c r="AC35" s="2367"/>
      <c r="AD35" s="2367"/>
      <c r="AE35" s="2367"/>
      <c r="AF35" s="2367"/>
      <c r="AG35" s="2367"/>
      <c r="AH35" s="2367"/>
      <c r="AI35" s="2367"/>
      <c r="AJ35" s="2367"/>
      <c r="AK35" s="2367"/>
      <c r="AL35" s="2367"/>
      <c r="AM35" s="2367"/>
      <c r="AN35" s="2367"/>
      <c r="AO35" s="2367"/>
      <c r="AP35" s="2367"/>
      <c r="AQ35" s="2367"/>
      <c r="AR35" s="2367"/>
      <c r="AS35" s="2355"/>
      <c r="AT35" s="2355"/>
      <c r="AU35" s="2355"/>
      <c r="AV35" s="2355"/>
      <c r="AW35" s="2355"/>
      <c r="AX35" s="2355"/>
      <c r="AY35" s="2355"/>
      <c r="AZ35" s="2355"/>
      <c r="BA35" s="2355"/>
      <c r="BB35" s="2355"/>
      <c r="BC35" s="2355"/>
      <c r="BD35" s="2355"/>
      <c r="BE35" s="2355"/>
      <c r="BF35" s="2355"/>
      <c r="BG35" s="2355"/>
      <c r="BH35" s="2355"/>
      <c r="BI35" s="2355"/>
      <c r="BJ35" s="2355"/>
      <c r="BK35" s="2355"/>
      <c r="BL35" s="2355"/>
      <c r="BM35" s="2355"/>
      <c r="BN35" s="2355"/>
      <c r="BO35" s="2355"/>
    </row>
    <row r="36" ht="15" spans="1:44">
      <c r="A36" s="3014" t="s">
        <v>724</v>
      </c>
      <c r="B36" s="3027">
        <v>0.02</v>
      </c>
      <c r="C36" s="3024" t="s">
        <v>725</v>
      </c>
      <c r="D36" s="2994"/>
      <c r="E36" s="2993"/>
      <c r="F36" s="2993"/>
      <c r="G36" s="2993"/>
      <c r="H36" s="2993"/>
      <c r="I36" s="2993"/>
      <c r="J36" s="2993"/>
      <c r="K36" s="3080"/>
      <c r="L36" s="3080"/>
      <c r="M36" s="2367"/>
      <c r="N36" s="2367"/>
      <c r="O36" s="2367"/>
      <c r="P36" s="2367"/>
      <c r="Q36" s="2367"/>
      <c r="R36" s="2367"/>
      <c r="S36" s="2367"/>
      <c r="T36" s="2367"/>
      <c r="U36" s="2367"/>
      <c r="V36" s="2367"/>
      <c r="W36" s="2367"/>
      <c r="X36" s="2367"/>
      <c r="Y36" s="2367"/>
      <c r="Z36" s="2367"/>
      <c r="AA36" s="2367"/>
      <c r="AB36" s="2367"/>
      <c r="AC36" s="2367"/>
      <c r="AD36" s="2367"/>
      <c r="AE36" s="2367"/>
      <c r="AF36" s="2367"/>
      <c r="AG36" s="2367"/>
      <c r="AH36" s="2367"/>
      <c r="AI36" s="2367"/>
      <c r="AJ36" s="2367"/>
      <c r="AK36" s="2367"/>
      <c r="AL36" s="2367"/>
      <c r="AM36" s="2367"/>
      <c r="AN36" s="2367"/>
      <c r="AO36" s="2367"/>
      <c r="AP36" s="2367"/>
      <c r="AQ36" s="2367"/>
      <c r="AR36" s="2367"/>
    </row>
    <row r="37" ht="14.25" spans="1:44">
      <c r="A37" s="3017" t="s">
        <v>726</v>
      </c>
      <c r="B37" s="3028">
        <v>0.02</v>
      </c>
      <c r="C37" s="3024" t="s">
        <v>727</v>
      </c>
      <c r="D37" s="2994"/>
      <c r="E37" s="2993"/>
      <c r="F37" s="2993"/>
      <c r="G37" s="2993"/>
      <c r="H37" s="2993"/>
      <c r="I37" s="2993"/>
      <c r="J37" s="2993"/>
      <c r="K37" s="3080"/>
      <c r="L37" s="3080"/>
      <c r="M37" s="2367"/>
      <c r="N37" s="2367"/>
      <c r="O37" s="2367"/>
      <c r="P37" s="2367"/>
      <c r="Q37" s="2367"/>
      <c r="R37" s="2367"/>
      <c r="S37" s="2367"/>
      <c r="T37" s="2367"/>
      <c r="U37" s="2367"/>
      <c r="V37" s="2367"/>
      <c r="W37" s="2367"/>
      <c r="X37" s="2367"/>
      <c r="Y37" s="2367"/>
      <c r="Z37" s="2367"/>
      <c r="AA37" s="2367"/>
      <c r="AB37" s="2367"/>
      <c r="AC37" s="2367"/>
      <c r="AD37" s="2367"/>
      <c r="AE37" s="2367"/>
      <c r="AF37" s="2367"/>
      <c r="AG37" s="2367"/>
      <c r="AH37" s="2367"/>
      <c r="AI37" s="2367"/>
      <c r="AJ37" s="2367"/>
      <c r="AK37" s="2367"/>
      <c r="AL37" s="2367"/>
      <c r="AM37" s="2367"/>
      <c r="AN37" s="2367"/>
      <c r="AO37" s="2367"/>
      <c r="AP37" s="2367"/>
      <c r="AQ37" s="2367"/>
      <c r="AR37" s="2367"/>
    </row>
    <row r="38" ht="14.25" spans="1:44">
      <c r="A38" s="3011" t="s">
        <v>728</v>
      </c>
      <c r="B38" s="3025">
        <v>0.02</v>
      </c>
      <c r="C38" s="3024" t="s">
        <v>729</v>
      </c>
      <c r="D38" s="2994"/>
      <c r="E38" s="2993"/>
      <c r="F38" s="2993"/>
      <c r="G38" s="2993"/>
      <c r="H38" s="2993"/>
      <c r="I38" s="2993"/>
      <c r="J38" s="2993"/>
      <c r="K38" s="3080"/>
      <c r="L38" s="3080"/>
      <c r="M38" s="2367"/>
      <c r="N38" s="2367"/>
      <c r="O38" s="2367"/>
      <c r="P38" s="2367"/>
      <c r="Q38" s="2367"/>
      <c r="R38" s="2367"/>
      <c r="S38" s="2367"/>
      <c r="T38" s="2367"/>
      <c r="U38" s="2367"/>
      <c r="V38" s="2367"/>
      <c r="W38" s="2367"/>
      <c r="X38" s="2367"/>
      <c r="Y38" s="2367"/>
      <c r="Z38" s="2367"/>
      <c r="AA38" s="2367"/>
      <c r="AB38" s="2367"/>
      <c r="AC38" s="2367"/>
      <c r="AD38" s="2367"/>
      <c r="AE38" s="2367"/>
      <c r="AF38" s="2367"/>
      <c r="AG38" s="2367"/>
      <c r="AH38" s="2367"/>
      <c r="AI38" s="2367"/>
      <c r="AJ38" s="2367"/>
      <c r="AK38" s="2367"/>
      <c r="AL38" s="2367"/>
      <c r="AM38" s="2367"/>
      <c r="AN38" s="2367"/>
      <c r="AO38" s="2367"/>
      <c r="AP38" s="2367"/>
      <c r="AQ38" s="2367"/>
      <c r="AR38" s="2367"/>
    </row>
    <row r="39" ht="14.25" spans="1:44">
      <c r="A39" s="3021" t="s">
        <v>730</v>
      </c>
      <c r="B39" s="3029">
        <f ca="1">存贷款利率!I1</f>
        <v>0.015</v>
      </c>
      <c r="C39" s="3030"/>
      <c r="D39" s="2994"/>
      <c r="E39" s="2993"/>
      <c r="F39" s="2993"/>
      <c r="G39" s="2993"/>
      <c r="H39" s="2993"/>
      <c r="I39" s="2993"/>
      <c r="J39" s="2993"/>
      <c r="K39" s="3080"/>
      <c r="L39" s="3080"/>
      <c r="M39" s="2367"/>
      <c r="N39" s="2367"/>
      <c r="O39" s="2367"/>
      <c r="P39" s="2367"/>
      <c r="Q39" s="2367"/>
      <c r="R39" s="2367"/>
      <c r="S39" s="2367"/>
      <c r="T39" s="2367"/>
      <c r="U39" s="2367"/>
      <c r="V39" s="2367"/>
      <c r="W39" s="2367"/>
      <c r="X39" s="2367"/>
      <c r="Y39" s="2367"/>
      <c r="Z39" s="2367"/>
      <c r="AA39" s="2367"/>
      <c r="AB39" s="2367"/>
      <c r="AC39" s="2367"/>
      <c r="AD39" s="2367"/>
      <c r="AE39" s="2367"/>
      <c r="AF39" s="2367"/>
      <c r="AG39" s="2367"/>
      <c r="AH39" s="2367"/>
      <c r="AI39" s="2367"/>
      <c r="AJ39" s="2367"/>
      <c r="AK39" s="2367"/>
      <c r="AL39" s="2367"/>
      <c r="AM39" s="2367"/>
      <c r="AN39" s="2367"/>
      <c r="AO39" s="2367"/>
      <c r="AP39" s="2367"/>
      <c r="AQ39" s="2367"/>
      <c r="AR39" s="2367"/>
    </row>
    <row r="40" ht="15" spans="1:44">
      <c r="A40" s="3031" t="s">
        <v>731</v>
      </c>
      <c r="B40" s="3032">
        <f ca="1">IF(A40="利息：取LPR",存贷款利率!G1,存贷款利率!G1+C40)</f>
        <v>0.03</v>
      </c>
      <c r="C40" s="3033">
        <v>0.005</v>
      </c>
      <c r="D40" s="2367"/>
      <c r="E40" s="2994"/>
      <c r="F40" s="2993"/>
      <c r="G40" s="2993"/>
      <c r="H40" s="2993"/>
      <c r="I40" s="2993"/>
      <c r="J40" s="2993"/>
      <c r="K40" s="3080"/>
      <c r="L40" s="3080"/>
      <c r="M40" s="2367"/>
      <c r="N40" s="2367"/>
      <c r="O40" s="2367"/>
      <c r="P40" s="2367"/>
      <c r="Q40" s="2367"/>
      <c r="R40" s="2367"/>
      <c r="S40" s="2367"/>
      <c r="T40" s="2367"/>
      <c r="U40" s="2367"/>
      <c r="V40" s="2367"/>
      <c r="W40" s="2367"/>
      <c r="X40" s="2367"/>
      <c r="Y40" s="2367"/>
      <c r="Z40" s="2367"/>
      <c r="AA40" s="2367"/>
      <c r="AB40" s="2367"/>
      <c r="AC40" s="2367"/>
      <c r="AD40" s="2367"/>
      <c r="AE40" s="2367"/>
      <c r="AF40" s="2367"/>
      <c r="AG40" s="2367"/>
      <c r="AH40" s="2367"/>
      <c r="AI40" s="2367"/>
      <c r="AJ40" s="2367"/>
      <c r="AK40" s="2367"/>
      <c r="AL40" s="2367"/>
      <c r="AM40" s="2367"/>
      <c r="AN40" s="2367"/>
      <c r="AO40" s="2367"/>
      <c r="AP40" s="2367"/>
      <c r="AQ40" s="2367"/>
      <c r="AR40" s="2367"/>
    </row>
    <row r="41" ht="14.25" spans="1:44">
      <c r="A41" s="3007" t="s">
        <v>732</v>
      </c>
      <c r="B41" s="3034">
        <f>B42+B43</f>
        <v>0.056</v>
      </c>
      <c r="C41" s="3020"/>
      <c r="D41" s="2367"/>
      <c r="E41" s="2994"/>
      <c r="F41" s="2993"/>
      <c r="G41" s="2993"/>
      <c r="H41" s="2993"/>
      <c r="I41" s="2993"/>
      <c r="J41" s="2993"/>
      <c r="K41" s="3080"/>
      <c r="L41" s="3080"/>
      <c r="M41" s="2367"/>
      <c r="N41" s="2367"/>
      <c r="O41" s="2367"/>
      <c r="P41" s="2367"/>
      <c r="Q41" s="2367"/>
      <c r="R41" s="2367"/>
      <c r="S41" s="2367"/>
      <c r="T41" s="2367"/>
      <c r="U41" s="2367"/>
      <c r="V41" s="2367"/>
      <c r="W41" s="2367"/>
      <c r="X41" s="2367"/>
      <c r="Y41" s="2367"/>
      <c r="Z41" s="2367"/>
      <c r="AA41" s="2367"/>
      <c r="AB41" s="2367"/>
      <c r="AC41" s="2367"/>
      <c r="AD41" s="2367"/>
      <c r="AE41" s="2367"/>
      <c r="AF41" s="2367"/>
      <c r="AG41" s="2367"/>
      <c r="AH41" s="2367"/>
      <c r="AI41" s="2367"/>
      <c r="AJ41" s="2367"/>
      <c r="AK41" s="2367"/>
      <c r="AL41" s="2367"/>
      <c r="AM41" s="2367"/>
      <c r="AN41" s="2367"/>
      <c r="AO41" s="2367"/>
      <c r="AP41" s="2367"/>
      <c r="AQ41" s="2367"/>
      <c r="AR41" s="2367"/>
    </row>
    <row r="42" ht="14.25" spans="1:44">
      <c r="A42" s="3035" t="s">
        <v>733</v>
      </c>
      <c r="B42" s="3036">
        <v>0.05</v>
      </c>
      <c r="C42" s="3037">
        <f>IF(B2&lt;DATE(2016,5,1),0,B42)</f>
        <v>0.05</v>
      </c>
      <c r="D42" s="2994"/>
      <c r="E42" s="2993"/>
      <c r="F42" s="2993"/>
      <c r="G42" s="2993"/>
      <c r="H42" s="2993"/>
      <c r="I42" s="2993"/>
      <c r="J42" s="2993"/>
      <c r="K42" s="3080"/>
      <c r="L42" s="3080"/>
      <c r="M42" s="2367"/>
      <c r="N42" s="2367"/>
      <c r="O42" s="2367"/>
      <c r="P42" s="2367"/>
      <c r="Q42" s="2367"/>
      <c r="R42" s="2367"/>
      <c r="S42" s="2367"/>
      <c r="T42" s="2367"/>
      <c r="U42" s="2367"/>
      <c r="V42" s="2367"/>
      <c r="W42" s="2367"/>
      <c r="X42" s="2367"/>
      <c r="Y42" s="2367"/>
      <c r="Z42" s="2367"/>
      <c r="AA42" s="2367"/>
      <c r="AB42" s="2367"/>
      <c r="AC42" s="2367"/>
      <c r="AD42" s="2367"/>
      <c r="AE42" s="2367"/>
      <c r="AF42" s="2367"/>
      <c r="AG42" s="2367"/>
      <c r="AH42" s="2367"/>
      <c r="AI42" s="2367"/>
      <c r="AJ42" s="2367"/>
      <c r="AK42" s="2367"/>
      <c r="AL42" s="2367"/>
      <c r="AM42" s="2367"/>
      <c r="AN42" s="2367"/>
      <c r="AO42" s="2367"/>
      <c r="AP42" s="2367"/>
      <c r="AQ42" s="2367"/>
      <c r="AR42" s="2367"/>
    </row>
    <row r="43" ht="14.25" spans="1:44">
      <c r="A43" s="3035" t="s">
        <v>734</v>
      </c>
      <c r="B43" s="3038">
        <f>B42*(B44+B45+B46)+B47</f>
        <v>0.006</v>
      </c>
      <c r="C43" s="3020"/>
      <c r="D43" s="2994"/>
      <c r="E43" s="2993"/>
      <c r="F43" s="2993"/>
      <c r="G43" s="2993"/>
      <c r="H43" s="2993"/>
      <c r="I43" s="2993"/>
      <c r="J43" s="2993"/>
      <c r="K43" s="3080"/>
      <c r="L43" s="3080"/>
      <c r="M43" s="2367"/>
      <c r="N43" s="2367"/>
      <c r="O43" s="2367"/>
      <c r="P43" s="2367"/>
      <c r="Q43" s="2367"/>
      <c r="R43" s="2367"/>
      <c r="S43" s="2367"/>
      <c r="T43" s="2367"/>
      <c r="U43" s="2367"/>
      <c r="V43" s="2367"/>
      <c r="W43" s="2367"/>
      <c r="X43" s="2367"/>
      <c r="Y43" s="2367"/>
      <c r="Z43" s="2367"/>
      <c r="AA43" s="2367"/>
      <c r="AB43" s="2367"/>
      <c r="AC43" s="2367"/>
      <c r="AD43" s="2367"/>
      <c r="AE43" s="2367"/>
      <c r="AF43" s="2367"/>
      <c r="AG43" s="2367"/>
      <c r="AH43" s="2367"/>
      <c r="AI43" s="2367"/>
      <c r="AJ43" s="2367"/>
      <c r="AK43" s="2367"/>
      <c r="AL43" s="2367"/>
      <c r="AM43" s="2367"/>
      <c r="AN43" s="2367"/>
      <c r="AO43" s="2367"/>
      <c r="AP43" s="2367"/>
      <c r="AQ43" s="2367"/>
      <c r="AR43" s="2367"/>
    </row>
    <row r="44" ht="14.25" spans="1:44">
      <c r="A44" s="3039" t="s">
        <v>735</v>
      </c>
      <c r="B44" s="3040">
        <v>0.07</v>
      </c>
      <c r="C44" s="3024" t="s">
        <v>736</v>
      </c>
      <c r="D44" s="2994"/>
      <c r="E44" s="2993"/>
      <c r="F44" s="2993"/>
      <c r="G44" s="2993"/>
      <c r="H44" s="2993"/>
      <c r="I44" s="2993"/>
      <c r="J44" s="2993"/>
      <c r="K44" s="3080"/>
      <c r="L44" s="3080"/>
      <c r="M44" s="2367"/>
      <c r="N44" s="2367"/>
      <c r="O44" s="2367"/>
      <c r="P44" s="2367"/>
      <c r="Q44" s="2367"/>
      <c r="R44" s="2367"/>
      <c r="S44" s="2367"/>
      <c r="T44" s="2367"/>
      <c r="U44" s="2367"/>
      <c r="V44" s="2367"/>
      <c r="W44" s="2367"/>
      <c r="X44" s="2367"/>
      <c r="Y44" s="2367"/>
      <c r="Z44" s="2367"/>
      <c r="AA44" s="2367"/>
      <c r="AB44" s="2367"/>
      <c r="AC44" s="2367"/>
      <c r="AD44" s="2367"/>
      <c r="AE44" s="2367"/>
      <c r="AF44" s="2367"/>
      <c r="AG44" s="2367"/>
      <c r="AH44" s="2367"/>
      <c r="AI44" s="2367"/>
      <c r="AJ44" s="2367"/>
      <c r="AK44" s="2367"/>
      <c r="AL44" s="2367"/>
      <c r="AM44" s="2367"/>
      <c r="AN44" s="2367"/>
      <c r="AO44" s="2367"/>
      <c r="AP44" s="2367"/>
      <c r="AQ44" s="2367"/>
      <c r="AR44" s="2367"/>
    </row>
    <row r="45" ht="14.25" spans="1:44">
      <c r="A45" s="3039" t="s">
        <v>737</v>
      </c>
      <c r="B45" s="3036">
        <v>0.03</v>
      </c>
      <c r="C45" s="3016" t="s">
        <v>738</v>
      </c>
      <c r="D45" s="2994"/>
      <c r="E45" s="2993"/>
      <c r="F45" s="2993"/>
      <c r="G45" s="2993"/>
      <c r="H45" s="2993"/>
      <c r="I45" s="2993"/>
      <c r="J45" s="2993"/>
      <c r="K45" s="3080"/>
      <c r="L45" s="3080"/>
      <c r="M45" s="2367"/>
      <c r="N45" s="2367"/>
      <c r="O45" s="2367"/>
      <c r="P45" s="2367"/>
      <c r="Q45" s="2367"/>
      <c r="R45" s="2367"/>
      <c r="S45" s="2367"/>
      <c r="T45" s="2367"/>
      <c r="U45" s="2367"/>
      <c r="V45" s="2367"/>
      <c r="W45" s="2367"/>
      <c r="X45" s="2367"/>
      <c r="Y45" s="2367"/>
      <c r="Z45" s="2367"/>
      <c r="AA45" s="2367"/>
      <c r="AB45" s="2367"/>
      <c r="AC45" s="2367"/>
      <c r="AD45" s="2367"/>
      <c r="AE45" s="2367"/>
      <c r="AF45" s="2367"/>
      <c r="AG45" s="2367"/>
      <c r="AH45" s="2367"/>
      <c r="AI45" s="2367"/>
      <c r="AJ45" s="2367"/>
      <c r="AK45" s="2367"/>
      <c r="AL45" s="2367"/>
      <c r="AM45" s="2367"/>
      <c r="AN45" s="2367"/>
      <c r="AO45" s="2367"/>
      <c r="AP45" s="2367"/>
      <c r="AQ45" s="2367"/>
      <c r="AR45" s="2367"/>
    </row>
    <row r="46" ht="14.25" spans="1:44">
      <c r="A46" s="3039" t="s">
        <v>739</v>
      </c>
      <c r="B46" s="3036">
        <v>0.02</v>
      </c>
      <c r="C46" s="3016" t="s">
        <v>740</v>
      </c>
      <c r="D46" s="2994"/>
      <c r="E46" s="2993"/>
      <c r="F46" s="2993"/>
      <c r="G46" s="2993"/>
      <c r="H46" s="2993"/>
      <c r="I46" s="2993"/>
      <c r="J46" s="2993"/>
      <c r="K46" s="3080"/>
      <c r="L46" s="3080"/>
      <c r="M46" s="2367"/>
      <c r="N46" s="2367"/>
      <c r="O46" s="2367"/>
      <c r="P46" s="2367"/>
      <c r="Q46" s="2367"/>
      <c r="R46" s="2367"/>
      <c r="S46" s="2367"/>
      <c r="T46" s="2367"/>
      <c r="U46" s="2367"/>
      <c r="V46" s="2367"/>
      <c r="W46" s="2367"/>
      <c r="X46" s="2367"/>
      <c r="Y46" s="2367"/>
      <c r="Z46" s="2367"/>
      <c r="AA46" s="2367"/>
      <c r="AB46" s="2367"/>
      <c r="AC46" s="2367"/>
      <c r="AD46" s="2367"/>
      <c r="AE46" s="2367"/>
      <c r="AF46" s="2367"/>
      <c r="AG46" s="2367"/>
      <c r="AH46" s="2367"/>
      <c r="AI46" s="2367"/>
      <c r="AJ46" s="2367"/>
      <c r="AK46" s="2367"/>
      <c r="AL46" s="2367"/>
      <c r="AM46" s="2367"/>
      <c r="AN46" s="2367"/>
      <c r="AO46" s="2367"/>
      <c r="AP46" s="2367"/>
      <c r="AQ46" s="2367"/>
      <c r="AR46" s="2367"/>
    </row>
    <row r="47" ht="15" spans="1:44">
      <c r="A47" s="3041" t="s">
        <v>741</v>
      </c>
      <c r="B47" s="3042"/>
      <c r="C47" s="3043" t="s">
        <v>742</v>
      </c>
      <c r="D47" s="2994"/>
      <c r="E47" s="2993"/>
      <c r="F47" s="2993"/>
      <c r="G47" s="2993"/>
      <c r="H47" s="2993"/>
      <c r="I47" s="2993"/>
      <c r="J47" s="2993"/>
      <c r="K47" s="3080"/>
      <c r="L47" s="3080"/>
      <c r="M47" s="2367"/>
      <c r="N47" s="2367"/>
      <c r="O47" s="2367"/>
      <c r="P47" s="2367"/>
      <c r="Q47" s="2367"/>
      <c r="R47" s="2367"/>
      <c r="S47" s="2367"/>
      <c r="T47" s="2367"/>
      <c r="U47" s="2367"/>
      <c r="V47" s="2367"/>
      <c r="W47" s="2367"/>
      <c r="X47" s="2367"/>
      <c r="Y47" s="2367"/>
      <c r="Z47" s="2367"/>
      <c r="AA47" s="2367"/>
      <c r="AB47" s="2367"/>
      <c r="AC47" s="2367"/>
      <c r="AD47" s="2367"/>
      <c r="AE47" s="2367"/>
      <c r="AF47" s="2367"/>
      <c r="AG47" s="2367"/>
      <c r="AH47" s="2367"/>
      <c r="AI47" s="2367"/>
      <c r="AJ47" s="2367"/>
      <c r="AK47" s="2367"/>
      <c r="AL47" s="2367"/>
      <c r="AM47" s="2367"/>
      <c r="AN47" s="2367"/>
      <c r="AO47" s="2367"/>
      <c r="AP47" s="2367"/>
      <c r="AQ47" s="2367"/>
      <c r="AR47" s="2367"/>
    </row>
    <row r="48" ht="14.25" spans="1:44">
      <c r="A48" s="3044" t="s">
        <v>743</v>
      </c>
      <c r="B48" s="3045">
        <v>0.03</v>
      </c>
      <c r="C48" s="3016" t="s">
        <v>738</v>
      </c>
      <c r="D48" s="2994"/>
      <c r="E48" s="2993"/>
      <c r="F48" s="2993"/>
      <c r="G48" s="2993"/>
      <c r="H48" s="2993"/>
      <c r="I48" s="2993"/>
      <c r="J48" s="2993"/>
      <c r="K48" s="3080"/>
      <c r="L48" s="3080"/>
      <c r="M48" s="2367"/>
      <c r="N48" s="2367"/>
      <c r="O48" s="2367"/>
      <c r="P48" s="2367"/>
      <c r="Q48" s="2367"/>
      <c r="R48" s="2367"/>
      <c r="S48" s="2367"/>
      <c r="T48" s="2367"/>
      <c r="U48" s="2367"/>
      <c r="V48" s="2367"/>
      <c r="W48" s="2367"/>
      <c r="X48" s="2367"/>
      <c r="Y48" s="2367"/>
      <c r="Z48" s="2367"/>
      <c r="AA48" s="2367"/>
      <c r="AB48" s="2367"/>
      <c r="AC48" s="2367"/>
      <c r="AD48" s="2367"/>
      <c r="AE48" s="2367"/>
      <c r="AF48" s="2367"/>
      <c r="AG48" s="2367"/>
      <c r="AH48" s="2367"/>
      <c r="AI48" s="2367"/>
      <c r="AJ48" s="2367"/>
      <c r="AK48" s="2367"/>
      <c r="AL48" s="2367"/>
      <c r="AM48" s="2367"/>
      <c r="AN48" s="2367"/>
      <c r="AO48" s="2367"/>
      <c r="AP48" s="2367"/>
      <c r="AQ48" s="2367"/>
      <c r="AR48" s="2367"/>
    </row>
    <row r="49" ht="15" spans="1:44">
      <c r="A49" s="3021" t="s">
        <v>744</v>
      </c>
      <c r="B49" s="3036">
        <v>0.0005</v>
      </c>
      <c r="C49" s="3016" t="s">
        <v>745</v>
      </c>
      <c r="D49" s="2994"/>
      <c r="E49" s="2993"/>
      <c r="F49" s="2993"/>
      <c r="G49" s="2993"/>
      <c r="H49" s="2993"/>
      <c r="I49" s="2993"/>
      <c r="J49" s="2993"/>
      <c r="K49" s="3080"/>
      <c r="L49" s="3080"/>
      <c r="M49" s="2367"/>
      <c r="N49" s="2367"/>
      <c r="O49" s="2367"/>
      <c r="P49" s="2367"/>
      <c r="Q49" s="2367"/>
      <c r="R49" s="2367"/>
      <c r="S49" s="2367"/>
      <c r="T49" s="2367"/>
      <c r="U49" s="2367"/>
      <c r="V49" s="2367"/>
      <c r="W49" s="2367"/>
      <c r="X49" s="2367"/>
      <c r="Y49" s="2367"/>
      <c r="Z49" s="2367"/>
      <c r="AA49" s="2367"/>
      <c r="AB49" s="2367"/>
      <c r="AC49" s="2367"/>
      <c r="AD49" s="2367"/>
      <c r="AE49" s="2367"/>
      <c r="AF49" s="2367"/>
      <c r="AG49" s="2367"/>
      <c r="AH49" s="2367"/>
      <c r="AI49" s="2367"/>
      <c r="AJ49" s="2367"/>
      <c r="AK49" s="2367"/>
      <c r="AL49" s="2367"/>
      <c r="AM49" s="2367"/>
      <c r="AN49" s="2367"/>
      <c r="AO49" s="2367"/>
      <c r="AP49" s="2367"/>
      <c r="AQ49" s="2367"/>
      <c r="AR49" s="2367"/>
    </row>
    <row r="50" ht="14.25" spans="1:44">
      <c r="A50" s="3046" t="s">
        <v>746</v>
      </c>
      <c r="B50" s="3047">
        <v>0.012</v>
      </c>
      <c r="C50" s="1509"/>
      <c r="D50" s="2994"/>
      <c r="E50" s="2993"/>
      <c r="F50" s="2993"/>
      <c r="G50" s="2993"/>
      <c r="H50" s="2993"/>
      <c r="I50" s="2993"/>
      <c r="J50" s="2993"/>
      <c r="K50" s="3080"/>
      <c r="L50" s="3080"/>
      <c r="M50" s="2367"/>
      <c r="N50" s="2367"/>
      <c r="O50" s="2367"/>
      <c r="P50" s="2367"/>
      <c r="Q50" s="2367"/>
      <c r="R50" s="2367"/>
      <c r="S50" s="2367"/>
      <c r="T50" s="2367"/>
      <c r="U50" s="2367"/>
      <c r="V50" s="2367"/>
      <c r="W50" s="2367"/>
      <c r="X50" s="2367"/>
      <c r="Y50" s="2367"/>
      <c r="Z50" s="2367"/>
      <c r="AA50" s="2367"/>
      <c r="AB50" s="2367"/>
      <c r="AC50" s="2367"/>
      <c r="AD50" s="2367"/>
      <c r="AE50" s="2367"/>
      <c r="AF50" s="2367"/>
      <c r="AG50" s="2367"/>
      <c r="AH50" s="2367"/>
      <c r="AI50" s="2367"/>
      <c r="AJ50" s="2367"/>
      <c r="AK50" s="2367"/>
      <c r="AL50" s="2367"/>
      <c r="AM50" s="2367"/>
      <c r="AN50" s="2367"/>
      <c r="AO50" s="2367"/>
      <c r="AP50" s="2367"/>
      <c r="AQ50" s="2367"/>
      <c r="AR50" s="2367"/>
    </row>
    <row r="51" ht="15" spans="1:44">
      <c r="A51" s="3014" t="s">
        <v>747</v>
      </c>
      <c r="B51" s="3048">
        <v>0.12</v>
      </c>
      <c r="C51" s="1509"/>
      <c r="D51" s="2994"/>
      <c r="E51" s="2993"/>
      <c r="F51" s="2993"/>
      <c r="G51" s="2993"/>
      <c r="H51" s="2993"/>
      <c r="I51" s="2993"/>
      <c r="J51" s="2993"/>
      <c r="K51" s="3080"/>
      <c r="L51" s="3080"/>
      <c r="M51" s="2367"/>
      <c r="N51" s="2367"/>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c r="AP51" s="2367"/>
      <c r="AQ51" s="2367"/>
      <c r="AR51" s="2367"/>
    </row>
    <row r="52" ht="14.25" spans="1:44">
      <c r="A52" s="3046" t="s">
        <v>748</v>
      </c>
      <c r="B52" s="3049">
        <f>SUMIF(A54:A63,B53,B54:B63)</f>
        <v>0</v>
      </c>
      <c r="C52" s="1509"/>
      <c r="D52" s="2994"/>
      <c r="E52" s="2993"/>
      <c r="F52" s="2993"/>
      <c r="G52" s="2993"/>
      <c r="H52" s="2993"/>
      <c r="I52" s="2993"/>
      <c r="J52" s="2993"/>
      <c r="K52" s="3080"/>
      <c r="L52" s="3080"/>
      <c r="M52" s="2367"/>
      <c r="N52" s="2367"/>
      <c r="O52" s="2367"/>
      <c r="P52" s="2367"/>
      <c r="Q52" s="2367"/>
      <c r="R52" s="2367"/>
      <c r="S52" s="2367"/>
      <c r="T52" s="2367"/>
      <c r="U52" s="2367"/>
      <c r="V52" s="2367"/>
      <c r="W52" s="2367"/>
      <c r="X52" s="2367"/>
      <c r="Y52" s="2367"/>
      <c r="Z52" s="2367"/>
      <c r="AA52" s="2367"/>
      <c r="AB52" s="2367"/>
      <c r="AC52" s="2367"/>
      <c r="AD52" s="2367"/>
      <c r="AE52" s="2367"/>
      <c r="AF52" s="2367"/>
      <c r="AG52" s="2367"/>
      <c r="AH52" s="2367"/>
      <c r="AI52" s="2367"/>
      <c r="AJ52" s="2367"/>
      <c r="AK52" s="2367"/>
      <c r="AL52" s="2367"/>
      <c r="AM52" s="2367"/>
      <c r="AN52" s="2367"/>
      <c r="AO52" s="2367"/>
      <c r="AP52" s="2367"/>
      <c r="AQ52" s="2367"/>
      <c r="AR52" s="2367"/>
    </row>
    <row r="53" ht="27" spans="1:44">
      <c r="A53" s="3011" t="s">
        <v>749</v>
      </c>
      <c r="B53" s="3050"/>
      <c r="C53" s="1509" t="s">
        <v>750</v>
      </c>
      <c r="D53" s="3051" t="s">
        <v>751</v>
      </c>
      <c r="E53" s="2993"/>
      <c r="F53" s="2993"/>
      <c r="G53" s="2993"/>
      <c r="H53" s="2993"/>
      <c r="I53" s="2993"/>
      <c r="J53" s="2993"/>
      <c r="K53" s="3080"/>
      <c r="L53" s="3080"/>
      <c r="M53" s="2367"/>
      <c r="N53" s="2367"/>
      <c r="O53" s="2367"/>
      <c r="P53" s="2367"/>
      <c r="Q53" s="2367"/>
      <c r="R53" s="2367"/>
      <c r="S53" s="2367"/>
      <c r="T53" s="2367"/>
      <c r="U53" s="2367"/>
      <c r="V53" s="2367"/>
      <c r="W53" s="2367"/>
      <c r="X53" s="2367"/>
      <c r="Y53" s="2367"/>
      <c r="Z53" s="2367"/>
      <c r="AA53" s="2367"/>
      <c r="AB53" s="2367"/>
      <c r="AC53" s="2367"/>
      <c r="AD53" s="2367"/>
      <c r="AE53" s="2367"/>
      <c r="AF53" s="2367"/>
      <c r="AG53" s="2367"/>
      <c r="AH53" s="2367"/>
      <c r="AI53" s="2367"/>
      <c r="AJ53" s="2367"/>
      <c r="AK53" s="2367"/>
      <c r="AL53" s="2367"/>
      <c r="AM53" s="2367"/>
      <c r="AN53" s="2367"/>
      <c r="AO53" s="2367"/>
      <c r="AP53" s="2367"/>
      <c r="AQ53" s="2367"/>
      <c r="AR53" s="2367"/>
    </row>
    <row r="54" ht="14.25" spans="1:44">
      <c r="A54" s="3052" t="s">
        <v>752</v>
      </c>
      <c r="B54" s="3053"/>
      <c r="C54" s="1509">
        <v>30</v>
      </c>
      <c r="D54" s="2994"/>
      <c r="E54" s="2993"/>
      <c r="F54" s="2993"/>
      <c r="G54" s="2993"/>
      <c r="H54" s="2993"/>
      <c r="I54" s="2993"/>
      <c r="J54" s="2993"/>
      <c r="K54" s="3080"/>
      <c r="L54" s="3080"/>
      <c r="M54" s="2367"/>
      <c r="N54" s="2367"/>
      <c r="O54" s="2367"/>
      <c r="P54" s="2367"/>
      <c r="Q54" s="2367"/>
      <c r="R54" s="2367"/>
      <c r="S54" s="2367"/>
      <c r="T54" s="2367"/>
      <c r="U54" s="2367"/>
      <c r="V54" s="2367"/>
      <c r="W54" s="2367"/>
      <c r="X54" s="2367"/>
      <c r="Y54" s="2367"/>
      <c r="Z54" s="2367"/>
      <c r="AA54" s="2367"/>
      <c r="AB54" s="2367"/>
      <c r="AC54" s="2367"/>
      <c r="AD54" s="2367"/>
      <c r="AE54" s="2367"/>
      <c r="AF54" s="2367"/>
      <c r="AG54" s="2367"/>
      <c r="AH54" s="2367"/>
      <c r="AI54" s="2367"/>
      <c r="AJ54" s="2367"/>
      <c r="AK54" s="2367"/>
      <c r="AL54" s="2367"/>
      <c r="AM54" s="2367"/>
      <c r="AN54" s="2367"/>
      <c r="AO54" s="2367"/>
      <c r="AP54" s="2367"/>
      <c r="AQ54" s="2367"/>
      <c r="AR54" s="2367"/>
    </row>
    <row r="55" ht="14.25" spans="1:44">
      <c r="A55" s="3052" t="s">
        <v>753</v>
      </c>
      <c r="B55" s="3053"/>
      <c r="C55" s="1509">
        <v>24</v>
      </c>
      <c r="D55" s="2994"/>
      <c r="E55" s="2993"/>
      <c r="F55" s="2993"/>
      <c r="G55" s="2993"/>
      <c r="H55" s="2993"/>
      <c r="I55" s="3081"/>
      <c r="J55" s="2993"/>
      <c r="K55" s="3080"/>
      <c r="L55" s="3080"/>
      <c r="M55" s="2367"/>
      <c r="N55" s="2367"/>
      <c r="O55" s="2367"/>
      <c r="P55" s="2367"/>
      <c r="Q55" s="2367"/>
      <c r="R55" s="2367"/>
      <c r="S55" s="2367"/>
      <c r="T55" s="2367"/>
      <c r="U55" s="2367"/>
      <c r="V55" s="2367"/>
      <c r="W55" s="2367"/>
      <c r="X55" s="2367"/>
      <c r="Y55" s="2367"/>
      <c r="Z55" s="2367"/>
      <c r="AA55" s="2367"/>
      <c r="AB55" s="2367"/>
      <c r="AC55" s="2367"/>
      <c r="AD55" s="2367"/>
      <c r="AE55" s="2367"/>
      <c r="AF55" s="2367"/>
      <c r="AG55" s="2367"/>
      <c r="AH55" s="2367"/>
      <c r="AI55" s="2367"/>
      <c r="AJ55" s="2367"/>
      <c r="AK55" s="2367"/>
      <c r="AL55" s="2367"/>
      <c r="AM55" s="2367"/>
      <c r="AN55" s="2367"/>
      <c r="AO55" s="2367"/>
      <c r="AP55" s="2367"/>
      <c r="AQ55" s="2367"/>
      <c r="AR55" s="2367"/>
    </row>
    <row r="56" ht="14.25" spans="1:44">
      <c r="A56" s="3052" t="s">
        <v>754</v>
      </c>
      <c r="B56" s="3053"/>
      <c r="C56" s="1509">
        <v>18</v>
      </c>
      <c r="D56" s="2994"/>
      <c r="E56" s="2993"/>
      <c r="F56" s="2993"/>
      <c r="G56" s="2993"/>
      <c r="H56" s="2993"/>
      <c r="I56" s="2993"/>
      <c r="J56" s="2993"/>
      <c r="K56" s="3080"/>
      <c r="L56" s="3080"/>
      <c r="M56" s="2367"/>
      <c r="N56" s="2367"/>
      <c r="O56" s="2367"/>
      <c r="P56" s="2367"/>
      <c r="Q56" s="2367"/>
      <c r="R56" s="2367"/>
      <c r="S56" s="2367"/>
      <c r="T56" s="2367"/>
      <c r="U56" s="2367"/>
      <c r="V56" s="2367"/>
      <c r="W56" s="2367"/>
      <c r="X56" s="2367"/>
      <c r="Y56" s="2367"/>
      <c r="Z56" s="2367"/>
      <c r="AA56" s="2367"/>
      <c r="AB56" s="2367"/>
      <c r="AC56" s="2367"/>
      <c r="AD56" s="2367"/>
      <c r="AE56" s="2367"/>
      <c r="AF56" s="2367"/>
      <c r="AG56" s="2367"/>
      <c r="AH56" s="2367"/>
      <c r="AI56" s="2367"/>
      <c r="AJ56" s="2367"/>
      <c r="AK56" s="2367"/>
      <c r="AL56" s="2367"/>
      <c r="AM56" s="2367"/>
      <c r="AN56" s="2367"/>
      <c r="AO56" s="2367"/>
      <c r="AP56" s="2367"/>
      <c r="AQ56" s="2367"/>
      <c r="AR56" s="2367"/>
    </row>
    <row r="57" ht="14.25" spans="1:44">
      <c r="A57" s="3052" t="s">
        <v>755</v>
      </c>
      <c r="B57" s="3053"/>
      <c r="C57" s="1509">
        <v>12</v>
      </c>
      <c r="D57" s="2994"/>
      <c r="E57" s="2993"/>
      <c r="F57" s="2993"/>
      <c r="G57" s="2993"/>
      <c r="H57" s="2993"/>
      <c r="I57" s="2993"/>
      <c r="J57" s="2993"/>
      <c r="K57" s="3080"/>
      <c r="L57" s="3080"/>
      <c r="M57" s="2367"/>
      <c r="N57" s="2367"/>
      <c r="O57" s="2367"/>
      <c r="P57" s="2367"/>
      <c r="Q57" s="2367"/>
      <c r="R57" s="2367"/>
      <c r="S57" s="2367"/>
      <c r="T57" s="2367"/>
      <c r="U57" s="2367"/>
      <c r="V57" s="2367"/>
      <c r="W57" s="2367"/>
      <c r="X57" s="2367"/>
      <c r="Y57" s="2367"/>
      <c r="Z57" s="2367"/>
      <c r="AA57" s="2367"/>
      <c r="AB57" s="2367"/>
      <c r="AC57" s="2367"/>
      <c r="AD57" s="2367"/>
      <c r="AE57" s="2367"/>
      <c r="AF57" s="2367"/>
      <c r="AG57" s="2367"/>
      <c r="AH57" s="2367"/>
      <c r="AI57" s="2367"/>
      <c r="AJ57" s="2367"/>
      <c r="AK57" s="2367"/>
      <c r="AL57" s="2367"/>
      <c r="AM57" s="2367"/>
      <c r="AN57" s="2367"/>
      <c r="AO57" s="2367"/>
      <c r="AP57" s="2367"/>
      <c r="AQ57" s="2367"/>
      <c r="AR57" s="2367"/>
    </row>
    <row r="58" ht="14.25" spans="1:44">
      <c r="A58" s="3052" t="s">
        <v>756</v>
      </c>
      <c r="B58" s="3053"/>
      <c r="C58" s="1509">
        <v>3</v>
      </c>
      <c r="D58" s="2994"/>
      <c r="E58" s="2993"/>
      <c r="F58" s="2993"/>
      <c r="G58" s="2993"/>
      <c r="H58" s="2993"/>
      <c r="I58" s="2993"/>
      <c r="J58" s="2993"/>
      <c r="K58" s="3080"/>
      <c r="L58" s="3080"/>
      <c r="M58" s="2367"/>
      <c r="N58" s="2367"/>
      <c r="O58" s="2367"/>
      <c r="P58" s="2367"/>
      <c r="Q58" s="2367"/>
      <c r="R58" s="2367"/>
      <c r="S58" s="2367"/>
      <c r="T58" s="2367"/>
      <c r="U58" s="2367"/>
      <c r="V58" s="2367"/>
      <c r="W58" s="2367"/>
      <c r="X58" s="2367"/>
      <c r="Y58" s="2367"/>
      <c r="Z58" s="2367"/>
      <c r="AA58" s="2367"/>
      <c r="AB58" s="2367"/>
      <c r="AC58" s="2367"/>
      <c r="AD58" s="2367"/>
      <c r="AE58" s="2367"/>
      <c r="AF58" s="2367"/>
      <c r="AG58" s="2367"/>
      <c r="AH58" s="2367"/>
      <c r="AI58" s="2367"/>
      <c r="AJ58" s="2367"/>
      <c r="AK58" s="2367"/>
      <c r="AL58" s="2367"/>
      <c r="AM58" s="2367"/>
      <c r="AN58" s="2367"/>
      <c r="AO58" s="2367"/>
      <c r="AP58" s="2367"/>
      <c r="AQ58" s="2367"/>
      <c r="AR58" s="2367"/>
    </row>
    <row r="59" ht="14.25" spans="1:44">
      <c r="A59" s="3052" t="s">
        <v>757</v>
      </c>
      <c r="B59" s="3053"/>
      <c r="C59" s="1509">
        <v>1.5</v>
      </c>
      <c r="D59" s="2994"/>
      <c r="E59" s="2993"/>
      <c r="F59" s="2993"/>
      <c r="G59" s="2993"/>
      <c r="H59" s="2993"/>
      <c r="I59" s="2993"/>
      <c r="J59" s="2993"/>
      <c r="K59" s="3080"/>
      <c r="L59" s="3080"/>
      <c r="M59" s="2367"/>
      <c r="N59" s="2367"/>
      <c r="O59" s="2367"/>
      <c r="P59" s="2367"/>
      <c r="Q59" s="2367"/>
      <c r="R59" s="2367"/>
      <c r="S59" s="2367"/>
      <c r="T59" s="2367"/>
      <c r="U59" s="2367"/>
      <c r="V59" s="2367"/>
      <c r="W59" s="2367"/>
      <c r="X59" s="2367"/>
      <c r="Y59" s="2367"/>
      <c r="Z59" s="2367"/>
      <c r="AA59" s="2367"/>
      <c r="AB59" s="2367"/>
      <c r="AC59" s="2367"/>
      <c r="AD59" s="2367"/>
      <c r="AE59" s="2367"/>
      <c r="AF59" s="2367"/>
      <c r="AG59" s="2367"/>
      <c r="AH59" s="2367"/>
      <c r="AI59" s="2367"/>
      <c r="AJ59" s="2367"/>
      <c r="AK59" s="2367"/>
      <c r="AL59" s="2367"/>
      <c r="AM59" s="2367"/>
      <c r="AN59" s="2367"/>
      <c r="AO59" s="2367"/>
      <c r="AP59" s="2367"/>
      <c r="AQ59" s="2367"/>
      <c r="AR59" s="2367"/>
    </row>
    <row r="60" ht="14.25" spans="1:44">
      <c r="A60" s="3052" t="s">
        <v>758</v>
      </c>
      <c r="B60" s="3053"/>
      <c r="C60" s="2993"/>
      <c r="D60" s="2994"/>
      <c r="E60" s="2993"/>
      <c r="F60" s="2993"/>
      <c r="G60" s="2993"/>
      <c r="H60" s="2993"/>
      <c r="I60" s="2993"/>
      <c r="J60" s="2993"/>
      <c r="K60" s="3080"/>
      <c r="L60" s="3080"/>
      <c r="M60" s="2367"/>
      <c r="N60" s="2367"/>
      <c r="O60" s="2367"/>
      <c r="P60" s="2367"/>
      <c r="Q60" s="2367"/>
      <c r="R60" s="2367"/>
      <c r="S60" s="2367"/>
      <c r="T60" s="2367"/>
      <c r="U60" s="2367"/>
      <c r="V60" s="2367"/>
      <c r="W60" s="2367"/>
      <c r="X60" s="2367"/>
      <c r="Y60" s="2367"/>
      <c r="Z60" s="2367"/>
      <c r="AA60" s="2367"/>
      <c r="AB60" s="2367"/>
      <c r="AC60" s="2367"/>
      <c r="AD60" s="2367"/>
      <c r="AE60" s="2367"/>
      <c r="AF60" s="2367"/>
      <c r="AG60" s="2367"/>
      <c r="AH60" s="2367"/>
      <c r="AI60" s="2367"/>
      <c r="AJ60" s="2367"/>
      <c r="AK60" s="2367"/>
      <c r="AL60" s="2367"/>
      <c r="AM60" s="2367"/>
      <c r="AN60" s="2367"/>
      <c r="AO60" s="2367"/>
      <c r="AP60" s="2367"/>
      <c r="AQ60" s="2367"/>
      <c r="AR60" s="2367"/>
    </row>
    <row r="61" ht="14.25" spans="1:44">
      <c r="A61" s="3052" t="s">
        <v>759</v>
      </c>
      <c r="B61" s="3053"/>
      <c r="C61" s="2993"/>
      <c r="D61" s="2994"/>
      <c r="E61" s="2993"/>
      <c r="F61" s="2993"/>
      <c r="G61" s="2993"/>
      <c r="H61" s="2993"/>
      <c r="I61" s="2993"/>
      <c r="J61" s="2993"/>
      <c r="K61" s="3080"/>
      <c r="L61" s="3080"/>
      <c r="M61" s="2367"/>
      <c r="N61" s="2367"/>
      <c r="O61" s="2367"/>
      <c r="P61" s="2367"/>
      <c r="Q61" s="2367"/>
      <c r="R61" s="2367"/>
      <c r="S61" s="2367"/>
      <c r="T61" s="2367"/>
      <c r="U61" s="2367"/>
      <c r="V61" s="2367"/>
      <c r="W61" s="2367"/>
      <c r="X61" s="2367"/>
      <c r="Y61" s="2367"/>
      <c r="Z61" s="2367"/>
      <c r="AA61" s="2367"/>
      <c r="AB61" s="2367"/>
      <c r="AC61" s="2367"/>
      <c r="AD61" s="2367"/>
      <c r="AE61" s="2367"/>
      <c r="AF61" s="2367"/>
      <c r="AG61" s="2367"/>
      <c r="AH61" s="2367"/>
      <c r="AI61" s="2367"/>
      <c r="AJ61" s="2367"/>
      <c r="AK61" s="2367"/>
      <c r="AL61" s="2367"/>
      <c r="AM61" s="2367"/>
      <c r="AN61" s="2367"/>
      <c r="AO61" s="2367"/>
      <c r="AP61" s="2367"/>
      <c r="AQ61" s="2367"/>
      <c r="AR61" s="2367"/>
    </row>
    <row r="62" ht="14.25" spans="1:44">
      <c r="A62" s="3052" t="s">
        <v>760</v>
      </c>
      <c r="B62" s="3053"/>
      <c r="C62" s="2993"/>
      <c r="D62" s="2994"/>
      <c r="E62" s="2993"/>
      <c r="F62" s="2993"/>
      <c r="G62" s="2993"/>
      <c r="H62" s="2993"/>
      <c r="I62" s="2993"/>
      <c r="J62" s="2993"/>
      <c r="K62" s="3080"/>
      <c r="L62" s="3080"/>
      <c r="M62" s="2367"/>
      <c r="N62" s="2367"/>
      <c r="O62" s="2367"/>
      <c r="P62" s="2367"/>
      <c r="Q62" s="2367"/>
      <c r="R62" s="2367"/>
      <c r="S62" s="2367"/>
      <c r="T62" s="2367"/>
      <c r="U62" s="2367"/>
      <c r="V62" s="2367"/>
      <c r="W62" s="2367"/>
      <c r="X62" s="2367"/>
      <c r="Y62" s="2367"/>
      <c r="Z62" s="2367"/>
      <c r="AA62" s="2367"/>
      <c r="AB62" s="2367"/>
      <c r="AC62" s="2367"/>
      <c r="AD62" s="2367"/>
      <c r="AE62" s="2367"/>
      <c r="AF62" s="2367"/>
      <c r="AG62" s="2367"/>
      <c r="AH62" s="2367"/>
      <c r="AI62" s="2367"/>
      <c r="AJ62" s="2367"/>
      <c r="AK62" s="2367"/>
      <c r="AL62" s="2367"/>
      <c r="AM62" s="2367"/>
      <c r="AN62" s="2367"/>
      <c r="AO62" s="2367"/>
      <c r="AP62" s="2367"/>
      <c r="AQ62" s="2367"/>
      <c r="AR62" s="2367"/>
    </row>
    <row r="63" ht="15" spans="1:44">
      <c r="A63" s="3054" t="s">
        <v>761</v>
      </c>
      <c r="B63" s="3055"/>
      <c r="C63" s="2993"/>
      <c r="D63" s="2994"/>
      <c r="E63" s="2993"/>
      <c r="F63" s="2993"/>
      <c r="G63" s="2993"/>
      <c r="H63" s="2993"/>
      <c r="I63" s="2993"/>
      <c r="J63" s="2993"/>
      <c r="K63" s="3080"/>
      <c r="L63" s="3080"/>
      <c r="M63" s="2367"/>
      <c r="N63" s="2367"/>
      <c r="O63" s="2367"/>
      <c r="P63" s="2367"/>
      <c r="Q63" s="2367"/>
      <c r="R63" s="2367"/>
      <c r="S63" s="2367"/>
      <c r="T63" s="2367"/>
      <c r="U63" s="2367"/>
      <c r="V63" s="2367"/>
      <c r="W63" s="2367"/>
      <c r="X63" s="2367"/>
      <c r="Y63" s="2367"/>
      <c r="Z63" s="2367"/>
      <c r="AA63" s="2367"/>
      <c r="AB63" s="2367"/>
      <c r="AC63" s="2367"/>
      <c r="AD63" s="2367"/>
      <c r="AE63" s="2367"/>
      <c r="AF63" s="2367"/>
      <c r="AG63" s="2367"/>
      <c r="AH63" s="2367"/>
      <c r="AI63" s="2367"/>
      <c r="AJ63" s="2367"/>
      <c r="AK63" s="2367"/>
      <c r="AL63" s="2367"/>
      <c r="AM63" s="2367"/>
      <c r="AN63" s="2367"/>
      <c r="AO63" s="2367"/>
      <c r="AP63" s="2367"/>
      <c r="AQ63" s="2367"/>
      <c r="AR63" s="2367"/>
    </row>
    <row r="64" s="2439" customFormat="1" spans="1:44">
      <c r="A64" s="3056"/>
      <c r="B64" s="2367"/>
      <c r="C64" s="2367"/>
      <c r="D64" s="2991"/>
      <c r="E64" s="2367"/>
      <c r="F64" s="2367"/>
      <c r="G64" s="2367"/>
      <c r="H64" s="2367"/>
      <c r="I64" s="2367"/>
      <c r="J64" s="2367"/>
      <c r="K64" s="3080"/>
      <c r="L64" s="3080"/>
      <c r="M64" s="2367"/>
      <c r="N64" s="2367"/>
      <c r="O64" s="2367"/>
      <c r="P64" s="2367"/>
      <c r="Q64" s="2367"/>
      <c r="R64" s="2367"/>
      <c r="S64" s="2367"/>
      <c r="T64" s="2367"/>
      <c r="U64" s="2367"/>
      <c r="V64" s="2367"/>
      <c r="W64" s="2367"/>
      <c r="X64" s="2367"/>
      <c r="Y64" s="2367"/>
      <c r="Z64" s="2367"/>
      <c r="AA64" s="2367"/>
      <c r="AB64" s="2367"/>
      <c r="AC64" s="2367"/>
      <c r="AD64" s="2367"/>
      <c r="AE64" s="2367"/>
      <c r="AF64" s="2367"/>
      <c r="AG64" s="2367"/>
      <c r="AH64" s="2367"/>
      <c r="AI64" s="2367"/>
      <c r="AJ64" s="2367"/>
      <c r="AK64" s="2367"/>
      <c r="AL64" s="2367"/>
      <c r="AM64" s="2367"/>
      <c r="AN64" s="2367"/>
      <c r="AO64" s="2367"/>
      <c r="AP64" s="2367"/>
      <c r="AQ64" s="2367"/>
      <c r="AR64" s="2367"/>
    </row>
    <row r="65" s="2439" customFormat="1" spans="1:44">
      <c r="A65" s="3056"/>
      <c r="B65" s="2367"/>
      <c r="C65" s="2367"/>
      <c r="D65" s="2991"/>
      <c r="E65" s="2367"/>
      <c r="F65" s="2367"/>
      <c r="G65" s="2367"/>
      <c r="H65" s="2367"/>
      <c r="I65" s="2367"/>
      <c r="J65" s="2367"/>
      <c r="K65" s="3080"/>
      <c r="L65" s="3080"/>
      <c r="M65" s="2367"/>
      <c r="N65" s="2367"/>
      <c r="O65" s="2367"/>
      <c r="P65" s="2367"/>
      <c r="Q65" s="2367"/>
      <c r="R65" s="2367"/>
      <c r="S65" s="2367"/>
      <c r="T65" s="2367"/>
      <c r="U65" s="2367"/>
      <c r="V65" s="2367"/>
      <c r="W65" s="2367"/>
      <c r="X65" s="2367"/>
      <c r="Y65" s="2367"/>
      <c r="Z65" s="2367"/>
      <c r="AA65" s="2367"/>
      <c r="AB65" s="2367"/>
      <c r="AC65" s="2367"/>
      <c r="AD65" s="2367"/>
      <c r="AE65" s="2367"/>
      <c r="AF65" s="2367"/>
      <c r="AG65" s="2367"/>
      <c r="AH65" s="2367"/>
      <c r="AI65" s="2367"/>
      <c r="AJ65" s="2367"/>
      <c r="AK65" s="2367"/>
      <c r="AL65" s="2367"/>
      <c r="AM65" s="2367"/>
      <c r="AN65" s="2367"/>
      <c r="AO65" s="2367"/>
      <c r="AP65" s="2367"/>
      <c r="AQ65" s="2367"/>
      <c r="AR65" s="2367"/>
    </row>
    <row r="66" s="2439" customFormat="1" spans="1:44">
      <c r="A66" s="3056"/>
      <c r="B66" s="2367"/>
      <c r="C66" s="2367"/>
      <c r="D66" s="2991"/>
      <c r="E66" s="2367"/>
      <c r="F66" s="2367"/>
      <c r="G66" s="2367"/>
      <c r="H66" s="2367"/>
      <c r="I66" s="2367"/>
      <c r="J66" s="2367"/>
      <c r="K66" s="3080"/>
      <c r="L66" s="3080"/>
      <c r="M66" s="2367"/>
      <c r="N66" s="2367"/>
      <c r="O66" s="2367"/>
      <c r="P66" s="2367"/>
      <c r="Q66" s="2367"/>
      <c r="R66" s="2367"/>
      <c r="S66" s="2367"/>
      <c r="T66" s="2367"/>
      <c r="U66" s="2367"/>
      <c r="V66" s="2367"/>
      <c r="W66" s="2367"/>
      <c r="X66" s="2367"/>
      <c r="Y66" s="2367"/>
      <c r="Z66" s="2367"/>
      <c r="AA66" s="2367"/>
      <c r="AB66" s="2367"/>
      <c r="AC66" s="2367"/>
      <c r="AD66" s="2367"/>
      <c r="AE66" s="2367"/>
      <c r="AF66" s="2367"/>
      <c r="AG66" s="2367"/>
      <c r="AH66" s="2367"/>
      <c r="AI66" s="2367"/>
      <c r="AJ66" s="2367"/>
      <c r="AK66" s="2367"/>
      <c r="AL66" s="2367"/>
      <c r="AM66" s="2367"/>
      <c r="AN66" s="2367"/>
      <c r="AO66" s="2367"/>
      <c r="AP66" s="2367"/>
      <c r="AQ66" s="2367"/>
      <c r="AR66" s="2367"/>
    </row>
    <row r="67" s="2439" customFormat="1" spans="1:44">
      <c r="A67" s="3056"/>
      <c r="B67" s="2367"/>
      <c r="C67" s="2367"/>
      <c r="D67" s="2991"/>
      <c r="E67" s="2367"/>
      <c r="F67" s="2367"/>
      <c r="G67" s="2367"/>
      <c r="H67" s="2367"/>
      <c r="I67" s="2367"/>
      <c r="J67" s="2367"/>
      <c r="K67" s="3080"/>
      <c r="L67" s="3080"/>
      <c r="M67" s="2367"/>
      <c r="N67" s="2367"/>
      <c r="O67" s="2367"/>
      <c r="P67" s="2367"/>
      <c r="Q67" s="2367"/>
      <c r="R67" s="2367"/>
      <c r="S67" s="2367"/>
      <c r="T67" s="2367"/>
      <c r="U67" s="2367"/>
      <c r="V67" s="2367"/>
      <c r="W67" s="2367"/>
      <c r="X67" s="2367"/>
      <c r="Y67" s="2367"/>
      <c r="Z67" s="2367"/>
      <c r="AA67" s="2367"/>
      <c r="AB67" s="2367"/>
      <c r="AC67" s="2367"/>
      <c r="AD67" s="2367"/>
      <c r="AE67" s="2367"/>
      <c r="AF67" s="2367"/>
      <c r="AG67" s="2367"/>
      <c r="AH67" s="2367"/>
      <c r="AI67" s="2367"/>
      <c r="AJ67" s="2367"/>
      <c r="AK67" s="2367"/>
      <c r="AL67" s="2367"/>
      <c r="AM67" s="2367"/>
      <c r="AN67" s="2367"/>
      <c r="AO67" s="2367"/>
      <c r="AP67" s="2367"/>
      <c r="AQ67" s="2367"/>
      <c r="AR67" s="2367"/>
    </row>
    <row r="68" s="2439" customFormat="1" spans="1:44">
      <c r="A68" s="3056"/>
      <c r="B68" s="2367"/>
      <c r="C68" s="2367"/>
      <c r="D68" s="2991"/>
      <c r="E68" s="2367"/>
      <c r="F68" s="2367"/>
      <c r="G68" s="2367"/>
      <c r="H68" s="2367"/>
      <c r="I68" s="2367"/>
      <c r="J68" s="2367"/>
      <c r="K68" s="3080"/>
      <c r="L68" s="3080"/>
      <c r="M68" s="2367"/>
      <c r="N68" s="2367"/>
      <c r="O68" s="2367"/>
      <c r="P68" s="2367"/>
      <c r="Q68" s="2367"/>
      <c r="R68" s="2367"/>
      <c r="S68" s="2367"/>
      <c r="T68" s="2367"/>
      <c r="U68" s="2367"/>
      <c r="V68" s="2367"/>
      <c r="W68" s="2367"/>
      <c r="X68" s="2367"/>
      <c r="Y68" s="2367"/>
      <c r="Z68" s="2367"/>
      <c r="AA68" s="2367"/>
      <c r="AB68" s="2367"/>
      <c r="AC68" s="2367"/>
      <c r="AD68" s="2367"/>
      <c r="AE68" s="2367"/>
      <c r="AF68" s="2367"/>
      <c r="AG68" s="2367"/>
      <c r="AH68" s="2367"/>
      <c r="AI68" s="2367"/>
      <c r="AJ68" s="2367"/>
      <c r="AK68" s="2367"/>
      <c r="AL68" s="2367"/>
      <c r="AM68" s="2367"/>
      <c r="AN68" s="2367"/>
      <c r="AO68" s="2367"/>
      <c r="AP68" s="2367"/>
      <c r="AQ68" s="2367"/>
      <c r="AR68" s="2367"/>
    </row>
    <row r="69" s="2439" customFormat="1" spans="1:12">
      <c r="A69" s="2853"/>
      <c r="D69" s="3145"/>
      <c r="K69" s="1107"/>
      <c r="L69" s="1107"/>
    </row>
    <row r="70" s="2439" customFormat="1" spans="1:12">
      <c r="A70" s="2853"/>
      <c r="D70" s="3145"/>
      <c r="K70" s="1107"/>
      <c r="L70" s="1107"/>
    </row>
    <row r="71" s="2439" customFormat="1" spans="1:12">
      <c r="A71" s="2853"/>
      <c r="D71" s="3145"/>
      <c r="K71" s="1107"/>
      <c r="L71" s="1107"/>
    </row>
    <row r="72" s="2439" customFormat="1" spans="1:12">
      <c r="A72" s="2853"/>
      <c r="D72" s="3145"/>
      <c r="K72" s="1107"/>
      <c r="L72" s="1107"/>
    </row>
    <row r="73" s="2439" customFormat="1" spans="1:12">
      <c r="A73" s="2853"/>
      <c r="D73" s="3145"/>
      <c r="K73" s="1107"/>
      <c r="L73" s="1107"/>
    </row>
    <row r="74" s="2439" customFormat="1" spans="1:12">
      <c r="A74" s="2853"/>
      <c r="D74" s="3145"/>
      <c r="K74" s="1107"/>
      <c r="L74" s="1107"/>
    </row>
    <row r="75" s="2439" customFormat="1" spans="1:12">
      <c r="A75" s="2853"/>
      <c r="D75" s="3145"/>
      <c r="K75" s="1107"/>
      <c r="L75" s="1107"/>
    </row>
    <row r="76" s="2439" customFormat="1" spans="1:12">
      <c r="A76" s="2853"/>
      <c r="D76" s="3145"/>
      <c r="K76" s="1107"/>
      <c r="L76" s="1107"/>
    </row>
    <row r="77" s="2439" customFormat="1" spans="1:12">
      <c r="A77" s="2853"/>
      <c r="D77" s="3145"/>
      <c r="K77" s="1107"/>
      <c r="L77" s="1107"/>
    </row>
    <row r="78" s="2439" customFormat="1" spans="1:12">
      <c r="A78" s="2853"/>
      <c r="D78" s="3145"/>
      <c r="K78" s="1107"/>
      <c r="L78" s="1107"/>
    </row>
    <row r="79" s="2439" customFormat="1" spans="1:12">
      <c r="A79" s="2853"/>
      <c r="D79" s="3145"/>
      <c r="K79" s="1107"/>
      <c r="L79" s="1107"/>
    </row>
    <row r="80" s="2439" customFormat="1" spans="1:12">
      <c r="A80" s="2853"/>
      <c r="D80" s="3145"/>
      <c r="K80" s="1107"/>
      <c r="L80" s="1107"/>
    </row>
    <row r="81" s="2439" customFormat="1" spans="1:12">
      <c r="A81" s="2853"/>
      <c r="D81" s="3145"/>
      <c r="K81" s="1107"/>
      <c r="L81" s="1107"/>
    </row>
    <row r="82" s="2439" customFormat="1" spans="1:12">
      <c r="A82" s="2853"/>
      <c r="D82" s="3145"/>
      <c r="K82" s="1107"/>
      <c r="L82" s="1107"/>
    </row>
    <row r="83" s="2439" customFormat="1" spans="1:12">
      <c r="A83" s="2853"/>
      <c r="D83" s="3145"/>
      <c r="K83" s="1107"/>
      <c r="L83" s="1107"/>
    </row>
    <row r="84" s="2439" customFormat="1" spans="1:12">
      <c r="A84" s="2853"/>
      <c r="D84" s="3145"/>
      <c r="K84" s="1107"/>
      <c r="L84" s="1107"/>
    </row>
    <row r="85" s="2439" customFormat="1" spans="1:12">
      <c r="A85" s="2853"/>
      <c r="D85" s="3145"/>
      <c r="K85" s="1107"/>
      <c r="L85" s="1107"/>
    </row>
    <row r="86" s="2439" customFormat="1" spans="1:12">
      <c r="A86" s="2853"/>
      <c r="D86" s="3145"/>
      <c r="K86" s="1107"/>
      <c r="L86" s="1107"/>
    </row>
    <row r="87" s="2439" customFormat="1" spans="1:12">
      <c r="A87" s="2853"/>
      <c r="D87" s="3145"/>
      <c r="K87" s="1107"/>
      <c r="L87" s="1107"/>
    </row>
    <row r="88" s="2439" customFormat="1" spans="1:12">
      <c r="A88" s="2853"/>
      <c r="D88" s="3145"/>
      <c r="K88" s="1107"/>
      <c r="L88" s="1107"/>
    </row>
    <row r="89" s="2439" customFormat="1" spans="1:12">
      <c r="A89" s="2853"/>
      <c r="D89" s="3145"/>
      <c r="K89" s="1107"/>
      <c r="L89" s="1107"/>
    </row>
    <row r="90" s="2439" customFormat="1" spans="1:12">
      <c r="A90" s="2853"/>
      <c r="D90" s="3145"/>
      <c r="K90" s="1107"/>
      <c r="L90" s="1107"/>
    </row>
    <row r="91" s="2439" customFormat="1" spans="1:12">
      <c r="A91" s="2853"/>
      <c r="D91" s="3145"/>
      <c r="K91" s="1107"/>
      <c r="L91" s="1107"/>
    </row>
    <row r="92" s="2439" customFormat="1" spans="1:12">
      <c r="A92" s="2853"/>
      <c r="D92" s="3145"/>
      <c r="K92" s="1107"/>
      <c r="L92" s="1107"/>
    </row>
    <row r="93" s="2439" customFormat="1" spans="1:12">
      <c r="A93" s="2853"/>
      <c r="D93" s="3145"/>
      <c r="K93" s="1107"/>
      <c r="L93" s="1107"/>
    </row>
    <row r="94" s="2439" customFormat="1" spans="1:12">
      <c r="A94" s="2853"/>
      <c r="D94" s="3145"/>
      <c r="K94" s="1107"/>
      <c r="L94" s="1107"/>
    </row>
    <row r="95" s="2439" customFormat="1" spans="1:12">
      <c r="A95" s="2853"/>
      <c r="D95" s="3145"/>
      <c r="K95" s="1107"/>
      <c r="L95" s="1107"/>
    </row>
    <row r="96" s="2439" customFormat="1" spans="1:12">
      <c r="A96" s="2853"/>
      <c r="D96" s="3145"/>
      <c r="K96" s="1107"/>
      <c r="L96" s="1107"/>
    </row>
    <row r="97" s="2439" customFormat="1" spans="1:12">
      <c r="A97" s="2853"/>
      <c r="D97" s="3145"/>
      <c r="K97" s="1107"/>
      <c r="L97" s="1107"/>
    </row>
    <row r="98" s="2439" customFormat="1" spans="1:12">
      <c r="A98" s="2853"/>
      <c r="D98" s="3145"/>
      <c r="K98" s="1107"/>
      <c r="L98" s="1107"/>
    </row>
    <row r="99" s="2439" customFormat="1" spans="1:12">
      <c r="A99" s="2853"/>
      <c r="D99" s="3145"/>
      <c r="K99" s="1107"/>
      <c r="L99" s="1107"/>
    </row>
    <row r="100" s="2439" customFormat="1" spans="1:12">
      <c r="A100" s="2853"/>
      <c r="D100" s="3145"/>
      <c r="K100" s="1107"/>
      <c r="L100" s="1107"/>
    </row>
    <row r="101" s="2439" customFormat="1" spans="1:12">
      <c r="A101" s="2853"/>
      <c r="D101" s="3145"/>
      <c r="K101" s="1107"/>
      <c r="L101" s="1107"/>
    </row>
    <row r="102" s="2439" customFormat="1" spans="1:12">
      <c r="A102" s="2853"/>
      <c r="D102" s="3145"/>
      <c r="K102" s="1107"/>
      <c r="L102" s="1107"/>
    </row>
    <row r="103" s="2439" customFormat="1" spans="1:12">
      <c r="A103" s="2853"/>
      <c r="D103" s="3145"/>
      <c r="K103" s="1107"/>
      <c r="L103" s="1107"/>
    </row>
    <row r="104" s="2439" customFormat="1" spans="1:12">
      <c r="A104" s="2853"/>
      <c r="D104" s="3145"/>
      <c r="K104" s="1107"/>
      <c r="L104" s="1107"/>
    </row>
    <row r="105" s="2439" customFormat="1" spans="1:12">
      <c r="A105" s="2853"/>
      <c r="D105" s="3145"/>
      <c r="K105" s="1107"/>
      <c r="L105" s="1107"/>
    </row>
    <row r="106" s="2439" customFormat="1" spans="1:12">
      <c r="A106" s="2853"/>
      <c r="D106" s="3145"/>
      <c r="K106" s="1107"/>
      <c r="L106" s="1107"/>
    </row>
    <row r="107" s="2439" customFormat="1" spans="1:12">
      <c r="A107" s="2853"/>
      <c r="D107" s="3145"/>
      <c r="K107" s="1107"/>
      <c r="L107" s="1107"/>
    </row>
    <row r="108" s="2439" customFormat="1" spans="1:12">
      <c r="A108" s="2853"/>
      <c r="D108" s="3145"/>
      <c r="K108" s="1107"/>
      <c r="L108" s="1107"/>
    </row>
    <row r="109" s="2439" customFormat="1" spans="1:12">
      <c r="A109" s="2853"/>
      <c r="D109" s="3145"/>
      <c r="K109" s="1107"/>
      <c r="L109" s="1107"/>
    </row>
    <row r="110" s="2439" customFormat="1" spans="1:12">
      <c r="A110" s="2853"/>
      <c r="D110" s="3145"/>
      <c r="K110" s="1107"/>
      <c r="L110" s="1107"/>
    </row>
    <row r="111" s="2439" customFormat="1" spans="1:12">
      <c r="A111" s="2853"/>
      <c r="D111" s="3145"/>
      <c r="K111" s="1107"/>
      <c r="L111" s="1107"/>
    </row>
    <row r="112" s="2439" customFormat="1" spans="1:12">
      <c r="A112" s="2853"/>
      <c r="D112" s="3145"/>
      <c r="K112" s="1107"/>
      <c r="L112" s="1107"/>
    </row>
    <row r="113" s="2439" customFormat="1" spans="1:12">
      <c r="A113" s="2853"/>
      <c r="D113" s="3145"/>
      <c r="K113" s="1107"/>
      <c r="L113" s="1107"/>
    </row>
    <row r="114" s="2439" customFormat="1" spans="1:12">
      <c r="A114" s="2853"/>
      <c r="D114" s="3145"/>
      <c r="K114" s="1107"/>
      <c r="L114" s="1107"/>
    </row>
    <row r="115" s="2439" customFormat="1" spans="1:12">
      <c r="A115" s="2853"/>
      <c r="D115" s="3145"/>
      <c r="K115" s="1107"/>
      <c r="L115" s="1107"/>
    </row>
    <row r="116" s="2439" customFormat="1" spans="1:12">
      <c r="A116" s="2853"/>
      <c r="D116" s="3145"/>
      <c r="K116" s="1107"/>
      <c r="L116" s="1107"/>
    </row>
    <row r="117" s="2439" customFormat="1" spans="1:12">
      <c r="A117" s="2853"/>
      <c r="D117" s="3145"/>
      <c r="K117" s="1107"/>
      <c r="L117" s="1107"/>
    </row>
    <row r="118" s="2439" customFormat="1" spans="1:12">
      <c r="A118" s="2853"/>
      <c r="D118" s="3145"/>
      <c r="K118" s="1107"/>
      <c r="L118" s="1107"/>
    </row>
    <row r="119" s="2439" customFormat="1" spans="1:12">
      <c r="A119" s="2853"/>
      <c r="D119" s="3145"/>
      <c r="K119" s="1107"/>
      <c r="L119" s="1107"/>
    </row>
    <row r="120" s="2439" customFormat="1" spans="1:12">
      <c r="A120" s="2853"/>
      <c r="D120" s="3145"/>
      <c r="K120" s="1107"/>
      <c r="L120" s="1107"/>
    </row>
    <row r="121" s="2439" customFormat="1" spans="1:12">
      <c r="A121" s="2853"/>
      <c r="D121" s="3145"/>
      <c r="K121" s="1107"/>
      <c r="L121" s="1107"/>
    </row>
    <row r="122" s="2439" customFormat="1" spans="1:12">
      <c r="A122" s="2853"/>
      <c r="D122" s="3145"/>
      <c r="K122" s="1107"/>
      <c r="L122" s="1107"/>
    </row>
    <row r="123" s="2439" customFormat="1" spans="1:12">
      <c r="A123" s="2853"/>
      <c r="D123" s="3145"/>
      <c r="K123" s="1107"/>
      <c r="L123" s="1107"/>
    </row>
    <row r="124" s="2439" customFormat="1" spans="1:12">
      <c r="A124" s="2853"/>
      <c r="D124" s="3145"/>
      <c r="K124" s="1107"/>
      <c r="L124" s="1107"/>
    </row>
    <row r="125" s="2439" customFormat="1" spans="1:12">
      <c r="A125" s="2853"/>
      <c r="D125" s="3145"/>
      <c r="K125" s="1107"/>
      <c r="L125" s="1107"/>
    </row>
    <row r="126" s="2439" customFormat="1" spans="1:12">
      <c r="A126" s="2853"/>
      <c r="D126" s="3145"/>
      <c r="K126" s="1107"/>
      <c r="L126" s="1107"/>
    </row>
    <row r="127" s="2439" customFormat="1" spans="1:12">
      <c r="A127" s="2853"/>
      <c r="D127" s="3145"/>
      <c r="K127" s="1107"/>
      <c r="L127" s="1107"/>
    </row>
    <row r="128" s="2439" customFormat="1" spans="1:12">
      <c r="A128" s="2853"/>
      <c r="D128" s="3145"/>
      <c r="K128" s="1107"/>
      <c r="L128" s="1107"/>
    </row>
    <row r="129" s="2439" customFormat="1" spans="1:12">
      <c r="A129" s="2853"/>
      <c r="D129" s="3145"/>
      <c r="K129" s="1107"/>
      <c r="L129" s="1107"/>
    </row>
    <row r="130" s="2439" customFormat="1" spans="1:12">
      <c r="A130" s="2853"/>
      <c r="D130" s="3145"/>
      <c r="K130" s="1107"/>
      <c r="L130" s="1107"/>
    </row>
    <row r="131" s="2439" customFormat="1" spans="1:12">
      <c r="A131" s="2853"/>
      <c r="D131" s="3145"/>
      <c r="K131" s="1107"/>
      <c r="L131" s="1107"/>
    </row>
    <row r="132" s="2439" customFormat="1" spans="1:12">
      <c r="A132" s="2853"/>
      <c r="D132" s="3145"/>
      <c r="K132" s="1107"/>
      <c r="L132" s="1107"/>
    </row>
    <row r="133" s="2439" customFormat="1" spans="1:12">
      <c r="A133" s="2853"/>
      <c r="D133" s="3145"/>
      <c r="K133" s="1107"/>
      <c r="L133" s="1107"/>
    </row>
    <row r="134" s="2950" customFormat="1" spans="1:12">
      <c r="A134" s="3146"/>
      <c r="D134" s="3147"/>
      <c r="K134" s="1008"/>
      <c r="L134" s="1008"/>
    </row>
    <row r="135" s="2950" customFormat="1" spans="1:12">
      <c r="A135" s="3146"/>
      <c r="D135" s="3147"/>
      <c r="K135" s="1008"/>
      <c r="L135" s="1008"/>
    </row>
    <row r="136" s="2950" customFormat="1" spans="1:12">
      <c r="A136" s="3146"/>
      <c r="D136" s="3147"/>
      <c r="K136" s="1008"/>
      <c r="L136" s="1008"/>
    </row>
    <row r="137" s="2950" customFormat="1" spans="1:12">
      <c r="A137" s="3146"/>
      <c r="D137" s="3147"/>
      <c r="K137" s="1008"/>
      <c r="L137" s="1008"/>
    </row>
    <row r="138" s="2950" customFormat="1" spans="1:12">
      <c r="A138" s="3146"/>
      <c r="D138" s="3147"/>
      <c r="K138" s="1008"/>
      <c r="L138" s="1008"/>
    </row>
    <row r="139" s="2950" customFormat="1" spans="1:12">
      <c r="A139" s="3146"/>
      <c r="D139" s="3147"/>
      <c r="K139" s="1008"/>
      <c r="L139" s="1008"/>
    </row>
    <row r="140" s="2950" customFormat="1" spans="1:12">
      <c r="A140" s="3146"/>
      <c r="D140" s="3147"/>
      <c r="K140" s="1008"/>
      <c r="L140" s="1008"/>
    </row>
    <row r="141" s="2950" customFormat="1" spans="1:12">
      <c r="A141" s="3146"/>
      <c r="D141" s="3147"/>
      <c r="K141" s="1008"/>
      <c r="L141" s="1008"/>
    </row>
    <row r="142" s="2950" customFormat="1" spans="1:12">
      <c r="A142" s="3146"/>
      <c r="D142" s="3147"/>
      <c r="K142" s="1008"/>
      <c r="L142" s="1008"/>
    </row>
    <row r="143" s="2950" customFormat="1" spans="1:12">
      <c r="A143" s="3146"/>
      <c r="D143" s="3147"/>
      <c r="K143" s="1008"/>
      <c r="L143" s="1008"/>
    </row>
    <row r="144" s="2950" customFormat="1" spans="1:12">
      <c r="A144" s="3146"/>
      <c r="D144" s="3147"/>
      <c r="K144" s="1008"/>
      <c r="L144" s="1008"/>
    </row>
    <row r="145" s="2950" customFormat="1" spans="1:12">
      <c r="A145" s="3146"/>
      <c r="D145" s="3147"/>
      <c r="K145" s="1008"/>
      <c r="L145" s="1008"/>
    </row>
    <row r="146" s="2950" customFormat="1" spans="1:12">
      <c r="A146" s="3146"/>
      <c r="D146" s="3147"/>
      <c r="K146" s="1008"/>
      <c r="L146" s="1008"/>
    </row>
    <row r="147" s="2950" customFormat="1" spans="1:12">
      <c r="A147" s="3146"/>
      <c r="D147" s="3147"/>
      <c r="K147" s="1008"/>
      <c r="L147" s="1008"/>
    </row>
    <row r="148" s="2950" customFormat="1" spans="1:12">
      <c r="A148" s="3146"/>
      <c r="D148" s="3147"/>
      <c r="K148" s="1008"/>
      <c r="L148" s="1008"/>
    </row>
    <row r="149" s="2950" customFormat="1" spans="1:12">
      <c r="A149" s="3146"/>
      <c r="D149" s="3147"/>
      <c r="K149" s="1008"/>
      <c r="L149" s="1008"/>
    </row>
    <row r="150" s="2950" customFormat="1" spans="1:12">
      <c r="A150" s="3146"/>
      <c r="D150" s="3147"/>
      <c r="K150" s="1008"/>
      <c r="L150" s="1008"/>
    </row>
    <row r="151" s="2950" customFormat="1" spans="1:12">
      <c r="A151" s="3146"/>
      <c r="D151" s="3147"/>
      <c r="K151" s="1008"/>
      <c r="L151" s="1008"/>
    </row>
    <row r="152" s="2950" customFormat="1" spans="1:12">
      <c r="A152" s="3146"/>
      <c r="D152" s="3147"/>
      <c r="K152" s="1008"/>
      <c r="L152" s="1008"/>
    </row>
    <row r="153" s="2950" customFormat="1" spans="1:12">
      <c r="A153" s="3146"/>
      <c r="D153" s="3147"/>
      <c r="K153" s="1008"/>
      <c r="L153" s="1008"/>
    </row>
    <row r="154" s="2950" customFormat="1" spans="1:12">
      <c r="A154" s="3146"/>
      <c r="D154" s="3147"/>
      <c r="K154" s="1008"/>
      <c r="L154" s="1008"/>
    </row>
    <row r="155" s="2950" customFormat="1" spans="1:12">
      <c r="A155" s="3146"/>
      <c r="D155" s="3147"/>
      <c r="K155" s="1008"/>
      <c r="L155" s="1008"/>
    </row>
    <row r="156" s="2950" customFormat="1" spans="1:12">
      <c r="A156" s="3146"/>
      <c r="D156" s="3147"/>
      <c r="K156" s="1008"/>
      <c r="L156" s="1008"/>
    </row>
    <row r="157" s="2950" customFormat="1" spans="1:12">
      <c r="A157" s="3146"/>
      <c r="D157" s="3147"/>
      <c r="K157" s="1008"/>
      <c r="L157" s="1008"/>
    </row>
    <row r="158" s="2950" customFormat="1" spans="1:12">
      <c r="A158" s="3146"/>
      <c r="D158" s="3147"/>
      <c r="K158" s="1008"/>
      <c r="L158" s="1008"/>
    </row>
    <row r="159" s="2950" customFormat="1" spans="1:12">
      <c r="A159" s="3146"/>
      <c r="D159" s="3147"/>
      <c r="K159" s="1008"/>
      <c r="L159" s="1008"/>
    </row>
    <row r="160" s="2950" customFormat="1" spans="1:12">
      <c r="A160" s="3146"/>
      <c r="D160" s="3147"/>
      <c r="K160" s="1008"/>
      <c r="L160" s="1008"/>
    </row>
    <row r="161" s="2950" customFormat="1" spans="1:12">
      <c r="A161" s="3146"/>
      <c r="D161" s="3147"/>
      <c r="K161" s="1008"/>
      <c r="L161" s="1008"/>
    </row>
    <row r="162" s="2950" customFormat="1" spans="1:12">
      <c r="A162" s="3146"/>
      <c r="D162" s="3147"/>
      <c r="K162" s="1008"/>
      <c r="L162" s="1008"/>
    </row>
    <row r="163" s="2950" customFormat="1" spans="1:12">
      <c r="A163" s="3146"/>
      <c r="D163" s="3147"/>
      <c r="K163" s="1008"/>
      <c r="L163" s="1008"/>
    </row>
    <row r="164" s="2950" customFormat="1" spans="1:12">
      <c r="A164" s="3146"/>
      <c r="D164" s="3147"/>
      <c r="K164" s="1008"/>
      <c r="L164" s="1008"/>
    </row>
    <row r="165" s="2950" customFormat="1" spans="1:12">
      <c r="A165" s="3146"/>
      <c r="D165" s="3147"/>
      <c r="K165" s="1008"/>
      <c r="L165" s="1008"/>
    </row>
    <row r="166" s="2950" customFormat="1" spans="1:12">
      <c r="A166" s="3146"/>
      <c r="D166" s="3147"/>
      <c r="K166" s="1008"/>
      <c r="L166" s="1008"/>
    </row>
    <row r="167" s="2950" customFormat="1" spans="1:12">
      <c r="A167" s="3146"/>
      <c r="D167" s="3147"/>
      <c r="K167" s="1008"/>
      <c r="L167" s="1008"/>
    </row>
    <row r="168" s="2950" customFormat="1" spans="1:12">
      <c r="A168" s="3146"/>
      <c r="D168" s="3147"/>
      <c r="K168" s="1008"/>
      <c r="L168" s="1008"/>
    </row>
    <row r="169" s="2950" customFormat="1" spans="1:12">
      <c r="A169" s="3146"/>
      <c r="D169" s="3147"/>
      <c r="K169" s="1008"/>
      <c r="L169" s="1008"/>
    </row>
    <row r="170" s="2950" customFormat="1" spans="1:12">
      <c r="A170" s="3146"/>
      <c r="D170" s="3147"/>
      <c r="K170" s="1008"/>
      <c r="L170" s="1008"/>
    </row>
    <row r="171" s="2950" customFormat="1" spans="1:12">
      <c r="A171" s="3146"/>
      <c r="D171" s="3147"/>
      <c r="K171" s="1008"/>
      <c r="L171" s="1008"/>
    </row>
    <row r="172" s="2950" customFormat="1" spans="1:12">
      <c r="A172" s="3146"/>
      <c r="D172" s="3147"/>
      <c r="K172" s="1008"/>
      <c r="L172" s="1008"/>
    </row>
    <row r="173" s="2950" customFormat="1" spans="1:12">
      <c r="A173" s="3146"/>
      <c r="D173" s="3147"/>
      <c r="K173" s="1008"/>
      <c r="L173" s="1008"/>
    </row>
    <row r="174" s="2950" customFormat="1" spans="1:12">
      <c r="A174" s="3146"/>
      <c r="D174" s="3147"/>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6" customWidth="1"/>
    <col min="2" max="2" width="24.5" style="2877" customWidth="1"/>
    <col min="3" max="3" width="24.5" style="2878" customWidth="1"/>
    <col min="4" max="4" width="2.625" style="2878" customWidth="1"/>
    <col min="5" max="5" width="5.875" style="2878" customWidth="1"/>
    <col min="6" max="6" width="27" style="2877" customWidth="1"/>
    <col min="7" max="7" width="27" style="2879" customWidth="1"/>
    <col min="8" max="8" width="11.875" style="2880" customWidth="1"/>
    <col min="9" max="9" width="16.75" style="2881" customWidth="1"/>
    <col min="10" max="10" width="2.625" style="2880" customWidth="1"/>
    <col min="11" max="11" width="11.875" style="2880" customWidth="1"/>
    <col min="12" max="12" width="16.75" style="2881" customWidth="1"/>
    <col min="13" max="13" width="2.625" style="2880" customWidth="1"/>
    <col min="14" max="14" width="11.875" style="2880" customWidth="1"/>
    <col min="15" max="15" width="16.75" style="2881" customWidth="1"/>
    <col min="16" max="16" width="2.625" style="2880" customWidth="1"/>
    <col min="17" max="17" width="11.875" style="2880" customWidth="1"/>
    <col min="18" max="18" width="16.75" style="2882" customWidth="1"/>
    <col min="19" max="29" width="9" style="2356"/>
    <col min="30" max="16384" width="9" style="2876"/>
  </cols>
  <sheetData>
    <row r="1" s="2874" customFormat="1" ht="18.75" spans="1:29">
      <c r="A1" s="2883" t="s">
        <v>762</v>
      </c>
      <c r="B1" s="2884"/>
      <c r="C1" s="2884"/>
      <c r="D1" s="2884"/>
      <c r="E1" s="2884"/>
      <c r="F1" s="2884"/>
      <c r="G1" s="2884"/>
      <c r="H1" s="2885"/>
      <c r="I1" s="2937"/>
      <c r="J1" s="2885"/>
      <c r="K1" s="2885"/>
      <c r="L1" s="2937"/>
      <c r="M1" s="2885"/>
      <c r="N1" s="2885"/>
      <c r="O1" s="2937"/>
      <c r="P1" s="2885"/>
      <c r="Q1" s="2944"/>
      <c r="R1" s="2945"/>
      <c r="S1" s="2946"/>
      <c r="T1" s="2946"/>
      <c r="U1" s="2946"/>
      <c r="V1" s="2946"/>
      <c r="W1" s="2946"/>
      <c r="X1" s="2946"/>
      <c r="Y1" s="2946"/>
      <c r="Z1" s="2946"/>
      <c r="AA1" s="2946"/>
      <c r="AB1" s="2946"/>
      <c r="AC1" s="2946"/>
    </row>
    <row r="2" ht="15" spans="1:18">
      <c r="A2" s="2886"/>
      <c r="B2" s="2887"/>
      <c r="C2" s="2888" t="s">
        <v>763</v>
      </c>
      <c r="D2" s="2889"/>
      <c r="E2" s="2886"/>
      <c r="F2" s="2890"/>
      <c r="G2" s="2888" t="s">
        <v>764</v>
      </c>
      <c r="H2" s="2356"/>
      <c r="I2" s="2356"/>
      <c r="J2" s="2356"/>
      <c r="K2" s="2356"/>
      <c r="L2" s="2356"/>
      <c r="M2" s="2356"/>
      <c r="N2" s="2356"/>
      <c r="O2" s="2356"/>
      <c r="P2" s="2356"/>
      <c r="Q2" s="2356"/>
      <c r="R2" s="2356"/>
    </row>
    <row r="3" ht="48" spans="1:18">
      <c r="A3" s="2891" t="s">
        <v>765</v>
      </c>
      <c r="B3" s="2892" t="s">
        <v>766</v>
      </c>
      <c r="C3" s="2893" t="s">
        <v>767</v>
      </c>
      <c r="D3" s="2894"/>
      <c r="E3" s="2895" t="s">
        <v>765</v>
      </c>
      <c r="F3" s="2896" t="s">
        <v>768</v>
      </c>
      <c r="G3" s="2897" t="s">
        <v>769</v>
      </c>
      <c r="H3" s="2356"/>
      <c r="I3" s="2356"/>
      <c r="J3" s="2356"/>
      <c r="K3" s="2356"/>
      <c r="L3" s="2356"/>
      <c r="M3" s="2356"/>
      <c r="N3" s="2356"/>
      <c r="O3" s="2356"/>
      <c r="P3" s="2356"/>
      <c r="Q3" s="2356"/>
      <c r="R3" s="2356"/>
    </row>
    <row r="4" ht="36.75" spans="1:18">
      <c r="A4" s="2895"/>
      <c r="B4" s="2144" t="s">
        <v>770</v>
      </c>
      <c r="C4" s="2898" t="s">
        <v>771</v>
      </c>
      <c r="D4" s="2894"/>
      <c r="E4" s="2899"/>
      <c r="F4" s="2220" t="s">
        <v>772</v>
      </c>
      <c r="G4" s="2900" t="s">
        <v>773</v>
      </c>
      <c r="H4" s="2356"/>
      <c r="I4" s="2356"/>
      <c r="J4" s="2356"/>
      <c r="K4" s="2356"/>
      <c r="L4" s="2356"/>
      <c r="M4" s="2356"/>
      <c r="N4" s="2356"/>
      <c r="O4" s="2356"/>
      <c r="P4" s="2356"/>
      <c r="Q4" s="2356"/>
      <c r="R4" s="2356"/>
    </row>
    <row r="5" ht="36.75" spans="1:18">
      <c r="A5" s="2895"/>
      <c r="B5" s="2144" t="s">
        <v>774</v>
      </c>
      <c r="C5" s="2898" t="s">
        <v>775</v>
      </c>
      <c r="D5" s="2894"/>
      <c r="E5" s="2899"/>
      <c r="F5" s="2144" t="s">
        <v>595</v>
      </c>
      <c r="G5" s="2900" t="s">
        <v>776</v>
      </c>
      <c r="H5" s="2356"/>
      <c r="I5" s="2356"/>
      <c r="J5" s="2356"/>
      <c r="K5" s="2356"/>
      <c r="L5" s="2356"/>
      <c r="M5" s="2356"/>
      <c r="N5" s="2356"/>
      <c r="O5" s="2356"/>
      <c r="P5" s="2356"/>
      <c r="Q5" s="2356"/>
      <c r="R5" s="2356"/>
    </row>
    <row r="6" ht="36" spans="1:18">
      <c r="A6" s="2895"/>
      <c r="B6" s="2144" t="s">
        <v>772</v>
      </c>
      <c r="C6" s="2900" t="s">
        <v>773</v>
      </c>
      <c r="D6" s="2894"/>
      <c r="E6" s="2899"/>
      <c r="F6" s="2144" t="s">
        <v>777</v>
      </c>
      <c r="G6" s="2900" t="s">
        <v>778</v>
      </c>
      <c r="H6" s="2356"/>
      <c r="I6" s="2356"/>
      <c r="J6" s="2356"/>
      <c r="K6" s="2356"/>
      <c r="L6" s="2356"/>
      <c r="M6" s="2356"/>
      <c r="N6" s="2356"/>
      <c r="O6" s="2356"/>
      <c r="P6" s="2356"/>
      <c r="Q6" s="2356"/>
      <c r="R6" s="2356"/>
    </row>
    <row r="7" ht="24.75" spans="1:18">
      <c r="A7" s="2895"/>
      <c r="B7" s="2144" t="s">
        <v>595</v>
      </c>
      <c r="C7" s="2900" t="s">
        <v>776</v>
      </c>
      <c r="D7" s="2901"/>
      <c r="E7" s="2902"/>
      <c r="F7" s="2903" t="s">
        <v>779</v>
      </c>
      <c r="G7" s="2904" t="s">
        <v>780</v>
      </c>
      <c r="H7" s="2356"/>
      <c r="I7" s="2356"/>
      <c r="J7" s="2356"/>
      <c r="K7" s="2356"/>
      <c r="L7" s="2356"/>
      <c r="M7" s="2356"/>
      <c r="N7" s="2356"/>
      <c r="O7" s="2356"/>
      <c r="P7" s="2356"/>
      <c r="Q7" s="2356"/>
      <c r="R7" s="2356"/>
    </row>
    <row r="8" spans="1:18">
      <c r="A8" s="2895"/>
      <c r="B8" s="2144" t="s">
        <v>777</v>
      </c>
      <c r="C8" s="2900" t="s">
        <v>778</v>
      </c>
      <c r="D8" s="2901"/>
      <c r="E8" s="2901"/>
      <c r="F8" s="2264"/>
      <c r="G8" s="2264"/>
      <c r="H8" s="2356"/>
      <c r="I8" s="2356"/>
      <c r="J8" s="2356"/>
      <c r="K8" s="2356"/>
      <c r="L8" s="2356"/>
      <c r="M8" s="2356"/>
      <c r="N8" s="2356"/>
      <c r="O8" s="2356"/>
      <c r="P8" s="2356"/>
      <c r="Q8" s="2356"/>
      <c r="R8" s="2356"/>
    </row>
    <row r="9" ht="24" spans="1:18">
      <c r="A9" s="2895"/>
      <c r="B9" s="2144" t="s">
        <v>781</v>
      </c>
      <c r="C9" s="2898" t="s">
        <v>782</v>
      </c>
      <c r="D9" s="2894"/>
      <c r="E9" s="2901"/>
      <c r="F9" s="2264"/>
      <c r="G9" s="2264"/>
      <c r="H9" s="2356"/>
      <c r="I9" s="2356"/>
      <c r="J9" s="2356"/>
      <c r="K9" s="2356"/>
      <c r="L9" s="2356"/>
      <c r="M9" s="2356"/>
      <c r="N9" s="2356"/>
      <c r="O9" s="2356"/>
      <c r="P9" s="2356"/>
      <c r="Q9" s="2356"/>
      <c r="R9" s="2356"/>
    </row>
    <row r="10" s="2875" customFormat="1" ht="15" spans="1:29">
      <c r="A10" s="2905"/>
      <c r="B10" s="2906" t="s">
        <v>783</v>
      </c>
      <c r="C10" s="2907"/>
      <c r="D10" s="2894"/>
      <c r="E10" s="2894"/>
      <c r="F10" s="2264"/>
      <c r="G10" s="2264"/>
      <c r="H10" s="2908"/>
      <c r="I10" s="2938"/>
      <c r="J10" s="2939"/>
      <c r="K10" s="2908"/>
      <c r="L10" s="2938"/>
      <c r="M10" s="2939"/>
      <c r="N10" s="2908"/>
      <c r="O10" s="2938"/>
      <c r="P10" s="2939"/>
      <c r="Q10" s="2908"/>
      <c r="R10" s="2938"/>
      <c r="S10" s="2356"/>
      <c r="T10" s="2356"/>
      <c r="U10" s="2356"/>
      <c r="V10" s="2356"/>
      <c r="W10" s="2356"/>
      <c r="X10" s="2356"/>
      <c r="Y10" s="2356"/>
      <c r="Z10" s="2356"/>
      <c r="AA10" s="2356"/>
      <c r="AB10" s="2356"/>
      <c r="AC10" s="2356"/>
    </row>
    <row r="11" s="2875" customFormat="1" spans="1:29">
      <c r="A11" s="2909"/>
      <c r="B11" s="2901"/>
      <c r="C11" s="2894"/>
      <c r="D11" s="2894"/>
      <c r="E11" s="2894"/>
      <c r="F11" s="2901"/>
      <c r="G11" s="2910"/>
      <c r="H11" s="2908"/>
      <c r="I11" s="2938"/>
      <c r="J11" s="2939"/>
      <c r="K11" s="2908"/>
      <c r="L11" s="2938"/>
      <c r="M11" s="2939"/>
      <c r="N11" s="2908"/>
      <c r="O11" s="2938"/>
      <c r="P11" s="2939"/>
      <c r="Q11" s="2908"/>
      <c r="R11" s="2938"/>
      <c r="S11" s="2356"/>
      <c r="T11" s="2356"/>
      <c r="U11" s="2356"/>
      <c r="V11" s="2356"/>
      <c r="W11" s="2356"/>
      <c r="X11" s="2356"/>
      <c r="Y11" s="2356"/>
      <c r="Z11" s="2356"/>
      <c r="AA11" s="2356"/>
      <c r="AB11" s="2356"/>
      <c r="AC11" s="2356"/>
    </row>
    <row r="12" s="2874" customFormat="1" ht="18" spans="1:29">
      <c r="A12" s="2909"/>
      <c r="B12" s="2901"/>
      <c r="C12" s="2894"/>
      <c r="D12" s="2911"/>
      <c r="E12" s="2894"/>
      <c r="F12" s="2901"/>
      <c r="G12" s="2910"/>
      <c r="H12" s="2912"/>
      <c r="I12" s="2940"/>
      <c r="J12" s="2912"/>
      <c r="K12" s="2912"/>
      <c r="L12" s="2941"/>
      <c r="M12" s="2912"/>
      <c r="N12" s="2942"/>
      <c r="O12" s="2943"/>
      <c r="P12" s="2942"/>
      <c r="Q12" s="2942"/>
      <c r="R12" s="2945"/>
      <c r="S12" s="2946"/>
      <c r="T12" s="2946"/>
      <c r="U12" s="2946"/>
      <c r="V12" s="2946"/>
      <c r="W12" s="2946"/>
      <c r="X12" s="2946"/>
      <c r="Y12" s="2946"/>
      <c r="Z12" s="2946"/>
      <c r="AA12" s="2946"/>
      <c r="AB12" s="2946"/>
      <c r="AC12" s="2946"/>
    </row>
    <row r="13" spans="1:7">
      <c r="A13" s="2913" t="s">
        <v>784</v>
      </c>
      <c r="B13" s="2911"/>
      <c r="C13" s="2911"/>
      <c r="D13" s="2909"/>
      <c r="E13" s="2911"/>
      <c r="F13" s="2911"/>
      <c r="G13" s="2911"/>
    </row>
    <row r="14" spans="1:7">
      <c r="A14" s="2914"/>
      <c r="B14" s="2914"/>
      <c r="C14" s="2915" t="s">
        <v>763</v>
      </c>
      <c r="D14" s="2894"/>
      <c r="E14" s="2916"/>
      <c r="F14" s="2916"/>
      <c r="G14" s="2888" t="s">
        <v>764</v>
      </c>
    </row>
    <row r="15" ht="48" spans="1:7">
      <c r="A15" s="2917" t="s">
        <v>765</v>
      </c>
      <c r="B15" s="2918" t="s">
        <v>766</v>
      </c>
      <c r="C15" s="2919" t="str">
        <f>C3</f>
        <v>估价对象周边居住用地比例、居住小区规模和社区发展完善程度，综合评价居住社区成熟度一般</v>
      </c>
      <c r="D15" s="2894"/>
      <c r="E15" s="2920" t="s">
        <v>765</v>
      </c>
      <c r="F15" s="2918" t="s">
        <v>768</v>
      </c>
      <c r="G15" s="2921" t="str">
        <f>G3</f>
        <v>估价对象位于XX开发区，园区建设成熟度XX，产业集聚程度XX</v>
      </c>
    </row>
    <row r="16" ht="36.75" spans="1:7">
      <c r="A16" s="2922"/>
      <c r="B16" s="2923" t="s">
        <v>770</v>
      </c>
      <c r="C16" s="2924" t="str">
        <f>C4</f>
        <v>估价对象位于XX商圈，周边商业氛围成熟，人流量大，商业繁华度好</v>
      </c>
      <c r="D16" s="2894"/>
      <c r="E16" s="2925"/>
      <c r="F16" s="2926" t="s">
        <v>772</v>
      </c>
      <c r="G16" s="2927" t="str">
        <f>G4</f>
        <v>估价对象周边道路状况、公共交通通达情况、停车便捷程度，综合评价交通便捷度较好</v>
      </c>
    </row>
    <row r="17" ht="36.75" spans="1:7">
      <c r="A17" s="2922"/>
      <c r="B17" s="2923" t="s">
        <v>774</v>
      </c>
      <c r="C17" s="2924" t="str">
        <f>C5</f>
        <v>估价对象位于XX商圈，周边办公楼项目较多，入驻率高，办公集聚程度较好</v>
      </c>
      <c r="D17" s="2901"/>
      <c r="E17" s="2925"/>
      <c r="F17" s="2926" t="s">
        <v>785</v>
      </c>
      <c r="G17" s="2928"/>
    </row>
    <row r="18" ht="36" spans="1:7">
      <c r="A18" s="2922"/>
      <c r="B18" s="2926" t="s">
        <v>772</v>
      </c>
      <c r="C18" s="2927" t="str">
        <f>C6</f>
        <v>估价对象周边道路状况、公共交通通达情况、停车便捷程度，综合评价交通便捷度较好</v>
      </c>
      <c r="D18" s="2901"/>
      <c r="E18" s="2925"/>
      <c r="F18" s="2926" t="s">
        <v>779</v>
      </c>
      <c r="G18" s="2927" t="str">
        <f>G7</f>
        <v>该园区内是否有污染型企业，绿化情况，卫生条件，整体环境状况判断</v>
      </c>
    </row>
    <row r="19" ht="24" spans="1:7">
      <c r="A19" s="2922"/>
      <c r="B19" s="2926" t="s">
        <v>785</v>
      </c>
      <c r="C19" s="2928"/>
      <c r="D19" s="2894"/>
      <c r="E19" s="2925"/>
      <c r="F19" s="2144" t="s">
        <v>595</v>
      </c>
      <c r="G19" s="2927" t="str">
        <f>G5</f>
        <v>估价对象所在区域公共配套设施齐备情况</v>
      </c>
    </row>
    <row r="20" ht="24" spans="1:7">
      <c r="A20" s="2922"/>
      <c r="B20" s="2926" t="s">
        <v>786</v>
      </c>
      <c r="C20" s="2924" t="str">
        <f>C9</f>
        <v>区域自然环境：；人文环境；综合评价环境状况一般</v>
      </c>
      <c r="D20" s="2901"/>
      <c r="E20" s="2925"/>
      <c r="F20" s="2144" t="s">
        <v>777</v>
      </c>
      <c r="G20" s="2927" t="str">
        <f>G6</f>
        <v>估价对象所在区域基础设施水平</v>
      </c>
    </row>
    <row r="21" ht="24" spans="1:7">
      <c r="A21" s="2922"/>
      <c r="B21" s="2144" t="s">
        <v>595</v>
      </c>
      <c r="C21" s="2927" t="str">
        <f>C7</f>
        <v>估价对象所在区域公共配套设施齐备情况</v>
      </c>
      <c r="D21" s="2894"/>
      <c r="E21" s="2925"/>
      <c r="F21" s="2926" t="s">
        <v>787</v>
      </c>
      <c r="G21" s="2929"/>
    </row>
    <row r="22" ht="13.5" customHeight="1" spans="1:7">
      <c r="A22" s="2922"/>
      <c r="B22" s="2144" t="s">
        <v>777</v>
      </c>
      <c r="C22" s="2927" t="str">
        <f>C8</f>
        <v>估价对象所在区域基础设施水平</v>
      </c>
      <c r="D22" s="2894"/>
      <c r="E22" s="2925"/>
      <c r="F22" s="2926" t="s">
        <v>783</v>
      </c>
      <c r="G22" s="2928"/>
    </row>
    <row r="23" s="2356" customFormat="1" ht="15" spans="1:18">
      <c r="A23" s="2922"/>
      <c r="B23" s="2926" t="s">
        <v>787</v>
      </c>
      <c r="C23" s="2929"/>
      <c r="D23" s="2853"/>
      <c r="E23" s="2930"/>
      <c r="F23" s="2931" t="s">
        <v>545</v>
      </c>
      <c r="G23" s="2932"/>
      <c r="H23" s="2880"/>
      <c r="I23" s="2881"/>
      <c r="J23" s="2880"/>
      <c r="K23" s="2880"/>
      <c r="L23" s="2881"/>
      <c r="M23" s="2880"/>
      <c r="N23" s="2880"/>
      <c r="O23" s="2881"/>
      <c r="P23" s="2880"/>
      <c r="Q23" s="2880"/>
      <c r="R23" s="2882"/>
    </row>
    <row r="24" s="2356" customFormat="1" ht="15" spans="1:18">
      <c r="A24" s="2933"/>
      <c r="B24" s="2931" t="s">
        <v>783</v>
      </c>
      <c r="C24" s="2934">
        <f>C10</f>
        <v>0</v>
      </c>
      <c r="D24" s="2853"/>
      <c r="E24" s="2935"/>
      <c r="F24" s="2935"/>
      <c r="G24" s="2936"/>
      <c r="H24" s="2880"/>
      <c r="I24" s="2881"/>
      <c r="J24" s="2880"/>
      <c r="K24" s="2880"/>
      <c r="L24" s="2881"/>
      <c r="M24" s="2880"/>
      <c r="N24" s="2880"/>
      <c r="O24" s="2881"/>
      <c r="P24" s="2880"/>
      <c r="Q24" s="2880"/>
      <c r="R24" s="2882"/>
    </row>
    <row r="25" s="2356" customFormat="1" spans="2:18">
      <c r="B25" s="2880"/>
      <c r="C25" s="2880"/>
      <c r="D25" s="2880"/>
      <c r="H25" s="2880"/>
      <c r="I25" s="2881"/>
      <c r="J25" s="2880"/>
      <c r="K25" s="2880"/>
      <c r="L25" s="2881"/>
      <c r="M25" s="2880"/>
      <c r="N25" s="2880"/>
      <c r="O25" s="2881"/>
      <c r="P25" s="2880"/>
      <c r="Q25" s="2880"/>
      <c r="R25" s="2882"/>
    </row>
    <row r="26" s="2356" customFormat="1" spans="2:18">
      <c r="B26" s="2880"/>
      <c r="C26" s="2880"/>
      <c r="D26" s="2880"/>
      <c r="H26" s="2880"/>
      <c r="I26" s="2881"/>
      <c r="J26" s="2880"/>
      <c r="K26" s="2880"/>
      <c r="L26" s="2881"/>
      <c r="M26" s="2880"/>
      <c r="N26" s="2880"/>
      <c r="O26" s="2881"/>
      <c r="P26" s="2880"/>
      <c r="Q26" s="2880"/>
      <c r="R26" s="2882"/>
    </row>
    <row r="27" s="2356" customFormat="1" spans="2:18">
      <c r="B27" s="2880"/>
      <c r="C27" s="2880"/>
      <c r="D27" s="2880"/>
      <c r="H27" s="2880"/>
      <c r="I27" s="2881"/>
      <c r="J27" s="2880"/>
      <c r="K27" s="2880"/>
      <c r="L27" s="2881"/>
      <c r="M27" s="2880"/>
      <c r="N27" s="2880"/>
      <c r="O27" s="2881"/>
      <c r="P27" s="2880"/>
      <c r="Q27" s="2880"/>
      <c r="R27" s="2882"/>
    </row>
    <row r="28" s="2356" customFormat="1" spans="2:18">
      <c r="B28" s="2880"/>
      <c r="C28" s="2880"/>
      <c r="D28" s="2880"/>
      <c r="H28" s="2880"/>
      <c r="I28" s="2881"/>
      <c r="J28" s="2880"/>
      <c r="K28" s="2880"/>
      <c r="L28" s="2881"/>
      <c r="M28" s="2880"/>
      <c r="N28" s="2880"/>
      <c r="O28" s="2881"/>
      <c r="P28" s="2880"/>
      <c r="Q28" s="2880"/>
      <c r="R28" s="2882"/>
    </row>
    <row r="29" s="2356" customFormat="1" spans="2:18">
      <c r="B29" s="2880"/>
      <c r="C29" s="2880"/>
      <c r="D29" s="2880"/>
      <c r="H29" s="2880"/>
      <c r="I29" s="2881"/>
      <c r="J29" s="2880"/>
      <c r="K29" s="2880"/>
      <c r="L29" s="2881"/>
      <c r="M29" s="2880"/>
      <c r="N29" s="2880"/>
      <c r="O29" s="2881"/>
      <c r="P29" s="2880"/>
      <c r="Q29" s="2880"/>
      <c r="R29" s="2882"/>
    </row>
    <row r="30" s="2356" customFormat="1" spans="2:18">
      <c r="B30" s="2880"/>
      <c r="C30" s="2880"/>
      <c r="D30" s="2880"/>
      <c r="H30" s="2880"/>
      <c r="I30" s="2881"/>
      <c r="J30" s="2880"/>
      <c r="K30" s="2880"/>
      <c r="L30" s="2881"/>
      <c r="M30" s="2880"/>
      <c r="N30" s="2880"/>
      <c r="O30" s="2881"/>
      <c r="P30" s="2880"/>
      <c r="Q30" s="2880"/>
      <c r="R30" s="2882"/>
    </row>
    <row r="31" s="2356" customFormat="1" spans="2:18">
      <c r="B31" s="2880"/>
      <c r="C31" s="2880"/>
      <c r="D31" s="2880"/>
      <c r="H31" s="2880"/>
      <c r="I31" s="2881"/>
      <c r="J31" s="2880"/>
      <c r="K31" s="2880"/>
      <c r="L31" s="2881"/>
      <c r="M31" s="2880"/>
      <c r="N31" s="2880"/>
      <c r="O31" s="2881"/>
      <c r="P31" s="2880"/>
      <c r="Q31" s="2880"/>
      <c r="R31" s="2882"/>
    </row>
    <row r="32" s="2356" customFormat="1" spans="2:18">
      <c r="B32" s="2880"/>
      <c r="C32" s="2880"/>
      <c r="D32" s="2880"/>
      <c r="H32" s="2880"/>
      <c r="I32" s="2881"/>
      <c r="J32" s="2880"/>
      <c r="K32" s="2880"/>
      <c r="L32" s="2881"/>
      <c r="M32" s="2880"/>
      <c r="N32" s="2880"/>
      <c r="O32" s="2881"/>
      <c r="P32" s="2880"/>
      <c r="Q32" s="2880"/>
      <c r="R32" s="2882"/>
    </row>
    <row r="33" s="2356" customFormat="1" spans="2:18">
      <c r="B33" s="2880"/>
      <c r="C33" s="2880"/>
      <c r="D33" s="2880"/>
      <c r="H33" s="2880"/>
      <c r="I33" s="2881"/>
      <c r="J33" s="2880"/>
      <c r="K33" s="2880"/>
      <c r="L33" s="2881"/>
      <c r="M33" s="2880"/>
      <c r="N33" s="2880"/>
      <c r="O33" s="2881"/>
      <c r="P33" s="2880"/>
      <c r="Q33" s="2880"/>
      <c r="R33" s="2882"/>
    </row>
    <row r="34" s="2356" customFormat="1" spans="2:18">
      <c r="B34" s="2880"/>
      <c r="C34" s="2880"/>
      <c r="D34" s="2880"/>
      <c r="H34" s="2880"/>
      <c r="I34" s="2881"/>
      <c r="J34" s="2880"/>
      <c r="K34" s="2880"/>
      <c r="L34" s="2881"/>
      <c r="M34" s="2880"/>
      <c r="N34" s="2880"/>
      <c r="O34" s="2881"/>
      <c r="P34" s="2880"/>
      <c r="Q34" s="2880"/>
      <c r="R34" s="2882"/>
    </row>
    <row r="35" s="2356" customFormat="1" spans="2:18">
      <c r="B35" s="2880"/>
      <c r="C35" s="2880"/>
      <c r="D35" s="2880"/>
      <c r="H35" s="2880"/>
      <c r="I35" s="2881"/>
      <c r="J35" s="2880"/>
      <c r="K35" s="2880"/>
      <c r="L35" s="2881"/>
      <c r="M35" s="2880"/>
      <c r="N35" s="2880"/>
      <c r="O35" s="2881"/>
      <c r="P35" s="2880"/>
      <c r="Q35" s="2880"/>
      <c r="R35" s="2882"/>
    </row>
    <row r="36" s="2356" customFormat="1" spans="2:18">
      <c r="B36" s="2880"/>
      <c r="C36" s="2880"/>
      <c r="D36" s="2880"/>
      <c r="H36" s="2880"/>
      <c r="I36" s="2881"/>
      <c r="J36" s="2880"/>
      <c r="K36" s="2880"/>
      <c r="L36" s="2881"/>
      <c r="M36" s="2880"/>
      <c r="N36" s="2880"/>
      <c r="O36" s="2881"/>
      <c r="P36" s="2880"/>
      <c r="Q36" s="2880"/>
      <c r="R36" s="2882"/>
    </row>
    <row r="37" s="2356" customFormat="1" spans="2:18">
      <c r="B37" s="2880"/>
      <c r="C37" s="2880"/>
      <c r="D37" s="2880"/>
      <c r="H37" s="2880"/>
      <c r="I37" s="2881"/>
      <c r="J37" s="2880"/>
      <c r="K37" s="2880"/>
      <c r="L37" s="2881"/>
      <c r="M37" s="2880"/>
      <c r="N37" s="2880"/>
      <c r="O37" s="2881"/>
      <c r="P37" s="2880"/>
      <c r="Q37" s="2880"/>
      <c r="R37" s="2882"/>
    </row>
    <row r="38" s="2356" customFormat="1" spans="2:18">
      <c r="B38" s="2880"/>
      <c r="C38" s="2880"/>
      <c r="D38" s="2880"/>
      <c r="E38" s="2880"/>
      <c r="F38" s="2880"/>
      <c r="G38" s="2881"/>
      <c r="H38" s="2880"/>
      <c r="I38" s="2881"/>
      <c r="J38" s="2880"/>
      <c r="K38" s="2880"/>
      <c r="L38" s="2881"/>
      <c r="M38" s="2880"/>
      <c r="N38" s="2880"/>
      <c r="O38" s="2881"/>
      <c r="P38" s="2880"/>
      <c r="Q38" s="2880"/>
      <c r="R38" s="2882"/>
    </row>
    <row r="39" s="2356" customFormat="1" spans="2:18">
      <c r="B39" s="2880"/>
      <c r="C39" s="2880"/>
      <c r="D39" s="2880"/>
      <c r="E39" s="2880"/>
      <c r="F39" s="2880"/>
      <c r="G39" s="2881"/>
      <c r="H39" s="2880"/>
      <c r="I39" s="2881"/>
      <c r="J39" s="2880"/>
      <c r="K39" s="2880"/>
      <c r="L39" s="2881"/>
      <c r="M39" s="2880"/>
      <c r="N39" s="2880"/>
      <c r="O39" s="2881"/>
      <c r="P39" s="2880"/>
      <c r="Q39" s="2880"/>
      <c r="R39" s="2882"/>
    </row>
    <row r="40" s="2356" customFormat="1" spans="2:18">
      <c r="B40" s="2880"/>
      <c r="C40" s="2880"/>
      <c r="D40" s="2880"/>
      <c r="E40" s="2880"/>
      <c r="F40" s="2880"/>
      <c r="G40" s="2881"/>
      <c r="H40" s="2880"/>
      <c r="I40" s="2881"/>
      <c r="J40" s="2880"/>
      <c r="K40" s="2880"/>
      <c r="L40" s="2881"/>
      <c r="M40" s="2880"/>
      <c r="N40" s="2880"/>
      <c r="O40" s="2881"/>
      <c r="P40" s="2880"/>
      <c r="Q40" s="2880"/>
      <c r="R40" s="2882"/>
    </row>
    <row r="41" s="2356" customFormat="1" spans="2:18">
      <c r="B41" s="2880"/>
      <c r="C41" s="2880"/>
      <c r="D41" s="2880"/>
      <c r="E41" s="2880"/>
      <c r="F41" s="2880"/>
      <c r="G41" s="2881"/>
      <c r="H41" s="2880"/>
      <c r="I41" s="2881"/>
      <c r="J41" s="2880"/>
      <c r="K41" s="2880"/>
      <c r="L41" s="2881"/>
      <c r="M41" s="2880"/>
      <c r="N41" s="2880"/>
      <c r="O41" s="2881"/>
      <c r="P41" s="2880"/>
      <c r="Q41" s="2880"/>
      <c r="R41" s="2882"/>
    </row>
    <row r="42" s="2356" customFormat="1" spans="2:18">
      <c r="B42" s="2880"/>
      <c r="C42" s="2880"/>
      <c r="D42" s="2880"/>
      <c r="E42" s="2880"/>
      <c r="F42" s="2880"/>
      <c r="G42" s="2881"/>
      <c r="H42" s="2880"/>
      <c r="I42" s="2881"/>
      <c r="J42" s="2880"/>
      <c r="K42" s="2880"/>
      <c r="L42" s="2881"/>
      <c r="M42" s="2880"/>
      <c r="N42" s="2880"/>
      <c r="O42" s="2881"/>
      <c r="P42" s="2880"/>
      <c r="Q42" s="2880"/>
      <c r="R42" s="2882"/>
    </row>
    <row r="43" s="2356" customFormat="1" spans="2:18">
      <c r="B43" s="2880"/>
      <c r="C43" s="2880"/>
      <c r="D43" s="2880"/>
      <c r="E43" s="2880"/>
      <c r="F43" s="2880"/>
      <c r="G43" s="2881"/>
      <c r="H43" s="2880"/>
      <c r="I43" s="2881"/>
      <c r="J43" s="2880"/>
      <c r="K43" s="2880"/>
      <c r="L43" s="2881"/>
      <c r="M43" s="2880"/>
      <c r="N43" s="2880"/>
      <c r="O43" s="2881"/>
      <c r="P43" s="2880"/>
      <c r="Q43" s="2880"/>
      <c r="R43" s="2882"/>
    </row>
    <row r="44" s="2356" customFormat="1" spans="2:18">
      <c r="B44" s="2880"/>
      <c r="C44" s="2880"/>
      <c r="D44" s="2880"/>
      <c r="E44" s="2880"/>
      <c r="F44" s="2880"/>
      <c r="G44" s="2881"/>
      <c r="H44" s="2880"/>
      <c r="I44" s="2881"/>
      <c r="J44" s="2880"/>
      <c r="K44" s="2880"/>
      <c r="L44" s="2881"/>
      <c r="M44" s="2880"/>
      <c r="N44" s="2880"/>
      <c r="O44" s="2881"/>
      <c r="P44" s="2880"/>
      <c r="Q44" s="2880"/>
      <c r="R44" s="2882"/>
    </row>
    <row r="45" s="2356" customFormat="1" spans="2:18">
      <c r="B45" s="2880"/>
      <c r="C45" s="2880"/>
      <c r="D45" s="2880"/>
      <c r="E45" s="2880"/>
      <c r="F45" s="2880"/>
      <c r="G45" s="2881"/>
      <c r="H45" s="2880"/>
      <c r="I45" s="2881"/>
      <c r="J45" s="2880"/>
      <c r="K45" s="2880"/>
      <c r="L45" s="2881"/>
      <c r="M45" s="2880"/>
      <c r="N45" s="2880"/>
      <c r="O45" s="2881"/>
      <c r="P45" s="2880"/>
      <c r="Q45" s="2880"/>
      <c r="R45" s="2882"/>
    </row>
    <row r="46" s="2356" customFormat="1" spans="2:18">
      <c r="B46" s="2880"/>
      <c r="C46" s="2880"/>
      <c r="D46" s="2880"/>
      <c r="E46" s="2880"/>
      <c r="F46" s="2880"/>
      <c r="G46" s="2881"/>
      <c r="H46" s="2880"/>
      <c r="I46" s="2881"/>
      <c r="J46" s="2880"/>
      <c r="K46" s="2880"/>
      <c r="L46" s="2881"/>
      <c r="M46" s="2880"/>
      <c r="N46" s="2880"/>
      <c r="O46" s="2881"/>
      <c r="P46" s="2880"/>
      <c r="Q46" s="2880"/>
      <c r="R46" s="2882"/>
    </row>
    <row r="47" s="2356" customFormat="1" spans="2:18">
      <c r="B47" s="2880"/>
      <c r="C47" s="2880"/>
      <c r="D47" s="2880"/>
      <c r="E47" s="2880"/>
      <c r="F47" s="2880"/>
      <c r="G47" s="2881"/>
      <c r="H47" s="2880"/>
      <c r="I47" s="2881"/>
      <c r="J47" s="2880"/>
      <c r="K47" s="2880"/>
      <c r="L47" s="2881"/>
      <c r="M47" s="2880"/>
      <c r="N47" s="2880"/>
      <c r="O47" s="2881"/>
      <c r="P47" s="2880"/>
      <c r="Q47" s="2880"/>
      <c r="R47" s="2882"/>
    </row>
    <row r="48" s="2356" customFormat="1" spans="2:18">
      <c r="B48" s="2880"/>
      <c r="C48" s="2880"/>
      <c r="D48" s="2880"/>
      <c r="E48" s="2880"/>
      <c r="F48" s="2880"/>
      <c r="G48" s="2881"/>
      <c r="H48" s="2880"/>
      <c r="I48" s="2881"/>
      <c r="J48" s="2880"/>
      <c r="K48" s="2880"/>
      <c r="L48" s="2881"/>
      <c r="M48" s="2880"/>
      <c r="N48" s="2880"/>
      <c r="O48" s="2881"/>
      <c r="P48" s="2880"/>
      <c r="Q48" s="2880"/>
      <c r="R48" s="2882"/>
    </row>
    <row r="49" s="2356" customFormat="1" spans="2:18">
      <c r="B49" s="2880"/>
      <c r="C49" s="2880"/>
      <c r="D49" s="2880"/>
      <c r="E49" s="2880"/>
      <c r="F49" s="2880"/>
      <c r="G49" s="2881"/>
      <c r="H49" s="2880"/>
      <c r="I49" s="2881"/>
      <c r="J49" s="2880"/>
      <c r="K49" s="2880"/>
      <c r="L49" s="2881"/>
      <c r="M49" s="2880"/>
      <c r="N49" s="2880"/>
      <c r="O49" s="2881"/>
      <c r="P49" s="2880"/>
      <c r="Q49" s="2880"/>
      <c r="R49" s="2882"/>
    </row>
    <row r="50" s="2356" customFormat="1" spans="2:18">
      <c r="B50" s="2880"/>
      <c r="C50" s="2880"/>
      <c r="D50" s="2880"/>
      <c r="E50" s="2880"/>
      <c r="F50" s="2880"/>
      <c r="G50" s="2881"/>
      <c r="H50" s="2880"/>
      <c r="I50" s="2881"/>
      <c r="J50" s="2880"/>
      <c r="K50" s="2880"/>
      <c r="L50" s="2881"/>
      <c r="M50" s="2880"/>
      <c r="N50" s="2880"/>
      <c r="O50" s="2881"/>
      <c r="P50" s="2880"/>
      <c r="Q50" s="2880"/>
      <c r="R50" s="2882"/>
    </row>
    <row r="51" s="2356" customFormat="1" spans="2:18">
      <c r="B51" s="2880"/>
      <c r="C51" s="2880"/>
      <c r="D51" s="2880"/>
      <c r="E51" s="2880"/>
      <c r="F51" s="2880"/>
      <c r="G51" s="2881"/>
      <c r="H51" s="2880"/>
      <c r="I51" s="2881"/>
      <c r="J51" s="2880"/>
      <c r="K51" s="2880"/>
      <c r="L51" s="2881"/>
      <c r="M51" s="2880"/>
      <c r="N51" s="2880"/>
      <c r="O51" s="2881"/>
      <c r="P51" s="2880"/>
      <c r="Q51" s="2880"/>
      <c r="R51" s="2882"/>
    </row>
    <row r="52" s="2356" customFormat="1" spans="2:18">
      <c r="B52" s="2880"/>
      <c r="C52" s="2880"/>
      <c r="D52" s="2880"/>
      <c r="E52" s="2880"/>
      <c r="F52" s="2880"/>
      <c r="G52" s="2881"/>
      <c r="H52" s="2880"/>
      <c r="I52" s="2881"/>
      <c r="J52" s="2880"/>
      <c r="K52" s="2880"/>
      <c r="L52" s="2881"/>
      <c r="M52" s="2880"/>
      <c r="N52" s="2880"/>
      <c r="O52" s="2881"/>
      <c r="P52" s="2880"/>
      <c r="Q52" s="2880"/>
      <c r="R52" s="2882"/>
    </row>
    <row r="53" s="2356" customFormat="1" spans="2:18">
      <c r="B53" s="2880"/>
      <c r="C53" s="2880"/>
      <c r="D53" s="2880"/>
      <c r="E53" s="2880"/>
      <c r="F53" s="2880"/>
      <c r="G53" s="2881"/>
      <c r="H53" s="2880"/>
      <c r="I53" s="2881"/>
      <c r="J53" s="2880"/>
      <c r="K53" s="2880"/>
      <c r="L53" s="2881"/>
      <c r="M53" s="2880"/>
      <c r="N53" s="2880"/>
      <c r="O53" s="2881"/>
      <c r="P53" s="2880"/>
      <c r="Q53" s="2880"/>
      <c r="R53" s="2882"/>
    </row>
    <row r="54" s="2356" customFormat="1" spans="2:18">
      <c r="B54" s="2880"/>
      <c r="C54" s="2880"/>
      <c r="D54" s="2880"/>
      <c r="E54" s="2880"/>
      <c r="F54" s="2880"/>
      <c r="G54" s="2881"/>
      <c r="H54" s="2880"/>
      <c r="I54" s="2881"/>
      <c r="J54" s="2880"/>
      <c r="K54" s="2880"/>
      <c r="L54" s="2881"/>
      <c r="M54" s="2880"/>
      <c r="N54" s="2880"/>
      <c r="O54" s="2881"/>
      <c r="P54" s="2880"/>
      <c r="Q54" s="2880"/>
      <c r="R54" s="2882"/>
    </row>
    <row r="55" s="2356" customFormat="1" spans="2:18">
      <c r="B55" s="2880"/>
      <c r="C55" s="2880"/>
      <c r="D55" s="2880"/>
      <c r="E55" s="2880"/>
      <c r="F55" s="2880"/>
      <c r="G55" s="2881"/>
      <c r="H55" s="2880"/>
      <c r="I55" s="2881"/>
      <c r="J55" s="2880"/>
      <c r="K55" s="2880"/>
      <c r="L55" s="2881"/>
      <c r="M55" s="2880"/>
      <c r="N55" s="2880"/>
      <c r="O55" s="2881"/>
      <c r="P55" s="2880"/>
      <c r="Q55" s="2880"/>
      <c r="R55" s="2882"/>
    </row>
    <row r="56" s="2356" customFormat="1" spans="2:18">
      <c r="B56" s="2880"/>
      <c r="C56" s="2880"/>
      <c r="D56" s="2880"/>
      <c r="E56" s="2880"/>
      <c r="F56" s="2880"/>
      <c r="G56" s="2881"/>
      <c r="H56" s="2880"/>
      <c r="I56" s="2881"/>
      <c r="J56" s="2880"/>
      <c r="K56" s="2880"/>
      <c r="L56" s="2881"/>
      <c r="M56" s="2880"/>
      <c r="N56" s="2880"/>
      <c r="O56" s="2881"/>
      <c r="P56" s="2880"/>
      <c r="Q56" s="2880"/>
      <c r="R56" s="2882"/>
    </row>
    <row r="57" s="2356" customFormat="1" spans="2:18">
      <c r="B57" s="2880"/>
      <c r="C57" s="2880"/>
      <c r="D57" s="2880"/>
      <c r="E57" s="2880"/>
      <c r="F57" s="2880"/>
      <c r="G57" s="2881"/>
      <c r="H57" s="2880"/>
      <c r="I57" s="2881"/>
      <c r="J57" s="2880"/>
      <c r="K57" s="2880"/>
      <c r="L57" s="2881"/>
      <c r="M57" s="2880"/>
      <c r="N57" s="2880"/>
      <c r="O57" s="2881"/>
      <c r="P57" s="2880"/>
      <c r="Q57" s="2880"/>
      <c r="R57" s="2882"/>
    </row>
    <row r="58" s="2356" customFormat="1" spans="2:18">
      <c r="B58" s="2880"/>
      <c r="C58" s="2880"/>
      <c r="D58" s="2880"/>
      <c r="E58" s="2880"/>
      <c r="F58" s="2880"/>
      <c r="G58" s="2881"/>
      <c r="H58" s="2880"/>
      <c r="I58" s="2881"/>
      <c r="J58" s="2880"/>
      <c r="K58" s="2880"/>
      <c r="L58" s="2881"/>
      <c r="M58" s="2880"/>
      <c r="N58" s="2880"/>
      <c r="O58" s="2881"/>
      <c r="P58" s="2880"/>
      <c r="Q58" s="2880"/>
      <c r="R58" s="2882"/>
    </row>
    <row r="59" s="2356" customFormat="1" spans="2:18">
      <c r="B59" s="2880"/>
      <c r="C59" s="2880"/>
      <c r="D59" s="2880"/>
      <c r="E59" s="2880"/>
      <c r="F59" s="2880"/>
      <c r="G59" s="2881"/>
      <c r="H59" s="2880"/>
      <c r="I59" s="2881"/>
      <c r="J59" s="2880"/>
      <c r="K59" s="2880"/>
      <c r="L59" s="2881"/>
      <c r="M59" s="2880"/>
      <c r="N59" s="2880"/>
      <c r="O59" s="2881"/>
      <c r="P59" s="2880"/>
      <c r="Q59" s="2880"/>
      <c r="R59" s="2882"/>
    </row>
    <row r="60" s="2356" customFormat="1" spans="2:18">
      <c r="B60" s="2880"/>
      <c r="C60" s="2880"/>
      <c r="D60" s="2880"/>
      <c r="E60" s="2880"/>
      <c r="F60" s="2880"/>
      <c r="G60" s="2881"/>
      <c r="H60" s="2880"/>
      <c r="I60" s="2881"/>
      <c r="J60" s="2880"/>
      <c r="K60" s="2880"/>
      <c r="L60" s="2881"/>
      <c r="M60" s="2880"/>
      <c r="N60" s="2880"/>
      <c r="O60" s="2881"/>
      <c r="P60" s="2880"/>
      <c r="Q60" s="2880"/>
      <c r="R60" s="2882"/>
    </row>
    <row r="61" s="2356" customFormat="1" spans="2:18">
      <c r="B61" s="2880"/>
      <c r="C61" s="2880"/>
      <c r="D61" s="2880"/>
      <c r="E61" s="2880"/>
      <c r="F61" s="2880"/>
      <c r="G61" s="2881"/>
      <c r="H61" s="2880"/>
      <c r="I61" s="2881"/>
      <c r="J61" s="2880"/>
      <c r="K61" s="2880"/>
      <c r="L61" s="2881"/>
      <c r="M61" s="2880"/>
      <c r="N61" s="2880"/>
      <c r="O61" s="2881"/>
      <c r="P61" s="2880"/>
      <c r="Q61" s="2880"/>
      <c r="R61" s="2882"/>
    </row>
    <row r="62" s="2356" customFormat="1" spans="2:18">
      <c r="B62" s="2880"/>
      <c r="C62" s="2880"/>
      <c r="D62" s="2880"/>
      <c r="E62" s="2880"/>
      <c r="F62" s="2880"/>
      <c r="G62" s="2881"/>
      <c r="H62" s="2880"/>
      <c r="I62" s="2881"/>
      <c r="J62" s="2880"/>
      <c r="K62" s="2880"/>
      <c r="L62" s="2881"/>
      <c r="M62" s="2880"/>
      <c r="N62" s="2880"/>
      <c r="O62" s="2881"/>
      <c r="P62" s="2880"/>
      <c r="Q62" s="2880"/>
      <c r="R62" s="2882"/>
    </row>
    <row r="63" s="2356" customFormat="1" spans="2:18">
      <c r="B63" s="2880"/>
      <c r="C63" s="2880"/>
      <c r="D63" s="2880"/>
      <c r="E63" s="2880"/>
      <c r="F63" s="2880"/>
      <c r="G63" s="2881"/>
      <c r="H63" s="2880"/>
      <c r="I63" s="2881"/>
      <c r="J63" s="2880"/>
      <c r="K63" s="2880"/>
      <c r="L63" s="2881"/>
      <c r="M63" s="2880"/>
      <c r="N63" s="2880"/>
      <c r="O63" s="2881"/>
      <c r="P63" s="2880"/>
      <c r="Q63" s="2880"/>
      <c r="R63" s="2882"/>
    </row>
    <row r="64" s="2356" customFormat="1" spans="2:18">
      <c r="B64" s="2880"/>
      <c r="C64" s="2880"/>
      <c r="D64" s="2880"/>
      <c r="E64" s="2880"/>
      <c r="F64" s="2880"/>
      <c r="G64" s="2881"/>
      <c r="H64" s="2880"/>
      <c r="I64" s="2881"/>
      <c r="J64" s="2880"/>
      <c r="K64" s="2880"/>
      <c r="L64" s="2881"/>
      <c r="M64" s="2880"/>
      <c r="N64" s="2880"/>
      <c r="O64" s="2881"/>
      <c r="P64" s="2880"/>
      <c r="Q64" s="2880"/>
      <c r="R64" s="2882"/>
    </row>
    <row r="65" s="2356" customFormat="1" spans="2:18">
      <c r="B65" s="2880"/>
      <c r="C65" s="2880"/>
      <c r="D65" s="2880"/>
      <c r="E65" s="2880"/>
      <c r="F65" s="2880"/>
      <c r="G65" s="2881"/>
      <c r="H65" s="2880"/>
      <c r="I65" s="2881"/>
      <c r="J65" s="2880"/>
      <c r="K65" s="2880"/>
      <c r="L65" s="2881"/>
      <c r="M65" s="2880"/>
      <c r="N65" s="2880"/>
      <c r="O65" s="2881"/>
      <c r="P65" s="2880"/>
      <c r="Q65" s="2880"/>
      <c r="R65" s="2882"/>
    </row>
    <row r="66" s="2356" customFormat="1" spans="2:18">
      <c r="B66" s="2880"/>
      <c r="C66" s="2880"/>
      <c r="D66" s="2880"/>
      <c r="E66" s="2880"/>
      <c r="F66" s="2880"/>
      <c r="G66" s="2881"/>
      <c r="H66" s="2880"/>
      <c r="I66" s="2881"/>
      <c r="J66" s="2880"/>
      <c r="K66" s="2880"/>
      <c r="L66" s="2881"/>
      <c r="M66" s="2880"/>
      <c r="N66" s="2880"/>
      <c r="O66" s="2881"/>
      <c r="P66" s="2880"/>
      <c r="Q66" s="2880"/>
      <c r="R66" s="2882"/>
    </row>
    <row r="67" s="2356" customFormat="1" spans="2:18">
      <c r="B67" s="2880"/>
      <c r="C67" s="2880"/>
      <c r="D67" s="2880"/>
      <c r="E67" s="2880"/>
      <c r="F67" s="2880"/>
      <c r="G67" s="2881"/>
      <c r="H67" s="2880"/>
      <c r="I67" s="2881"/>
      <c r="J67" s="2880"/>
      <c r="K67" s="2880"/>
      <c r="L67" s="2881"/>
      <c r="M67" s="2880"/>
      <c r="N67" s="2880"/>
      <c r="O67" s="2881"/>
      <c r="P67" s="2880"/>
      <c r="Q67" s="2880"/>
      <c r="R67" s="2882"/>
    </row>
    <row r="68" s="2356" customFormat="1" spans="2:18">
      <c r="B68" s="2880"/>
      <c r="C68" s="2880"/>
      <c r="D68" s="2880"/>
      <c r="E68" s="2880"/>
      <c r="F68" s="2880"/>
      <c r="G68" s="2881"/>
      <c r="H68" s="2880"/>
      <c r="I68" s="2881"/>
      <c r="J68" s="2880"/>
      <c r="K68" s="2880"/>
      <c r="L68" s="2881"/>
      <c r="M68" s="2880"/>
      <c r="N68" s="2880"/>
      <c r="O68" s="2881"/>
      <c r="P68" s="2880"/>
      <c r="Q68" s="2880"/>
      <c r="R68" s="2882"/>
    </row>
    <row r="69" s="2356" customFormat="1" spans="2:18">
      <c r="B69" s="2880"/>
      <c r="C69" s="2880"/>
      <c r="D69" s="2880"/>
      <c r="E69" s="2880"/>
      <c r="F69" s="2880"/>
      <c r="G69" s="2881"/>
      <c r="H69" s="2880"/>
      <c r="I69" s="2881"/>
      <c r="J69" s="2880"/>
      <c r="K69" s="2880"/>
      <c r="L69" s="2881"/>
      <c r="M69" s="2880"/>
      <c r="N69" s="2880"/>
      <c r="O69" s="2881"/>
      <c r="P69" s="2880"/>
      <c r="Q69" s="2880"/>
      <c r="R69" s="2882"/>
    </row>
    <row r="70" s="2356" customFormat="1" spans="2:18">
      <c r="B70" s="2880"/>
      <c r="C70" s="2880"/>
      <c r="D70" s="2880"/>
      <c r="E70" s="2880"/>
      <c r="F70" s="2880"/>
      <c r="G70" s="2881"/>
      <c r="H70" s="2880"/>
      <c r="I70" s="2881"/>
      <c r="J70" s="2880"/>
      <c r="K70" s="2880"/>
      <c r="L70" s="2881"/>
      <c r="M70" s="2880"/>
      <c r="N70" s="2880"/>
      <c r="O70" s="2881"/>
      <c r="P70" s="2880"/>
      <c r="Q70" s="2880"/>
      <c r="R70" s="2882"/>
    </row>
    <row r="71" s="2356" customFormat="1" spans="2:18">
      <c r="B71" s="2880"/>
      <c r="C71" s="2880"/>
      <c r="D71" s="2880"/>
      <c r="E71" s="2880"/>
      <c r="F71" s="2880"/>
      <c r="G71" s="2881"/>
      <c r="H71" s="2880"/>
      <c r="I71" s="2881"/>
      <c r="J71" s="2880"/>
      <c r="K71" s="2880"/>
      <c r="L71" s="2881"/>
      <c r="M71" s="2880"/>
      <c r="N71" s="2880"/>
      <c r="O71" s="2881"/>
      <c r="P71" s="2880"/>
      <c r="Q71" s="2880"/>
      <c r="R71" s="2882"/>
    </row>
    <row r="72" s="2356" customFormat="1" spans="2:18">
      <c r="B72" s="2880"/>
      <c r="C72" s="2880"/>
      <c r="D72" s="2880"/>
      <c r="E72" s="2880"/>
      <c r="F72" s="2880"/>
      <c r="G72" s="2881"/>
      <c r="H72" s="2880"/>
      <c r="I72" s="2881"/>
      <c r="J72" s="2880"/>
      <c r="K72" s="2880"/>
      <c r="L72" s="2881"/>
      <c r="M72" s="2880"/>
      <c r="N72" s="2880"/>
      <c r="O72" s="2881"/>
      <c r="P72" s="2880"/>
      <c r="Q72" s="2880"/>
      <c r="R72" s="2882"/>
    </row>
    <row r="73" s="2356" customFormat="1" spans="2:18">
      <c r="B73" s="2880"/>
      <c r="C73" s="2880"/>
      <c r="D73" s="2880"/>
      <c r="E73" s="2880"/>
      <c r="F73" s="2880"/>
      <c r="G73" s="2881"/>
      <c r="H73" s="2880"/>
      <c r="I73" s="2881"/>
      <c r="J73" s="2880"/>
      <c r="K73" s="2880"/>
      <c r="L73" s="2881"/>
      <c r="M73" s="2880"/>
      <c r="N73" s="2880"/>
      <c r="O73" s="2881"/>
      <c r="P73" s="2880"/>
      <c r="Q73" s="2880"/>
      <c r="R73" s="2882"/>
    </row>
    <row r="74" s="2356" customFormat="1" spans="2:18">
      <c r="B74" s="2880"/>
      <c r="C74" s="2880"/>
      <c r="D74" s="2880"/>
      <c r="E74" s="2880"/>
      <c r="F74" s="2880"/>
      <c r="G74" s="2881"/>
      <c r="H74" s="2880"/>
      <c r="I74" s="2881"/>
      <c r="J74" s="2880"/>
      <c r="K74" s="2880"/>
      <c r="L74" s="2881"/>
      <c r="M74" s="2880"/>
      <c r="N74" s="2880"/>
      <c r="O74" s="2881"/>
      <c r="P74" s="2880"/>
      <c r="Q74" s="2880"/>
      <c r="R74" s="2882"/>
    </row>
    <row r="75" s="2356" customFormat="1" spans="2:18">
      <c r="B75" s="2880"/>
      <c r="C75" s="2880"/>
      <c r="D75" s="2880"/>
      <c r="E75" s="2880"/>
      <c r="F75" s="2880"/>
      <c r="G75" s="2881"/>
      <c r="H75" s="2880"/>
      <c r="I75" s="2881"/>
      <c r="J75" s="2880"/>
      <c r="K75" s="2880"/>
      <c r="L75" s="2881"/>
      <c r="M75" s="2880"/>
      <c r="N75" s="2880"/>
      <c r="O75" s="2881"/>
      <c r="P75" s="2880"/>
      <c r="Q75" s="2880"/>
      <c r="R75" s="2882"/>
    </row>
    <row r="76" s="2356" customFormat="1" spans="2:18">
      <c r="B76" s="2880"/>
      <c r="C76" s="2880"/>
      <c r="D76" s="2880"/>
      <c r="E76" s="2880"/>
      <c r="F76" s="2880"/>
      <c r="G76" s="2881"/>
      <c r="H76" s="2880"/>
      <c r="I76" s="2881"/>
      <c r="J76" s="2880"/>
      <c r="K76" s="2880"/>
      <c r="L76" s="2881"/>
      <c r="M76" s="2880"/>
      <c r="N76" s="2880"/>
      <c r="O76" s="2881"/>
      <c r="P76" s="2880"/>
      <c r="Q76" s="2880"/>
      <c r="R76" s="2882"/>
    </row>
    <row r="77" s="2356" customFormat="1" spans="2:18">
      <c r="B77" s="2880"/>
      <c r="C77" s="2880"/>
      <c r="D77" s="2880"/>
      <c r="E77" s="2880"/>
      <c r="F77" s="2880"/>
      <c r="G77" s="2881"/>
      <c r="H77" s="2880"/>
      <c r="I77" s="2881"/>
      <c r="J77" s="2880"/>
      <c r="K77" s="2880"/>
      <c r="L77" s="2881"/>
      <c r="M77" s="2880"/>
      <c r="N77" s="2880"/>
      <c r="O77" s="2881"/>
      <c r="P77" s="2880"/>
      <c r="Q77" s="2880"/>
      <c r="R77" s="2882"/>
    </row>
    <row r="78" s="2356" customFormat="1" spans="2:18">
      <c r="B78" s="2880"/>
      <c r="C78" s="2880"/>
      <c r="D78" s="2880"/>
      <c r="E78" s="2880"/>
      <c r="F78" s="2880"/>
      <c r="G78" s="2881"/>
      <c r="H78" s="2880"/>
      <c r="I78" s="2881"/>
      <c r="J78" s="2880"/>
      <c r="K78" s="2880"/>
      <c r="L78" s="2881"/>
      <c r="M78" s="2880"/>
      <c r="N78" s="2880"/>
      <c r="O78" s="2881"/>
      <c r="P78" s="2880"/>
      <c r="Q78" s="2880"/>
      <c r="R78" s="2882"/>
    </row>
    <row r="79" s="2356" customFormat="1" spans="2:18">
      <c r="B79" s="2880"/>
      <c r="C79" s="2880"/>
      <c r="D79" s="2880"/>
      <c r="E79" s="2880"/>
      <c r="F79" s="2880"/>
      <c r="G79" s="2881"/>
      <c r="H79" s="2880"/>
      <c r="I79" s="2881"/>
      <c r="J79" s="2880"/>
      <c r="K79" s="2880"/>
      <c r="L79" s="2881"/>
      <c r="M79" s="2880"/>
      <c r="N79" s="2880"/>
      <c r="O79" s="2881"/>
      <c r="P79" s="2880"/>
      <c r="Q79" s="2880"/>
      <c r="R79" s="2882"/>
    </row>
    <row r="80" s="2356" customFormat="1" spans="2:18">
      <c r="B80" s="2880"/>
      <c r="C80" s="2880"/>
      <c r="D80" s="2880"/>
      <c r="E80" s="2880"/>
      <c r="F80" s="2880"/>
      <c r="G80" s="2881"/>
      <c r="H80" s="2880"/>
      <c r="I80" s="2881"/>
      <c r="J80" s="2880"/>
      <c r="K80" s="2880"/>
      <c r="L80" s="2881"/>
      <c r="M80" s="2880"/>
      <c r="N80" s="2880"/>
      <c r="O80" s="2881"/>
      <c r="P80" s="2880"/>
      <c r="Q80" s="2880"/>
      <c r="R80" s="2882"/>
    </row>
    <row r="81" s="2356" customFormat="1" spans="2:18">
      <c r="B81" s="2880"/>
      <c r="C81" s="2880"/>
      <c r="D81" s="2880"/>
      <c r="E81" s="2880"/>
      <c r="F81" s="2880"/>
      <c r="G81" s="2881"/>
      <c r="H81" s="2880"/>
      <c r="I81" s="2881"/>
      <c r="J81" s="2880"/>
      <c r="K81" s="2880"/>
      <c r="L81" s="2881"/>
      <c r="M81" s="2880"/>
      <c r="N81" s="2880"/>
      <c r="O81" s="2881"/>
      <c r="P81" s="2880"/>
      <c r="Q81" s="2880"/>
      <c r="R81" s="2882"/>
    </row>
    <row r="82" s="2356" customFormat="1" spans="2:18">
      <c r="B82" s="2880"/>
      <c r="C82" s="2880"/>
      <c r="D82" s="2880"/>
      <c r="E82" s="2880"/>
      <c r="F82" s="2880"/>
      <c r="G82" s="2881"/>
      <c r="H82" s="2880"/>
      <c r="I82" s="2881"/>
      <c r="J82" s="2880"/>
      <c r="K82" s="2880"/>
      <c r="L82" s="2881"/>
      <c r="M82" s="2880"/>
      <c r="N82" s="2880"/>
      <c r="O82" s="2881"/>
      <c r="P82" s="2880"/>
      <c r="Q82" s="2880"/>
      <c r="R82" s="2882"/>
    </row>
    <row r="83" s="2356" customFormat="1" spans="2:18">
      <c r="B83" s="2880"/>
      <c r="C83" s="2880"/>
      <c r="D83" s="2880"/>
      <c r="E83" s="2880"/>
      <c r="F83" s="2880"/>
      <c r="G83" s="2881"/>
      <c r="H83" s="2880"/>
      <c r="I83" s="2881"/>
      <c r="J83" s="2880"/>
      <c r="K83" s="2880"/>
      <c r="L83" s="2881"/>
      <c r="M83" s="2880"/>
      <c r="N83" s="2880"/>
      <c r="O83" s="2881"/>
      <c r="P83" s="2880"/>
      <c r="Q83" s="2880"/>
      <c r="R83" s="2882"/>
    </row>
    <row r="84" s="2356" customFormat="1" spans="2:18">
      <c r="B84" s="2880"/>
      <c r="C84" s="2880"/>
      <c r="D84" s="2880"/>
      <c r="E84" s="2880"/>
      <c r="F84" s="2880"/>
      <c r="G84" s="2881"/>
      <c r="H84" s="2880"/>
      <c r="I84" s="2881"/>
      <c r="J84" s="2880"/>
      <c r="K84" s="2880"/>
      <c r="L84" s="2881"/>
      <c r="M84" s="2880"/>
      <c r="N84" s="2880"/>
      <c r="O84" s="2881"/>
      <c r="P84" s="2880"/>
      <c r="Q84" s="2880"/>
      <c r="R84" s="2882"/>
    </row>
    <row r="85" s="2356" customFormat="1" spans="2:18">
      <c r="B85" s="2880"/>
      <c r="C85" s="2880"/>
      <c r="D85" s="2880"/>
      <c r="E85" s="2880"/>
      <c r="F85" s="2880"/>
      <c r="G85" s="2881"/>
      <c r="H85" s="2880"/>
      <c r="I85" s="2881"/>
      <c r="J85" s="2880"/>
      <c r="K85" s="2880"/>
      <c r="L85" s="2881"/>
      <c r="M85" s="2880"/>
      <c r="N85" s="2880"/>
      <c r="O85" s="2881"/>
      <c r="P85" s="2880"/>
      <c r="Q85" s="2880"/>
      <c r="R85" s="2882"/>
    </row>
    <row r="86" s="2356" customFormat="1" spans="2:18">
      <c r="B86" s="2880"/>
      <c r="C86" s="2880"/>
      <c r="D86" s="2880"/>
      <c r="E86" s="2880"/>
      <c r="F86" s="2880"/>
      <c r="G86" s="2881"/>
      <c r="H86" s="2880"/>
      <c r="I86" s="2881"/>
      <c r="J86" s="2880"/>
      <c r="K86" s="2880"/>
      <c r="L86" s="2881"/>
      <c r="M86" s="2880"/>
      <c r="N86" s="2880"/>
      <c r="O86" s="2881"/>
      <c r="P86" s="2880"/>
      <c r="Q86" s="2880"/>
      <c r="R86" s="2882"/>
    </row>
    <row r="87" s="2356" customFormat="1" spans="2:18">
      <c r="B87" s="2880"/>
      <c r="C87" s="2880"/>
      <c r="D87" s="2880"/>
      <c r="E87" s="2880"/>
      <c r="F87" s="2880"/>
      <c r="G87" s="2881"/>
      <c r="H87" s="2880"/>
      <c r="I87" s="2881"/>
      <c r="J87" s="2880"/>
      <c r="K87" s="2880"/>
      <c r="L87" s="2881"/>
      <c r="M87" s="2880"/>
      <c r="N87" s="2880"/>
      <c r="O87" s="2881"/>
      <c r="P87" s="2880"/>
      <c r="Q87" s="2880"/>
      <c r="R87" s="2882"/>
    </row>
    <row r="88" s="2356" customFormat="1" spans="2:18">
      <c r="B88" s="2880"/>
      <c r="C88" s="2880"/>
      <c r="D88" s="2880"/>
      <c r="E88" s="2880"/>
      <c r="F88" s="2880"/>
      <c r="G88" s="2881"/>
      <c r="H88" s="2880"/>
      <c r="I88" s="2881"/>
      <c r="J88" s="2880"/>
      <c r="K88" s="2880"/>
      <c r="L88" s="2881"/>
      <c r="M88" s="2880"/>
      <c r="N88" s="2880"/>
      <c r="O88" s="2881"/>
      <c r="P88" s="2880"/>
      <c r="Q88" s="2880"/>
      <c r="R88" s="2882"/>
    </row>
    <row r="89" s="2356" customFormat="1" spans="2:18">
      <c r="B89" s="2880"/>
      <c r="C89" s="2880"/>
      <c r="D89" s="2880"/>
      <c r="E89" s="2880"/>
      <c r="F89" s="2880"/>
      <c r="G89" s="2881"/>
      <c r="H89" s="2880"/>
      <c r="I89" s="2881"/>
      <c r="J89" s="2880"/>
      <c r="K89" s="2880"/>
      <c r="L89" s="2881"/>
      <c r="M89" s="2880"/>
      <c r="N89" s="2880"/>
      <c r="O89" s="2881"/>
      <c r="P89" s="2880"/>
      <c r="Q89" s="2880"/>
      <c r="R89" s="2882"/>
    </row>
    <row r="90" s="2356" customFormat="1" spans="2:18">
      <c r="B90" s="2880"/>
      <c r="C90" s="2880"/>
      <c r="D90" s="2880"/>
      <c r="E90" s="2880"/>
      <c r="F90" s="2880"/>
      <c r="G90" s="2881"/>
      <c r="H90" s="2880"/>
      <c r="I90" s="2881"/>
      <c r="J90" s="2880"/>
      <c r="K90" s="2880"/>
      <c r="L90" s="2881"/>
      <c r="M90" s="2880"/>
      <c r="N90" s="2880"/>
      <c r="O90" s="2881"/>
      <c r="P90" s="2880"/>
      <c r="Q90" s="2880"/>
      <c r="R90" s="2882"/>
    </row>
    <row r="91" s="2356" customFormat="1" spans="2:18">
      <c r="B91" s="2880"/>
      <c r="C91" s="2880"/>
      <c r="D91" s="2880"/>
      <c r="E91" s="2880"/>
      <c r="F91" s="2880"/>
      <c r="G91" s="2881"/>
      <c r="H91" s="2880"/>
      <c r="I91" s="2881"/>
      <c r="J91" s="2880"/>
      <c r="K91" s="2880"/>
      <c r="L91" s="2881"/>
      <c r="M91" s="2880"/>
      <c r="N91" s="2880"/>
      <c r="O91" s="2881"/>
      <c r="P91" s="2880"/>
      <c r="Q91" s="2880"/>
      <c r="R91" s="2882"/>
    </row>
    <row r="92" s="2356" customFormat="1" spans="2:18">
      <c r="B92" s="2880"/>
      <c r="C92" s="2880"/>
      <c r="D92" s="2880"/>
      <c r="E92" s="2880"/>
      <c r="F92" s="2880"/>
      <c r="G92" s="2881"/>
      <c r="H92" s="2880"/>
      <c r="I92" s="2881"/>
      <c r="J92" s="2880"/>
      <c r="K92" s="2880"/>
      <c r="L92" s="2881"/>
      <c r="M92" s="2880"/>
      <c r="N92" s="2880"/>
      <c r="O92" s="2881"/>
      <c r="P92" s="2880"/>
      <c r="Q92" s="2880"/>
      <c r="R92" s="2882"/>
    </row>
    <row r="93" s="2356" customFormat="1" spans="2:18">
      <c r="B93" s="2880"/>
      <c r="C93" s="2880"/>
      <c r="D93" s="2880"/>
      <c r="E93" s="2880"/>
      <c r="F93" s="2880"/>
      <c r="G93" s="2881"/>
      <c r="H93" s="2880"/>
      <c r="I93" s="2881"/>
      <c r="J93" s="2880"/>
      <c r="K93" s="2880"/>
      <c r="L93" s="2881"/>
      <c r="M93" s="2880"/>
      <c r="N93" s="2880"/>
      <c r="O93" s="2881"/>
      <c r="P93" s="2880"/>
      <c r="Q93" s="2880"/>
      <c r="R93" s="2882"/>
    </row>
    <row r="94" s="2356" customFormat="1" spans="2:18">
      <c r="B94" s="2880"/>
      <c r="C94" s="2880"/>
      <c r="D94" s="2880"/>
      <c r="E94" s="2880"/>
      <c r="F94" s="2880"/>
      <c r="G94" s="2881"/>
      <c r="H94" s="2880"/>
      <c r="I94" s="2881"/>
      <c r="J94" s="2880"/>
      <c r="K94" s="2880"/>
      <c r="L94" s="2881"/>
      <c r="M94" s="2880"/>
      <c r="N94" s="2880"/>
      <c r="O94" s="2881"/>
      <c r="P94" s="2880"/>
      <c r="Q94" s="2880"/>
      <c r="R94" s="2882"/>
    </row>
    <row r="95" s="2356" customFormat="1" spans="2:18">
      <c r="B95" s="2880"/>
      <c r="C95" s="2880"/>
      <c r="D95" s="2880"/>
      <c r="E95" s="2880"/>
      <c r="F95" s="2880"/>
      <c r="G95" s="2881"/>
      <c r="H95" s="2880"/>
      <c r="I95" s="2881"/>
      <c r="J95" s="2880"/>
      <c r="K95" s="2880"/>
      <c r="L95" s="2881"/>
      <c r="M95" s="2880"/>
      <c r="N95" s="2880"/>
      <c r="O95" s="2881"/>
      <c r="P95" s="2880"/>
      <c r="Q95" s="2880"/>
      <c r="R95" s="2882"/>
    </row>
    <row r="96" s="2356" customFormat="1" spans="2:18">
      <c r="B96" s="2880"/>
      <c r="C96" s="2880"/>
      <c r="D96" s="2880"/>
      <c r="E96" s="2880"/>
      <c r="F96" s="2880"/>
      <c r="G96" s="2881"/>
      <c r="H96" s="2880"/>
      <c r="I96" s="2881"/>
      <c r="J96" s="2880"/>
      <c r="K96" s="2880"/>
      <c r="L96" s="2881"/>
      <c r="M96" s="2880"/>
      <c r="N96" s="2880"/>
      <c r="O96" s="2881"/>
      <c r="P96" s="2880"/>
      <c r="Q96" s="2880"/>
      <c r="R96" s="2882"/>
    </row>
    <row r="97" s="2356" customFormat="1" spans="2:18">
      <c r="B97" s="2880"/>
      <c r="C97" s="2880"/>
      <c r="D97" s="2880"/>
      <c r="E97" s="2880"/>
      <c r="F97" s="2880"/>
      <c r="G97" s="2881"/>
      <c r="H97" s="2880"/>
      <c r="I97" s="2881"/>
      <c r="J97" s="2880"/>
      <c r="K97" s="2880"/>
      <c r="L97" s="2881"/>
      <c r="M97" s="2880"/>
      <c r="N97" s="2880"/>
      <c r="O97" s="2881"/>
      <c r="P97" s="2880"/>
      <c r="Q97" s="2880"/>
      <c r="R97" s="2882"/>
    </row>
    <row r="98" s="2356" customFormat="1" spans="2:18">
      <c r="B98" s="2880"/>
      <c r="C98" s="2880"/>
      <c r="D98" s="2880"/>
      <c r="E98" s="2880"/>
      <c r="F98" s="2880"/>
      <c r="G98" s="2881"/>
      <c r="H98" s="2880"/>
      <c r="I98" s="2881"/>
      <c r="J98" s="2880"/>
      <c r="K98" s="2880"/>
      <c r="L98" s="2881"/>
      <c r="M98" s="2880"/>
      <c r="N98" s="2880"/>
      <c r="O98" s="2881"/>
      <c r="P98" s="2880"/>
      <c r="Q98" s="2880"/>
      <c r="R98" s="2882"/>
    </row>
    <row r="99" s="2356" customFormat="1" spans="2:18">
      <c r="B99" s="2880"/>
      <c r="C99" s="2880"/>
      <c r="D99" s="2880"/>
      <c r="E99" s="2880"/>
      <c r="F99" s="2880"/>
      <c r="G99" s="2881"/>
      <c r="H99" s="2880"/>
      <c r="I99" s="2881"/>
      <c r="J99" s="2880"/>
      <c r="K99" s="2880"/>
      <c r="L99" s="2881"/>
      <c r="M99" s="2880"/>
      <c r="N99" s="2880"/>
      <c r="O99" s="2881"/>
      <c r="P99" s="2880"/>
      <c r="Q99" s="2880"/>
      <c r="R99" s="2882"/>
    </row>
    <row r="100" s="2356" customFormat="1" spans="2:18">
      <c r="B100" s="2880"/>
      <c r="C100" s="2880"/>
      <c r="D100" s="2880"/>
      <c r="E100" s="2880"/>
      <c r="F100" s="2880"/>
      <c r="G100" s="2881"/>
      <c r="H100" s="2880"/>
      <c r="I100" s="2881"/>
      <c r="J100" s="2880"/>
      <c r="K100" s="2880"/>
      <c r="L100" s="2881"/>
      <c r="M100" s="2880"/>
      <c r="N100" s="2880"/>
      <c r="O100" s="2881"/>
      <c r="P100" s="2880"/>
      <c r="Q100" s="2880"/>
      <c r="R100" s="2882"/>
    </row>
    <row r="101" s="2356" customFormat="1" spans="2:18">
      <c r="B101" s="2880"/>
      <c r="C101" s="2880"/>
      <c r="D101" s="2880"/>
      <c r="E101" s="2880"/>
      <c r="F101" s="2880"/>
      <c r="G101" s="2881"/>
      <c r="H101" s="2880"/>
      <c r="I101" s="2881"/>
      <c r="J101" s="2880"/>
      <c r="K101" s="2880"/>
      <c r="L101" s="2881"/>
      <c r="M101" s="2880"/>
      <c r="N101" s="2880"/>
      <c r="O101" s="2881"/>
      <c r="P101" s="2880"/>
      <c r="Q101" s="2880"/>
      <c r="R101" s="2882"/>
    </row>
    <row r="102" s="2356" customFormat="1" spans="2:18">
      <c r="B102" s="2880"/>
      <c r="C102" s="2880"/>
      <c r="D102" s="2880"/>
      <c r="E102" s="2880"/>
      <c r="F102" s="2880"/>
      <c r="G102" s="2881"/>
      <c r="H102" s="2880"/>
      <c r="I102" s="2881"/>
      <c r="J102" s="2880"/>
      <c r="K102" s="2880"/>
      <c r="L102" s="2881"/>
      <c r="M102" s="2880"/>
      <c r="N102" s="2880"/>
      <c r="O102" s="2881"/>
      <c r="P102" s="2880"/>
      <c r="Q102" s="2880"/>
      <c r="R102" s="2882"/>
    </row>
    <row r="103" s="2356" customFormat="1" spans="2:18">
      <c r="B103" s="2880"/>
      <c r="C103" s="2880"/>
      <c r="D103" s="2880"/>
      <c r="E103" s="2880"/>
      <c r="F103" s="2880"/>
      <c r="G103" s="2881"/>
      <c r="H103" s="2880"/>
      <c r="I103" s="2881"/>
      <c r="J103" s="2880"/>
      <c r="K103" s="2880"/>
      <c r="L103" s="2881"/>
      <c r="M103" s="2880"/>
      <c r="N103" s="2880"/>
      <c r="O103" s="2881"/>
      <c r="P103" s="2880"/>
      <c r="Q103" s="2880"/>
      <c r="R103" s="2882"/>
    </row>
    <row r="104" s="2356" customFormat="1" spans="2:18">
      <c r="B104" s="2880"/>
      <c r="C104" s="2880"/>
      <c r="D104" s="2880"/>
      <c r="E104" s="2880"/>
      <c r="F104" s="2880"/>
      <c r="G104" s="2881"/>
      <c r="H104" s="2880"/>
      <c r="I104" s="2881"/>
      <c r="J104" s="2880"/>
      <c r="K104" s="2880"/>
      <c r="L104" s="2881"/>
      <c r="M104" s="2880"/>
      <c r="N104" s="2880"/>
      <c r="O104" s="2881"/>
      <c r="P104" s="2880"/>
      <c r="Q104" s="2880"/>
      <c r="R104" s="2882"/>
    </row>
    <row r="105" s="2356" customFormat="1" spans="2:18">
      <c r="B105" s="2880"/>
      <c r="C105" s="2880"/>
      <c r="D105" s="2880"/>
      <c r="E105" s="2880"/>
      <c r="F105" s="2880"/>
      <c r="G105" s="2881"/>
      <c r="H105" s="2880"/>
      <c r="I105" s="2881"/>
      <c r="J105" s="2880"/>
      <c r="K105" s="2880"/>
      <c r="L105" s="2881"/>
      <c r="M105" s="2880"/>
      <c r="N105" s="2880"/>
      <c r="O105" s="2881"/>
      <c r="P105" s="2880"/>
      <c r="Q105" s="2880"/>
      <c r="R105" s="2882"/>
    </row>
    <row r="106" s="2356" customFormat="1" spans="2:18">
      <c r="B106" s="2880"/>
      <c r="C106" s="2880"/>
      <c r="D106" s="2880"/>
      <c r="E106" s="2880"/>
      <c r="F106" s="2880"/>
      <c r="G106" s="2881"/>
      <c r="H106" s="2880"/>
      <c r="I106" s="2881"/>
      <c r="J106" s="2880"/>
      <c r="K106" s="2880"/>
      <c r="L106" s="2881"/>
      <c r="M106" s="2880"/>
      <c r="N106" s="2880"/>
      <c r="O106" s="2881"/>
      <c r="P106" s="2880"/>
      <c r="Q106" s="2880"/>
      <c r="R106" s="2882"/>
    </row>
    <row r="107" s="2356" customFormat="1" spans="2:18">
      <c r="B107" s="2880"/>
      <c r="C107" s="2880"/>
      <c r="D107" s="2880"/>
      <c r="E107" s="2880"/>
      <c r="F107" s="2880"/>
      <c r="G107" s="2881"/>
      <c r="H107" s="2880"/>
      <c r="I107" s="2881"/>
      <c r="J107" s="2880"/>
      <c r="K107" s="2880"/>
      <c r="L107" s="2881"/>
      <c r="M107" s="2880"/>
      <c r="N107" s="2880"/>
      <c r="O107" s="2881"/>
      <c r="P107" s="2880"/>
      <c r="Q107" s="2880"/>
      <c r="R107" s="2882"/>
    </row>
    <row r="108" s="2356" customFormat="1" spans="2:18">
      <c r="B108" s="2880"/>
      <c r="C108" s="2880"/>
      <c r="D108" s="2880"/>
      <c r="E108" s="2880"/>
      <c r="F108" s="2880"/>
      <c r="G108" s="2881"/>
      <c r="H108" s="2880"/>
      <c r="I108" s="2881"/>
      <c r="J108" s="2880"/>
      <c r="K108" s="2880"/>
      <c r="L108" s="2881"/>
      <c r="M108" s="2880"/>
      <c r="N108" s="2880"/>
      <c r="O108" s="2881"/>
      <c r="P108" s="2880"/>
      <c r="Q108" s="2880"/>
      <c r="R108" s="2882"/>
    </row>
    <row r="109" s="2356" customFormat="1" spans="2:18">
      <c r="B109" s="2880"/>
      <c r="C109" s="2880"/>
      <c r="D109" s="2880"/>
      <c r="E109" s="2880"/>
      <c r="F109" s="2880"/>
      <c r="G109" s="2881"/>
      <c r="H109" s="2880"/>
      <c r="I109" s="2881"/>
      <c r="J109" s="2880"/>
      <c r="K109" s="2880"/>
      <c r="L109" s="2881"/>
      <c r="M109" s="2880"/>
      <c r="N109" s="2880"/>
      <c r="O109" s="2881"/>
      <c r="P109" s="2880"/>
      <c r="Q109" s="2880"/>
      <c r="R109" s="2882"/>
    </row>
    <row r="110" s="2356" customFormat="1" spans="2:18">
      <c r="B110" s="2880"/>
      <c r="C110" s="2880"/>
      <c r="D110" s="2880"/>
      <c r="E110" s="2880"/>
      <c r="F110" s="2880"/>
      <c r="G110" s="2881"/>
      <c r="H110" s="2880"/>
      <c r="I110" s="2881"/>
      <c r="J110" s="2880"/>
      <c r="K110" s="2880"/>
      <c r="L110" s="2881"/>
      <c r="M110" s="2880"/>
      <c r="N110" s="2880"/>
      <c r="O110" s="2881"/>
      <c r="P110" s="2880"/>
      <c r="Q110" s="2880"/>
      <c r="R110" s="2882"/>
    </row>
    <row r="111" s="2356" customFormat="1" spans="2:18">
      <c r="B111" s="2880"/>
      <c r="C111" s="2880"/>
      <c r="D111" s="2880"/>
      <c r="E111" s="2880"/>
      <c r="F111" s="2880"/>
      <c r="G111" s="2881"/>
      <c r="H111" s="2880"/>
      <c r="I111" s="2881"/>
      <c r="J111" s="2880"/>
      <c r="K111" s="2880"/>
      <c r="L111" s="2881"/>
      <c r="M111" s="2880"/>
      <c r="N111" s="2880"/>
      <c r="O111" s="2881"/>
      <c r="P111" s="2880"/>
      <c r="Q111" s="2880"/>
      <c r="R111" s="2882"/>
    </row>
    <row r="112" s="2356" customFormat="1" spans="2:18">
      <c r="B112" s="2880"/>
      <c r="C112" s="2880"/>
      <c r="D112" s="2880"/>
      <c r="E112" s="2880"/>
      <c r="F112" s="2880"/>
      <c r="G112" s="2881"/>
      <c r="H112" s="2880"/>
      <c r="I112" s="2881"/>
      <c r="J112" s="2880"/>
      <c r="K112" s="2880"/>
      <c r="L112" s="2881"/>
      <c r="M112" s="2880"/>
      <c r="N112" s="2880"/>
      <c r="O112" s="2881"/>
      <c r="P112" s="2880"/>
      <c r="Q112" s="2880"/>
      <c r="R112" s="2882"/>
    </row>
    <row r="113" s="2356" customFormat="1" spans="2:18">
      <c r="B113" s="2880"/>
      <c r="C113" s="2880"/>
      <c r="D113" s="2880"/>
      <c r="E113" s="2880"/>
      <c r="F113" s="2880"/>
      <c r="G113" s="2881"/>
      <c r="H113" s="2880"/>
      <c r="I113" s="2881"/>
      <c r="J113" s="2880"/>
      <c r="K113" s="2880"/>
      <c r="L113" s="2881"/>
      <c r="M113" s="2880"/>
      <c r="N113" s="2880"/>
      <c r="O113" s="2881"/>
      <c r="P113" s="2880"/>
      <c r="Q113" s="2880"/>
      <c r="R113" s="2882"/>
    </row>
    <row r="114" s="2356" customFormat="1" spans="2:18">
      <c r="B114" s="2880"/>
      <c r="C114" s="2880"/>
      <c r="D114" s="2880"/>
      <c r="E114" s="2880"/>
      <c r="F114" s="2880"/>
      <c r="G114" s="2881"/>
      <c r="H114" s="2880"/>
      <c r="I114" s="2881"/>
      <c r="J114" s="2880"/>
      <c r="K114" s="2880"/>
      <c r="L114" s="2881"/>
      <c r="M114" s="2880"/>
      <c r="N114" s="2880"/>
      <c r="O114" s="2881"/>
      <c r="P114" s="2880"/>
      <c r="Q114" s="2880"/>
      <c r="R114" s="2882"/>
    </row>
    <row r="115" s="2356" customFormat="1" spans="2:18">
      <c r="B115" s="2880"/>
      <c r="C115" s="2880"/>
      <c r="D115" s="2880"/>
      <c r="E115" s="2880"/>
      <c r="F115" s="2880"/>
      <c r="G115" s="2881"/>
      <c r="H115" s="2880"/>
      <c r="I115" s="2881"/>
      <c r="J115" s="2880"/>
      <c r="K115" s="2880"/>
      <c r="L115" s="2881"/>
      <c r="M115" s="2880"/>
      <c r="N115" s="2880"/>
      <c r="O115" s="2881"/>
      <c r="P115" s="2880"/>
      <c r="Q115" s="2880"/>
      <c r="R115" s="2882"/>
    </row>
    <row r="116" s="2356" customFormat="1" spans="2:18">
      <c r="B116" s="2880"/>
      <c r="C116" s="2880"/>
      <c r="D116" s="2880"/>
      <c r="E116" s="2880"/>
      <c r="F116" s="2880"/>
      <c r="G116" s="2881"/>
      <c r="H116" s="2880"/>
      <c r="I116" s="2881"/>
      <c r="J116" s="2880"/>
      <c r="K116" s="2880"/>
      <c r="L116" s="2881"/>
      <c r="M116" s="2880"/>
      <c r="N116" s="2880"/>
      <c r="O116" s="2881"/>
      <c r="P116" s="2880"/>
      <c r="Q116" s="2880"/>
      <c r="R116" s="2882"/>
    </row>
    <row r="117" s="2356" customFormat="1" spans="2:18">
      <c r="B117" s="2880"/>
      <c r="C117" s="2880"/>
      <c r="D117" s="2880"/>
      <c r="E117" s="2880"/>
      <c r="F117" s="2880"/>
      <c r="G117" s="2881"/>
      <c r="H117" s="2880"/>
      <c r="I117" s="2881"/>
      <c r="J117" s="2880"/>
      <c r="K117" s="2880"/>
      <c r="L117" s="2881"/>
      <c r="M117" s="2880"/>
      <c r="N117" s="2880"/>
      <c r="O117" s="2881"/>
      <c r="P117" s="2880"/>
      <c r="Q117" s="2880"/>
      <c r="R117" s="2882"/>
    </row>
    <row r="118" s="2356" customFormat="1" spans="2:18">
      <c r="B118" s="2880"/>
      <c r="C118" s="2880"/>
      <c r="D118" s="2880"/>
      <c r="E118" s="2880"/>
      <c r="F118" s="2880"/>
      <c r="G118" s="2881"/>
      <c r="H118" s="2880"/>
      <c r="I118" s="2881"/>
      <c r="J118" s="2880"/>
      <c r="K118" s="2880"/>
      <c r="L118" s="2881"/>
      <c r="M118" s="2880"/>
      <c r="N118" s="2880"/>
      <c r="O118" s="2881"/>
      <c r="P118" s="2880"/>
      <c r="Q118" s="2880"/>
      <c r="R118" s="2882"/>
    </row>
    <row r="119" s="2356" customFormat="1" spans="2:18">
      <c r="B119" s="2880"/>
      <c r="C119" s="2880"/>
      <c r="D119" s="2880"/>
      <c r="E119" s="2880"/>
      <c r="F119" s="2880"/>
      <c r="G119" s="2881"/>
      <c r="H119" s="2880"/>
      <c r="I119" s="2881"/>
      <c r="J119" s="2880"/>
      <c r="K119" s="2880"/>
      <c r="L119" s="2881"/>
      <c r="M119" s="2880"/>
      <c r="N119" s="2880"/>
      <c r="O119" s="2881"/>
      <c r="P119" s="2880"/>
      <c r="Q119" s="2880"/>
      <c r="R119" s="2882"/>
    </row>
    <row r="120" s="2356" customFormat="1" spans="2:18">
      <c r="B120" s="2880"/>
      <c r="C120" s="2880"/>
      <c r="D120" s="2880"/>
      <c r="E120" s="2880"/>
      <c r="F120" s="2880"/>
      <c r="G120" s="2881"/>
      <c r="H120" s="2880"/>
      <c r="I120" s="2881"/>
      <c r="J120" s="2880"/>
      <c r="K120" s="2880"/>
      <c r="L120" s="2881"/>
      <c r="M120" s="2880"/>
      <c r="N120" s="2880"/>
      <c r="O120" s="2881"/>
      <c r="P120" s="2880"/>
      <c r="Q120" s="2880"/>
      <c r="R120" s="2882"/>
    </row>
    <row r="121" s="2356" customFormat="1" spans="2:18">
      <c r="B121" s="2880"/>
      <c r="C121" s="2880"/>
      <c r="D121" s="2880"/>
      <c r="E121" s="2880"/>
      <c r="F121" s="2880"/>
      <c r="G121" s="2881"/>
      <c r="H121" s="2880"/>
      <c r="I121" s="2881"/>
      <c r="J121" s="2880"/>
      <c r="K121" s="2880"/>
      <c r="L121" s="2881"/>
      <c r="M121" s="2880"/>
      <c r="N121" s="2880"/>
      <c r="O121" s="2881"/>
      <c r="P121" s="2880"/>
      <c r="Q121" s="2880"/>
      <c r="R121" s="2882"/>
    </row>
    <row r="122" s="2356" customFormat="1" spans="2:18">
      <c r="B122" s="2880"/>
      <c r="C122" s="2880"/>
      <c r="D122" s="2880"/>
      <c r="E122" s="2880"/>
      <c r="F122" s="2880"/>
      <c r="G122" s="2881"/>
      <c r="H122" s="2880"/>
      <c r="I122" s="2881"/>
      <c r="J122" s="2880"/>
      <c r="K122" s="2880"/>
      <c r="L122" s="2881"/>
      <c r="M122" s="2880"/>
      <c r="N122" s="2880"/>
      <c r="O122" s="2881"/>
      <c r="P122" s="2880"/>
      <c r="Q122" s="2880"/>
      <c r="R122" s="2882"/>
    </row>
    <row r="123" s="2356" customFormat="1" spans="2:18">
      <c r="B123" s="2880"/>
      <c r="C123" s="2880"/>
      <c r="D123" s="2880"/>
      <c r="E123" s="2880"/>
      <c r="F123" s="2880"/>
      <c r="G123" s="2881"/>
      <c r="H123" s="2880"/>
      <c r="I123" s="2881"/>
      <c r="J123" s="2880"/>
      <c r="K123" s="2880"/>
      <c r="L123" s="2881"/>
      <c r="M123" s="2880"/>
      <c r="N123" s="2880"/>
      <c r="O123" s="2881"/>
      <c r="P123" s="2880"/>
      <c r="Q123" s="2880"/>
      <c r="R123" s="2882"/>
    </row>
    <row r="124" s="2356" customFormat="1" spans="2:18">
      <c r="B124" s="2880"/>
      <c r="C124" s="2880"/>
      <c r="D124" s="2880"/>
      <c r="E124" s="2880"/>
      <c r="F124" s="2880"/>
      <c r="G124" s="2881"/>
      <c r="H124" s="2880"/>
      <c r="I124" s="2881"/>
      <c r="J124" s="2880"/>
      <c r="K124" s="2880"/>
      <c r="L124" s="2881"/>
      <c r="M124" s="2880"/>
      <c r="N124" s="2880"/>
      <c r="O124" s="2881"/>
      <c r="P124" s="2880"/>
      <c r="Q124" s="2880"/>
      <c r="R124" s="2882"/>
    </row>
    <row r="125" s="2356" customFormat="1" spans="2:18">
      <c r="B125" s="2880"/>
      <c r="C125" s="2880"/>
      <c r="D125" s="2880"/>
      <c r="E125" s="2880"/>
      <c r="F125" s="2880"/>
      <c r="G125" s="2881"/>
      <c r="H125" s="2880"/>
      <c r="I125" s="2881"/>
      <c r="J125" s="2880"/>
      <c r="K125" s="2880"/>
      <c r="L125" s="2881"/>
      <c r="M125" s="2880"/>
      <c r="N125" s="2880"/>
      <c r="O125" s="2881"/>
      <c r="P125" s="2880"/>
      <c r="Q125" s="2880"/>
      <c r="R125" s="2882"/>
    </row>
    <row r="126" s="2356" customFormat="1" spans="2:18">
      <c r="B126" s="2880"/>
      <c r="C126" s="2880"/>
      <c r="D126" s="2880"/>
      <c r="E126" s="2880"/>
      <c r="F126" s="2880"/>
      <c r="G126" s="2881"/>
      <c r="H126" s="2880"/>
      <c r="I126" s="2881"/>
      <c r="J126" s="2880"/>
      <c r="K126" s="2880"/>
      <c r="L126" s="2881"/>
      <c r="M126" s="2880"/>
      <c r="N126" s="2880"/>
      <c r="O126" s="2881"/>
      <c r="P126" s="2880"/>
      <c r="Q126" s="2880"/>
      <c r="R126" s="2882"/>
    </row>
    <row r="127" s="2356" customFormat="1" spans="2:18">
      <c r="B127" s="2880"/>
      <c r="C127" s="2880"/>
      <c r="D127" s="2880"/>
      <c r="E127" s="2880"/>
      <c r="F127" s="2880"/>
      <c r="G127" s="2881"/>
      <c r="H127" s="2880"/>
      <c r="I127" s="2881"/>
      <c r="J127" s="2880"/>
      <c r="K127" s="2880"/>
      <c r="L127" s="2881"/>
      <c r="M127" s="2880"/>
      <c r="N127" s="2880"/>
      <c r="O127" s="2881"/>
      <c r="P127" s="2880"/>
      <c r="Q127" s="2880"/>
      <c r="R127" s="2882"/>
    </row>
    <row r="128" s="2356" customFormat="1" spans="2:18">
      <c r="B128" s="2880"/>
      <c r="C128" s="2880"/>
      <c r="D128" s="2880"/>
      <c r="E128" s="2880"/>
      <c r="F128" s="2880"/>
      <c r="G128" s="2881"/>
      <c r="H128" s="2880"/>
      <c r="I128" s="2881"/>
      <c r="J128" s="2880"/>
      <c r="K128" s="2880"/>
      <c r="L128" s="2881"/>
      <c r="M128" s="2880"/>
      <c r="N128" s="2880"/>
      <c r="O128" s="2881"/>
      <c r="P128" s="2880"/>
      <c r="Q128" s="2880"/>
      <c r="R128" s="2882"/>
    </row>
    <row r="129" s="2356" customFormat="1" spans="2:18">
      <c r="B129" s="2880"/>
      <c r="C129" s="2880"/>
      <c r="D129" s="2880"/>
      <c r="E129" s="2880"/>
      <c r="F129" s="2880"/>
      <c r="G129" s="2881"/>
      <c r="H129" s="2880"/>
      <c r="I129" s="2881"/>
      <c r="J129" s="2880"/>
      <c r="K129" s="2880"/>
      <c r="L129" s="2881"/>
      <c r="M129" s="2880"/>
      <c r="N129" s="2880"/>
      <c r="O129" s="2881"/>
      <c r="P129" s="2880"/>
      <c r="Q129" s="2880"/>
      <c r="R129" s="2882"/>
    </row>
    <row r="130" s="2356" customFormat="1" spans="2:18">
      <c r="B130" s="2880"/>
      <c r="C130" s="2880"/>
      <c r="D130" s="2880"/>
      <c r="E130" s="2880"/>
      <c r="F130" s="2880"/>
      <c r="G130" s="2881"/>
      <c r="H130" s="2880"/>
      <c r="I130" s="2881"/>
      <c r="J130" s="2880"/>
      <c r="K130" s="2880"/>
      <c r="L130" s="2881"/>
      <c r="M130" s="2880"/>
      <c r="N130" s="2880"/>
      <c r="O130" s="2881"/>
      <c r="P130" s="2880"/>
      <c r="Q130" s="2880"/>
      <c r="R130" s="2882"/>
    </row>
    <row r="131" s="2356" customFormat="1" spans="2:18">
      <c r="B131" s="2880"/>
      <c r="C131" s="2880"/>
      <c r="D131" s="2880"/>
      <c r="E131" s="2880"/>
      <c r="F131" s="2880"/>
      <c r="G131" s="2881"/>
      <c r="H131" s="2880"/>
      <c r="I131" s="2881"/>
      <c r="J131" s="2880"/>
      <c r="K131" s="2880"/>
      <c r="L131" s="2881"/>
      <c r="M131" s="2880"/>
      <c r="N131" s="2880"/>
      <c r="O131" s="2881"/>
      <c r="P131" s="2880"/>
      <c r="Q131" s="2880"/>
      <c r="R131" s="2882"/>
    </row>
    <row r="132" s="2356" customFormat="1" spans="2:18">
      <c r="B132" s="2880"/>
      <c r="C132" s="2880"/>
      <c r="D132" s="2880"/>
      <c r="E132" s="2880"/>
      <c r="F132" s="2880"/>
      <c r="G132" s="2881"/>
      <c r="H132" s="2880"/>
      <c r="I132" s="2881"/>
      <c r="J132" s="2880"/>
      <c r="K132" s="2880"/>
      <c r="L132" s="2881"/>
      <c r="M132" s="2880"/>
      <c r="N132" s="2880"/>
      <c r="O132" s="2881"/>
      <c r="P132" s="2880"/>
      <c r="Q132" s="2880"/>
      <c r="R132" s="2882"/>
    </row>
    <row r="133" s="2356" customFormat="1" spans="2:18">
      <c r="B133" s="2880"/>
      <c r="C133" s="2880"/>
      <c r="D133" s="2880"/>
      <c r="E133" s="2880"/>
      <c r="F133" s="2880"/>
      <c r="G133" s="2881"/>
      <c r="H133" s="2880"/>
      <c r="I133" s="2881"/>
      <c r="J133" s="2880"/>
      <c r="K133" s="2880"/>
      <c r="L133" s="2881"/>
      <c r="M133" s="2880"/>
      <c r="N133" s="2880"/>
      <c r="O133" s="2881"/>
      <c r="P133" s="2880"/>
      <c r="Q133" s="2880"/>
      <c r="R133" s="2882"/>
    </row>
    <row r="134" s="2356" customFormat="1" spans="2:18">
      <c r="B134" s="2880"/>
      <c r="C134" s="2880"/>
      <c r="D134" s="2880"/>
      <c r="E134" s="2880"/>
      <c r="F134" s="2880"/>
      <c r="G134" s="2881"/>
      <c r="H134" s="2880"/>
      <c r="I134" s="2881"/>
      <c r="J134" s="2880"/>
      <c r="K134" s="2880"/>
      <c r="L134" s="2881"/>
      <c r="M134" s="2880"/>
      <c r="N134" s="2880"/>
      <c r="O134" s="2881"/>
      <c r="P134" s="2880"/>
      <c r="Q134" s="2880"/>
      <c r="R134" s="2882"/>
    </row>
    <row r="135" s="2356" customFormat="1" spans="2:18">
      <c r="B135" s="2880"/>
      <c r="C135" s="2880"/>
      <c r="D135" s="2880"/>
      <c r="E135" s="2880"/>
      <c r="F135" s="2880"/>
      <c r="G135" s="2881"/>
      <c r="H135" s="2880"/>
      <c r="I135" s="2881"/>
      <c r="J135" s="2880"/>
      <c r="K135" s="2880"/>
      <c r="L135" s="2881"/>
      <c r="M135" s="2880"/>
      <c r="N135" s="2880"/>
      <c r="O135" s="2881"/>
      <c r="P135" s="2880"/>
      <c r="Q135" s="2880"/>
      <c r="R135" s="2882"/>
    </row>
    <row r="136" s="2356" customFormat="1" spans="2:18">
      <c r="B136" s="2880"/>
      <c r="C136" s="2880"/>
      <c r="D136" s="2880"/>
      <c r="E136" s="2880"/>
      <c r="F136" s="2880"/>
      <c r="G136" s="2881"/>
      <c r="H136" s="2880"/>
      <c r="I136" s="2881"/>
      <c r="J136" s="2880"/>
      <c r="K136" s="2880"/>
      <c r="L136" s="2881"/>
      <c r="M136" s="2880"/>
      <c r="N136" s="2880"/>
      <c r="O136" s="2881"/>
      <c r="P136" s="2880"/>
      <c r="Q136" s="2880"/>
      <c r="R136" s="2882"/>
    </row>
    <row r="137" s="2356" customFormat="1" spans="2:18">
      <c r="B137" s="2880"/>
      <c r="C137" s="2880"/>
      <c r="D137" s="2880"/>
      <c r="E137" s="2880"/>
      <c r="F137" s="2880"/>
      <c r="G137" s="2881"/>
      <c r="H137" s="2880"/>
      <c r="I137" s="2881"/>
      <c r="J137" s="2880"/>
      <c r="K137" s="2880"/>
      <c r="L137" s="2881"/>
      <c r="M137" s="2880"/>
      <c r="N137" s="2880"/>
      <c r="O137" s="2881"/>
      <c r="P137" s="2880"/>
      <c r="Q137" s="2880"/>
      <c r="R137" s="2882"/>
    </row>
    <row r="138" s="2356" customFormat="1" spans="2:18">
      <c r="B138" s="2880"/>
      <c r="C138" s="2880"/>
      <c r="D138" s="2880"/>
      <c r="E138" s="2880"/>
      <c r="F138" s="2880"/>
      <c r="G138" s="2881"/>
      <c r="H138" s="2880"/>
      <c r="I138" s="2881"/>
      <c r="J138" s="2880"/>
      <c r="K138" s="2880"/>
      <c r="L138" s="2881"/>
      <c r="M138" s="2880"/>
      <c r="N138" s="2880"/>
      <c r="O138" s="2881"/>
      <c r="P138" s="2880"/>
      <c r="Q138" s="2880"/>
      <c r="R138" s="2882"/>
    </row>
    <row r="139" s="2356" customFormat="1" spans="2:18">
      <c r="B139" s="2880"/>
      <c r="C139" s="2880"/>
      <c r="D139" s="2880"/>
      <c r="E139" s="2880"/>
      <c r="F139" s="2880"/>
      <c r="G139" s="2881"/>
      <c r="H139" s="2880"/>
      <c r="I139" s="2881"/>
      <c r="J139" s="2880"/>
      <c r="K139" s="2880"/>
      <c r="L139" s="2881"/>
      <c r="M139" s="2880"/>
      <c r="N139" s="2880"/>
      <c r="O139" s="2881"/>
      <c r="P139" s="2880"/>
      <c r="Q139" s="2880"/>
      <c r="R139" s="2882"/>
    </row>
    <row r="140" s="2356" customFormat="1" spans="2:18">
      <c r="B140" s="2880"/>
      <c r="C140" s="2880"/>
      <c r="D140" s="2880"/>
      <c r="E140" s="2880"/>
      <c r="F140" s="2880"/>
      <c r="G140" s="2881"/>
      <c r="H140" s="2880"/>
      <c r="I140" s="2881"/>
      <c r="J140" s="2880"/>
      <c r="K140" s="2880"/>
      <c r="L140" s="2881"/>
      <c r="M140" s="2880"/>
      <c r="N140" s="2880"/>
      <c r="O140" s="2881"/>
      <c r="P140" s="2880"/>
      <c r="Q140" s="2880"/>
      <c r="R140" s="2882"/>
    </row>
    <row r="141" s="2356" customFormat="1" spans="2:18">
      <c r="B141" s="2880"/>
      <c r="C141" s="2880"/>
      <c r="D141" s="2880"/>
      <c r="E141" s="2880"/>
      <c r="F141" s="2880"/>
      <c r="G141" s="2881"/>
      <c r="H141" s="2880"/>
      <c r="I141" s="2881"/>
      <c r="J141" s="2880"/>
      <c r="K141" s="2880"/>
      <c r="L141" s="2881"/>
      <c r="M141" s="2880"/>
      <c r="N141" s="2880"/>
      <c r="O141" s="2881"/>
      <c r="P141" s="2880"/>
      <c r="Q141" s="2880"/>
      <c r="R141" s="2882"/>
    </row>
    <row r="142" s="2356" customFormat="1" spans="2:18">
      <c r="B142" s="2880"/>
      <c r="C142" s="2880"/>
      <c r="D142" s="2880"/>
      <c r="E142" s="2880"/>
      <c r="F142" s="2880"/>
      <c r="G142" s="2881"/>
      <c r="H142" s="2880"/>
      <c r="I142" s="2881"/>
      <c r="J142" s="2880"/>
      <c r="K142" s="2880"/>
      <c r="L142" s="2881"/>
      <c r="M142" s="2880"/>
      <c r="N142" s="2880"/>
      <c r="O142" s="2881"/>
      <c r="P142" s="2880"/>
      <c r="Q142" s="2880"/>
      <c r="R142" s="2882"/>
    </row>
    <row r="143" s="2356" customFormat="1" spans="2:18">
      <c r="B143" s="2880"/>
      <c r="C143" s="2880"/>
      <c r="D143" s="2880"/>
      <c r="E143" s="2880"/>
      <c r="F143" s="2880"/>
      <c r="G143" s="2881"/>
      <c r="H143" s="2880"/>
      <c r="I143" s="2881"/>
      <c r="J143" s="2880"/>
      <c r="K143" s="2880"/>
      <c r="L143" s="2881"/>
      <c r="M143" s="2880"/>
      <c r="N143" s="2880"/>
      <c r="O143" s="2881"/>
      <c r="P143" s="2880"/>
      <c r="Q143" s="2880"/>
      <c r="R143" s="2882"/>
    </row>
    <row r="144" s="2356" customFormat="1" spans="2:18">
      <c r="B144" s="2880"/>
      <c r="C144" s="2880"/>
      <c r="D144" s="2880"/>
      <c r="E144" s="2880"/>
      <c r="F144" s="2880"/>
      <c r="G144" s="2881"/>
      <c r="H144" s="2880"/>
      <c r="I144" s="2881"/>
      <c r="J144" s="2880"/>
      <c r="K144" s="2880"/>
      <c r="L144" s="2881"/>
      <c r="M144" s="2880"/>
      <c r="N144" s="2880"/>
      <c r="O144" s="2881"/>
      <c r="P144" s="2880"/>
      <c r="Q144" s="2880"/>
      <c r="R144" s="2882"/>
    </row>
    <row r="145" s="2356" customFormat="1" spans="2:18">
      <c r="B145" s="2880"/>
      <c r="C145" s="2880"/>
      <c r="D145" s="2880"/>
      <c r="E145" s="2880"/>
      <c r="F145" s="2880"/>
      <c r="G145" s="2881"/>
      <c r="H145" s="2880"/>
      <c r="I145" s="2881"/>
      <c r="J145" s="2880"/>
      <c r="K145" s="2880"/>
      <c r="L145" s="2881"/>
      <c r="M145" s="2880"/>
      <c r="N145" s="2880"/>
      <c r="O145" s="2881"/>
      <c r="P145" s="2880"/>
      <c r="Q145" s="2880"/>
      <c r="R145" s="2882"/>
    </row>
    <row r="146" s="2356" customFormat="1" spans="2:18">
      <c r="B146" s="2880"/>
      <c r="C146" s="2880"/>
      <c r="D146" s="2880"/>
      <c r="E146" s="2880"/>
      <c r="F146" s="2880"/>
      <c r="G146" s="2881"/>
      <c r="H146" s="2880"/>
      <c r="I146" s="2881"/>
      <c r="J146" s="2880"/>
      <c r="K146" s="2880"/>
      <c r="L146" s="2881"/>
      <c r="M146" s="2880"/>
      <c r="N146" s="2880"/>
      <c r="O146" s="2881"/>
      <c r="P146" s="2880"/>
      <c r="Q146" s="2880"/>
      <c r="R146" s="2882"/>
    </row>
    <row r="147" s="2356" customFormat="1" spans="2:18">
      <c r="B147" s="2880"/>
      <c r="C147" s="2880"/>
      <c r="D147" s="2880"/>
      <c r="E147" s="2880"/>
      <c r="F147" s="2880"/>
      <c r="G147" s="2881"/>
      <c r="H147" s="2880"/>
      <c r="I147" s="2881"/>
      <c r="J147" s="2880"/>
      <c r="K147" s="2880"/>
      <c r="L147" s="2881"/>
      <c r="M147" s="2880"/>
      <c r="N147" s="2880"/>
      <c r="O147" s="2881"/>
      <c r="P147" s="2880"/>
      <c r="Q147" s="2880"/>
      <c r="R147" s="2882"/>
    </row>
    <row r="148" s="2356" customFormat="1" spans="2:18">
      <c r="B148" s="2880"/>
      <c r="C148" s="2880"/>
      <c r="D148" s="2880"/>
      <c r="E148" s="2880"/>
      <c r="F148" s="2880"/>
      <c r="G148" s="2881"/>
      <c r="H148" s="2880"/>
      <c r="I148" s="2881"/>
      <c r="J148" s="2880"/>
      <c r="K148" s="2880"/>
      <c r="L148" s="2881"/>
      <c r="M148" s="2880"/>
      <c r="N148" s="2880"/>
      <c r="O148" s="2881"/>
      <c r="P148" s="2880"/>
      <c r="Q148" s="2880"/>
      <c r="R148" s="2882"/>
    </row>
    <row r="149" s="2356" customFormat="1" spans="2:18">
      <c r="B149" s="2880"/>
      <c r="C149" s="2880"/>
      <c r="D149" s="2880"/>
      <c r="E149" s="2880"/>
      <c r="F149" s="2880"/>
      <c r="G149" s="2881"/>
      <c r="H149" s="2880"/>
      <c r="I149" s="2881"/>
      <c r="J149" s="2880"/>
      <c r="K149" s="2880"/>
      <c r="L149" s="2881"/>
      <c r="M149" s="2880"/>
      <c r="N149" s="2880"/>
      <c r="O149" s="2881"/>
      <c r="P149" s="2880"/>
      <c r="Q149" s="2880"/>
      <c r="R149" s="2882"/>
    </row>
    <row r="150" s="2356" customFormat="1" spans="2:18">
      <c r="B150" s="2880"/>
      <c r="C150" s="2880"/>
      <c r="D150" s="2880"/>
      <c r="E150" s="2880"/>
      <c r="F150" s="2880"/>
      <c r="G150" s="2881"/>
      <c r="H150" s="2880"/>
      <c r="I150" s="2881"/>
      <c r="J150" s="2880"/>
      <c r="K150" s="2880"/>
      <c r="L150" s="2881"/>
      <c r="M150" s="2880"/>
      <c r="N150" s="2880"/>
      <c r="O150" s="2881"/>
      <c r="P150" s="2880"/>
      <c r="Q150" s="2880"/>
      <c r="R150" s="2882"/>
    </row>
    <row r="151" s="2356" customFormat="1" spans="2:18">
      <c r="B151" s="2880"/>
      <c r="C151" s="2880"/>
      <c r="D151" s="2880"/>
      <c r="E151" s="2880"/>
      <c r="F151" s="2880"/>
      <c r="G151" s="2881"/>
      <c r="H151" s="2880"/>
      <c r="I151" s="2881"/>
      <c r="J151" s="2880"/>
      <c r="K151" s="2880"/>
      <c r="L151" s="2881"/>
      <c r="M151" s="2880"/>
      <c r="N151" s="2880"/>
      <c r="O151" s="2881"/>
      <c r="P151" s="2880"/>
      <c r="Q151" s="2880"/>
      <c r="R151" s="2882"/>
    </row>
    <row r="152" s="2356" customFormat="1" spans="2:18">
      <c r="B152" s="2880"/>
      <c r="C152" s="2880"/>
      <c r="D152" s="2880"/>
      <c r="E152" s="2880"/>
      <c r="F152" s="2880"/>
      <c r="G152" s="2881"/>
      <c r="H152" s="2880"/>
      <c r="I152" s="2881"/>
      <c r="J152" s="2880"/>
      <c r="K152" s="2880"/>
      <c r="L152" s="2881"/>
      <c r="M152" s="2880"/>
      <c r="N152" s="2880"/>
      <c r="O152" s="2881"/>
      <c r="P152" s="2880"/>
      <c r="Q152" s="2880"/>
      <c r="R152" s="2882"/>
    </row>
    <row r="153" s="2356" customFormat="1" spans="2:18">
      <c r="B153" s="2880"/>
      <c r="C153" s="2880"/>
      <c r="D153" s="2880"/>
      <c r="E153" s="2880"/>
      <c r="F153" s="2880"/>
      <c r="G153" s="2881"/>
      <c r="H153" s="2880"/>
      <c r="I153" s="2881"/>
      <c r="J153" s="2880"/>
      <c r="K153" s="2880"/>
      <c r="L153" s="2881"/>
      <c r="M153" s="2880"/>
      <c r="N153" s="2880"/>
      <c r="O153" s="2881"/>
      <c r="P153" s="2880"/>
      <c r="Q153" s="2880"/>
      <c r="R153" s="2882"/>
    </row>
    <row r="154" s="2356" customFormat="1" spans="2:18">
      <c r="B154" s="2880"/>
      <c r="C154" s="2880"/>
      <c r="D154" s="2880"/>
      <c r="E154" s="2880"/>
      <c r="F154" s="2880"/>
      <c r="G154" s="2881"/>
      <c r="H154" s="2880"/>
      <c r="I154" s="2881"/>
      <c r="J154" s="2880"/>
      <c r="K154" s="2880"/>
      <c r="L154" s="2881"/>
      <c r="M154" s="2880"/>
      <c r="N154" s="2880"/>
      <c r="O154" s="2881"/>
      <c r="P154" s="2880"/>
      <c r="Q154" s="2880"/>
      <c r="R154" s="2882"/>
    </row>
    <row r="155" s="2356" customFormat="1" spans="2:18">
      <c r="B155" s="2880"/>
      <c r="C155" s="2880"/>
      <c r="D155" s="2880"/>
      <c r="E155" s="2880"/>
      <c r="F155" s="2880"/>
      <c r="G155" s="2881"/>
      <c r="H155" s="2880"/>
      <c r="I155" s="2881"/>
      <c r="J155" s="2880"/>
      <c r="K155" s="2880"/>
      <c r="L155" s="2881"/>
      <c r="M155" s="2880"/>
      <c r="N155" s="2880"/>
      <c r="O155" s="2881"/>
      <c r="P155" s="2880"/>
      <c r="Q155" s="2880"/>
      <c r="R155" s="2882"/>
    </row>
    <row r="156" s="2356" customFormat="1" spans="2:18">
      <c r="B156" s="2880"/>
      <c r="C156" s="2880"/>
      <c r="D156" s="2880"/>
      <c r="E156" s="2880"/>
      <c r="F156" s="2880"/>
      <c r="G156" s="2881"/>
      <c r="H156" s="2880"/>
      <c r="I156" s="2881"/>
      <c r="J156" s="2880"/>
      <c r="K156" s="2880"/>
      <c r="L156" s="2881"/>
      <c r="M156" s="2880"/>
      <c r="N156" s="2880"/>
      <c r="O156" s="2881"/>
      <c r="P156" s="2880"/>
      <c r="Q156" s="2880"/>
      <c r="R156" s="2882"/>
    </row>
    <row r="157" s="2356" customFormat="1" spans="2:18">
      <c r="B157" s="2880"/>
      <c r="C157" s="2880"/>
      <c r="D157" s="2880"/>
      <c r="E157" s="2880"/>
      <c r="F157" s="2880"/>
      <c r="G157" s="2881"/>
      <c r="H157" s="2880"/>
      <c r="I157" s="2881"/>
      <c r="J157" s="2880"/>
      <c r="K157" s="2880"/>
      <c r="L157" s="2881"/>
      <c r="M157" s="2880"/>
      <c r="N157" s="2880"/>
      <c r="O157" s="2881"/>
      <c r="P157" s="2880"/>
      <c r="Q157" s="2880"/>
      <c r="R157" s="2882"/>
    </row>
    <row r="158" s="2356" customFormat="1" spans="2:18">
      <c r="B158" s="2880"/>
      <c r="C158" s="2880"/>
      <c r="D158" s="2880"/>
      <c r="E158" s="2880"/>
      <c r="F158" s="2880"/>
      <c r="G158" s="2881"/>
      <c r="H158" s="2880"/>
      <c r="I158" s="2881"/>
      <c r="J158" s="2880"/>
      <c r="K158" s="2880"/>
      <c r="L158" s="2881"/>
      <c r="M158" s="2880"/>
      <c r="N158" s="2880"/>
      <c r="O158" s="2881"/>
      <c r="P158" s="2880"/>
      <c r="Q158" s="2880"/>
      <c r="R158" s="2882"/>
    </row>
    <row r="159" s="2356" customFormat="1" spans="2:18">
      <c r="B159" s="2880"/>
      <c r="C159" s="2880"/>
      <c r="D159" s="2880"/>
      <c r="E159" s="2880"/>
      <c r="F159" s="2880"/>
      <c r="G159" s="2881"/>
      <c r="H159" s="2880"/>
      <c r="I159" s="2881"/>
      <c r="J159" s="2880"/>
      <c r="K159" s="2880"/>
      <c r="L159" s="2881"/>
      <c r="M159" s="2880"/>
      <c r="N159" s="2880"/>
      <c r="O159" s="2881"/>
      <c r="P159" s="2880"/>
      <c r="Q159" s="2880"/>
      <c r="R159" s="2882"/>
    </row>
    <row r="160" s="2356" customFormat="1" spans="2:18">
      <c r="B160" s="2880"/>
      <c r="C160" s="2880"/>
      <c r="D160" s="2880"/>
      <c r="E160" s="2880"/>
      <c r="F160" s="2880"/>
      <c r="G160" s="2881"/>
      <c r="H160" s="2880"/>
      <c r="I160" s="2881"/>
      <c r="J160" s="2880"/>
      <c r="K160" s="2880"/>
      <c r="L160" s="2881"/>
      <c r="M160" s="2880"/>
      <c r="N160" s="2880"/>
      <c r="O160" s="2881"/>
      <c r="P160" s="2880"/>
      <c r="Q160" s="2880"/>
      <c r="R160" s="2882"/>
    </row>
    <row r="161" s="2356" customFormat="1" spans="2:18">
      <c r="B161" s="2880"/>
      <c r="C161" s="2880"/>
      <c r="D161" s="2880"/>
      <c r="E161" s="2880"/>
      <c r="F161" s="2880"/>
      <c r="G161" s="2881"/>
      <c r="H161" s="2880"/>
      <c r="I161" s="2881"/>
      <c r="J161" s="2880"/>
      <c r="K161" s="2880"/>
      <c r="L161" s="2881"/>
      <c r="M161" s="2880"/>
      <c r="N161" s="2880"/>
      <c r="O161" s="2881"/>
      <c r="P161" s="2880"/>
      <c r="Q161" s="2880"/>
      <c r="R161" s="2882"/>
    </row>
    <row r="162" s="2356" customFormat="1" spans="2:18">
      <c r="B162" s="2880"/>
      <c r="C162" s="2880"/>
      <c r="D162" s="2880"/>
      <c r="E162" s="2880"/>
      <c r="F162" s="2880"/>
      <c r="G162" s="2881"/>
      <c r="H162" s="2880"/>
      <c r="I162" s="2881"/>
      <c r="J162" s="2880"/>
      <c r="K162" s="2880"/>
      <c r="L162" s="2881"/>
      <c r="M162" s="2880"/>
      <c r="N162" s="2880"/>
      <c r="O162" s="2881"/>
      <c r="P162" s="2880"/>
      <c r="Q162" s="2880"/>
      <c r="R162" s="2882"/>
    </row>
    <row r="163" s="2356" customFormat="1" spans="2:18">
      <c r="B163" s="2880"/>
      <c r="C163" s="2880"/>
      <c r="D163" s="2880"/>
      <c r="E163" s="2880"/>
      <c r="F163" s="2880"/>
      <c r="G163" s="2881"/>
      <c r="H163" s="2880"/>
      <c r="I163" s="2881"/>
      <c r="J163" s="2880"/>
      <c r="K163" s="2880"/>
      <c r="L163" s="2881"/>
      <c r="M163" s="2880"/>
      <c r="N163" s="2880"/>
      <c r="O163" s="2881"/>
      <c r="P163" s="2880"/>
      <c r="Q163" s="2880"/>
      <c r="R163" s="2882"/>
    </row>
    <row r="164" s="2356" customFormat="1" spans="2:18">
      <c r="B164" s="2880"/>
      <c r="C164" s="2880"/>
      <c r="D164" s="2880"/>
      <c r="E164" s="2880"/>
      <c r="F164" s="2880"/>
      <c r="G164" s="2881"/>
      <c r="H164" s="2880"/>
      <c r="I164" s="2881"/>
      <c r="J164" s="2880"/>
      <c r="K164" s="2880"/>
      <c r="L164" s="2881"/>
      <c r="M164" s="2880"/>
      <c r="N164" s="2880"/>
      <c r="O164" s="2881"/>
      <c r="P164" s="2880"/>
      <c r="Q164" s="2880"/>
      <c r="R164" s="2882"/>
    </row>
    <row r="165" s="2356" customFormat="1" spans="2:18">
      <c r="B165" s="2880"/>
      <c r="C165" s="2880"/>
      <c r="D165" s="2880"/>
      <c r="E165" s="2880"/>
      <c r="F165" s="2880"/>
      <c r="G165" s="2881"/>
      <c r="H165" s="2880"/>
      <c r="I165" s="2881"/>
      <c r="J165" s="2880"/>
      <c r="K165" s="2880"/>
      <c r="L165" s="2881"/>
      <c r="M165" s="2880"/>
      <c r="N165" s="2880"/>
      <c r="O165" s="2881"/>
      <c r="P165" s="2880"/>
      <c r="Q165" s="2880"/>
      <c r="R165" s="2882"/>
    </row>
    <row r="166" s="2356" customFormat="1" spans="2:18">
      <c r="B166" s="2880"/>
      <c r="C166" s="2880"/>
      <c r="D166" s="2880"/>
      <c r="E166" s="2880"/>
      <c r="F166" s="2880"/>
      <c r="G166" s="2881"/>
      <c r="H166" s="2880"/>
      <c r="I166" s="2881"/>
      <c r="J166" s="2880"/>
      <c r="K166" s="2880"/>
      <c r="L166" s="2881"/>
      <c r="M166" s="2880"/>
      <c r="N166" s="2880"/>
      <c r="O166" s="2881"/>
      <c r="P166" s="2880"/>
      <c r="Q166" s="2880"/>
      <c r="R166" s="2882"/>
    </row>
    <row r="167" s="2356" customFormat="1" spans="2:18">
      <c r="B167" s="2880"/>
      <c r="C167" s="2880"/>
      <c r="D167" s="2880"/>
      <c r="E167" s="2880"/>
      <c r="F167" s="2880"/>
      <c r="G167" s="2881"/>
      <c r="H167" s="2880"/>
      <c r="I167" s="2881"/>
      <c r="J167" s="2880"/>
      <c r="K167" s="2880"/>
      <c r="L167" s="2881"/>
      <c r="M167" s="2880"/>
      <c r="N167" s="2880"/>
      <c r="O167" s="2881"/>
      <c r="P167" s="2880"/>
      <c r="Q167" s="2880"/>
      <c r="R167" s="2882"/>
    </row>
    <row r="168" s="2356" customFormat="1" spans="2:18">
      <c r="B168" s="2880"/>
      <c r="C168" s="2880"/>
      <c r="D168" s="2880"/>
      <c r="E168" s="2880"/>
      <c r="F168" s="2880"/>
      <c r="G168" s="2881"/>
      <c r="H168" s="2880"/>
      <c r="I168" s="2881"/>
      <c r="J168" s="2880"/>
      <c r="K168" s="2880"/>
      <c r="L168" s="2881"/>
      <c r="M168" s="2880"/>
      <c r="N168" s="2880"/>
      <c r="O168" s="2881"/>
      <c r="P168" s="2880"/>
      <c r="Q168" s="2880"/>
      <c r="R168" s="2882"/>
    </row>
    <row r="169" s="2356" customFormat="1" spans="2:18">
      <c r="B169" s="2880"/>
      <c r="C169" s="2880"/>
      <c r="D169" s="2880"/>
      <c r="E169" s="2880"/>
      <c r="F169" s="2880"/>
      <c r="G169" s="2881"/>
      <c r="H169" s="2880"/>
      <c r="I169" s="2881"/>
      <c r="J169" s="2880"/>
      <c r="K169" s="2880"/>
      <c r="L169" s="2881"/>
      <c r="M169" s="2880"/>
      <c r="N169" s="2880"/>
      <c r="O169" s="2881"/>
      <c r="P169" s="2880"/>
      <c r="Q169" s="2880"/>
      <c r="R169" s="2882"/>
    </row>
    <row r="170" s="2356" customFormat="1" spans="2:18">
      <c r="B170" s="2880"/>
      <c r="C170" s="2880"/>
      <c r="D170" s="2880"/>
      <c r="E170" s="2880"/>
      <c r="F170" s="2880"/>
      <c r="G170" s="2881"/>
      <c r="H170" s="2880"/>
      <c r="I170" s="2881"/>
      <c r="J170" s="2880"/>
      <c r="K170" s="2880"/>
      <c r="L170" s="2881"/>
      <c r="M170" s="2880"/>
      <c r="N170" s="2880"/>
      <c r="O170" s="2881"/>
      <c r="P170" s="2880"/>
      <c r="Q170" s="2880"/>
      <c r="R170" s="2882"/>
    </row>
    <row r="171" s="2356" customFormat="1" spans="2:18">
      <c r="B171" s="2880"/>
      <c r="C171" s="2880"/>
      <c r="D171" s="2880"/>
      <c r="E171" s="2880"/>
      <c r="F171" s="2880"/>
      <c r="G171" s="2881"/>
      <c r="H171" s="2880"/>
      <c r="I171" s="2881"/>
      <c r="J171" s="2880"/>
      <c r="K171" s="2880"/>
      <c r="L171" s="2881"/>
      <c r="M171" s="2880"/>
      <c r="N171" s="2880"/>
      <c r="O171" s="2881"/>
      <c r="P171" s="2880"/>
      <c r="Q171" s="2880"/>
      <c r="R171" s="2882"/>
    </row>
    <row r="172" s="2356" customFormat="1" spans="2:18">
      <c r="B172" s="2880"/>
      <c r="C172" s="2880"/>
      <c r="D172" s="2880"/>
      <c r="E172" s="2880"/>
      <c r="F172" s="2880"/>
      <c r="G172" s="2881"/>
      <c r="H172" s="2880"/>
      <c r="I172" s="2881"/>
      <c r="J172" s="2880"/>
      <c r="K172" s="2880"/>
      <c r="L172" s="2881"/>
      <c r="M172" s="2880"/>
      <c r="N172" s="2880"/>
      <c r="O172" s="2881"/>
      <c r="P172" s="2880"/>
      <c r="Q172" s="2880"/>
      <c r="R172" s="2882"/>
    </row>
    <row r="173" s="2356" customFormat="1" spans="2:18">
      <c r="B173" s="2880"/>
      <c r="C173" s="2880"/>
      <c r="D173" s="2880"/>
      <c r="E173" s="2880"/>
      <c r="F173" s="2880"/>
      <c r="G173" s="2881"/>
      <c r="H173" s="2880"/>
      <c r="I173" s="2881"/>
      <c r="J173" s="2880"/>
      <c r="K173" s="2880"/>
      <c r="L173" s="2881"/>
      <c r="M173" s="2880"/>
      <c r="N173" s="2880"/>
      <c r="O173" s="2881"/>
      <c r="P173" s="2880"/>
      <c r="Q173" s="2880"/>
      <c r="R173" s="2882"/>
    </row>
    <row r="174" s="2356" customFormat="1" spans="2:18">
      <c r="B174" s="2880"/>
      <c r="C174" s="2880"/>
      <c r="D174" s="2880"/>
      <c r="E174" s="2880"/>
      <c r="F174" s="2880"/>
      <c r="G174" s="2881"/>
      <c r="H174" s="2880"/>
      <c r="I174" s="2881"/>
      <c r="J174" s="2880"/>
      <c r="K174" s="2880"/>
      <c r="L174" s="2881"/>
      <c r="M174" s="2880"/>
      <c r="N174" s="2880"/>
      <c r="O174" s="2881"/>
      <c r="P174" s="2880"/>
      <c r="Q174" s="2880"/>
      <c r="R174" s="2882"/>
    </row>
    <row r="175" s="2356" customFormat="1" spans="2:18">
      <c r="B175" s="2880"/>
      <c r="C175" s="2880"/>
      <c r="D175" s="2880"/>
      <c r="E175" s="2880"/>
      <c r="F175" s="2880"/>
      <c r="G175" s="2881"/>
      <c r="H175" s="2880"/>
      <c r="I175" s="2881"/>
      <c r="J175" s="2880"/>
      <c r="K175" s="2880"/>
      <c r="L175" s="2881"/>
      <c r="M175" s="2880"/>
      <c r="N175" s="2880"/>
      <c r="O175" s="2881"/>
      <c r="P175" s="2880"/>
      <c r="Q175" s="2880"/>
      <c r="R175" s="2882"/>
    </row>
    <row r="176" s="2356" customFormat="1" spans="2:18">
      <c r="B176" s="2880"/>
      <c r="C176" s="2880"/>
      <c r="D176" s="2880"/>
      <c r="E176" s="2880"/>
      <c r="F176" s="2880"/>
      <c r="G176" s="2881"/>
      <c r="H176" s="2880"/>
      <c r="I176" s="2881"/>
      <c r="J176" s="2880"/>
      <c r="K176" s="2880"/>
      <c r="L176" s="2881"/>
      <c r="M176" s="2880"/>
      <c r="N176" s="2880"/>
      <c r="O176" s="2881"/>
      <c r="P176" s="2880"/>
      <c r="Q176" s="2880"/>
      <c r="R176" s="2882"/>
    </row>
    <row r="177" s="2356" customFormat="1" spans="2:18">
      <c r="B177" s="2880"/>
      <c r="C177" s="2880"/>
      <c r="D177" s="2880"/>
      <c r="E177" s="2880"/>
      <c r="F177" s="2880"/>
      <c r="G177" s="2881"/>
      <c r="H177" s="2880"/>
      <c r="I177" s="2881"/>
      <c r="J177" s="2880"/>
      <c r="K177" s="2880"/>
      <c r="L177" s="2881"/>
      <c r="M177" s="2880"/>
      <c r="N177" s="2880"/>
      <c r="O177" s="2881"/>
      <c r="P177" s="2880"/>
      <c r="Q177" s="2880"/>
      <c r="R177" s="2882"/>
    </row>
    <row r="178" s="2356" customFormat="1" spans="2:18">
      <c r="B178" s="2880"/>
      <c r="C178" s="2880"/>
      <c r="D178" s="2880"/>
      <c r="E178" s="2880"/>
      <c r="F178" s="2880"/>
      <c r="G178" s="2881"/>
      <c r="H178" s="2880"/>
      <c r="I178" s="2881"/>
      <c r="J178" s="2880"/>
      <c r="K178" s="2880"/>
      <c r="L178" s="2881"/>
      <c r="M178" s="2880"/>
      <c r="N178" s="2880"/>
      <c r="O178" s="2881"/>
      <c r="P178" s="2880"/>
      <c r="Q178" s="2880"/>
      <c r="R178" s="2882"/>
    </row>
    <row r="179" s="2356" customFormat="1" spans="2:18">
      <c r="B179" s="2880"/>
      <c r="C179" s="2880"/>
      <c r="D179" s="2880"/>
      <c r="E179" s="2880"/>
      <c r="F179" s="2880"/>
      <c r="G179" s="2881"/>
      <c r="H179" s="2880"/>
      <c r="I179" s="2881"/>
      <c r="J179" s="2880"/>
      <c r="K179" s="2880"/>
      <c r="L179" s="2881"/>
      <c r="M179" s="2880"/>
      <c r="N179" s="2880"/>
      <c r="O179" s="2881"/>
      <c r="P179" s="2880"/>
      <c r="Q179" s="2880"/>
      <c r="R179" s="2882"/>
    </row>
    <row r="180" s="2356" customFormat="1" spans="2:18">
      <c r="B180" s="2880"/>
      <c r="C180" s="2880"/>
      <c r="D180" s="2880"/>
      <c r="E180" s="2880"/>
      <c r="F180" s="2880"/>
      <c r="G180" s="2881"/>
      <c r="H180" s="2880"/>
      <c r="I180" s="2881"/>
      <c r="J180" s="2880"/>
      <c r="K180" s="2880"/>
      <c r="L180" s="2881"/>
      <c r="M180" s="2880"/>
      <c r="N180" s="2880"/>
      <c r="O180" s="2881"/>
      <c r="P180" s="2880"/>
      <c r="Q180" s="2880"/>
      <c r="R180" s="2882"/>
    </row>
    <row r="181" s="2356" customFormat="1" spans="2:18">
      <c r="B181" s="2880"/>
      <c r="C181" s="2880"/>
      <c r="D181" s="2880"/>
      <c r="E181" s="2880"/>
      <c r="F181" s="2880"/>
      <c r="G181" s="2881"/>
      <c r="H181" s="2880"/>
      <c r="I181" s="2881"/>
      <c r="J181" s="2880"/>
      <c r="K181" s="2880"/>
      <c r="L181" s="2881"/>
      <c r="M181" s="2880"/>
      <c r="N181" s="2880"/>
      <c r="O181" s="2881"/>
      <c r="P181" s="2880"/>
      <c r="Q181" s="2880"/>
      <c r="R181" s="2882"/>
    </row>
    <row r="182" s="2356" customFormat="1" spans="2:18">
      <c r="B182" s="2880"/>
      <c r="C182" s="2880"/>
      <c r="D182" s="2880"/>
      <c r="E182" s="2880"/>
      <c r="F182" s="2880"/>
      <c r="G182" s="2881"/>
      <c r="H182" s="2880"/>
      <c r="I182" s="2881"/>
      <c r="J182" s="2880"/>
      <c r="K182" s="2880"/>
      <c r="L182" s="2881"/>
      <c r="M182" s="2880"/>
      <c r="N182" s="2880"/>
      <c r="O182" s="2881"/>
      <c r="P182" s="2880"/>
      <c r="Q182" s="2880"/>
      <c r="R182" s="2882"/>
    </row>
    <row r="183" s="2356" customFormat="1" spans="2:18">
      <c r="B183" s="2880"/>
      <c r="C183" s="2880"/>
      <c r="D183" s="2880"/>
      <c r="E183" s="2880"/>
      <c r="F183" s="2880"/>
      <c r="G183" s="2881"/>
      <c r="H183" s="2880"/>
      <c r="I183" s="2881"/>
      <c r="J183" s="2880"/>
      <c r="K183" s="2880"/>
      <c r="L183" s="2881"/>
      <c r="M183" s="2880"/>
      <c r="N183" s="2880"/>
      <c r="O183" s="2881"/>
      <c r="P183" s="2880"/>
      <c r="Q183" s="2880"/>
      <c r="R183" s="2882"/>
    </row>
    <row r="184" s="2356" customFormat="1" spans="2:18">
      <c r="B184" s="2880"/>
      <c r="C184" s="2880"/>
      <c r="D184" s="2880"/>
      <c r="E184" s="2880"/>
      <c r="F184" s="2880"/>
      <c r="G184" s="2881"/>
      <c r="H184" s="2880"/>
      <c r="I184" s="2881"/>
      <c r="J184" s="2880"/>
      <c r="K184" s="2880"/>
      <c r="L184" s="2881"/>
      <c r="M184" s="2880"/>
      <c r="N184" s="2880"/>
      <c r="O184" s="2881"/>
      <c r="P184" s="2880"/>
      <c r="Q184" s="2880"/>
      <c r="R184" s="2882"/>
    </row>
    <row r="185" s="2356" customFormat="1" spans="2:18">
      <c r="B185" s="2880"/>
      <c r="C185" s="2880"/>
      <c r="D185" s="2880"/>
      <c r="E185" s="2880"/>
      <c r="F185" s="2880"/>
      <c r="G185" s="2881"/>
      <c r="H185" s="2880"/>
      <c r="I185" s="2881"/>
      <c r="J185" s="2880"/>
      <c r="K185" s="2880"/>
      <c r="L185" s="2881"/>
      <c r="M185" s="2880"/>
      <c r="N185" s="2880"/>
      <c r="O185" s="2881"/>
      <c r="P185" s="2880"/>
      <c r="Q185" s="2880"/>
      <c r="R185" s="2882"/>
    </row>
    <row r="186" spans="1:7">
      <c r="A186" s="2356"/>
      <c r="B186" s="2880"/>
      <c r="C186" s="2880"/>
      <c r="E186" s="2880"/>
      <c r="F186" s="2880"/>
      <c r="G186" s="2881"/>
    </row>
    <row r="187" spans="1:7">
      <c r="A187" s="2356"/>
      <c r="B187" s="2880"/>
      <c r="C187" s="2880"/>
      <c r="E187" s="2880"/>
      <c r="F187" s="2880"/>
      <c r="G187" s="28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6" sqref="D16"/>
    </sheetView>
  </sheetViews>
  <sheetFormatPr defaultColWidth="9" defaultRowHeight="13.5"/>
  <cols>
    <col min="1" max="1" width="25" style="2858" customWidth="1"/>
    <col min="2" max="9" width="15.75" style="2858" customWidth="1"/>
    <col min="10" max="16384" width="9" style="2858"/>
  </cols>
  <sheetData>
    <row r="1" ht="16.5" spans="1:11">
      <c r="A1" s="2859" t="s">
        <v>788</v>
      </c>
      <c r="B1" s="2859">
        <f>SUM(B14:B23)</f>
        <v>112.13</v>
      </c>
      <c r="C1" s="2860"/>
      <c r="D1" s="2860"/>
      <c r="E1" s="2860"/>
      <c r="F1" s="2860"/>
      <c r="G1" s="2861"/>
      <c r="H1" s="2862"/>
      <c r="I1" s="2862"/>
      <c r="J1" s="2862"/>
      <c r="K1" s="2862"/>
    </row>
    <row r="2" ht="16.5" spans="1:11">
      <c r="A2" s="2859" t="s">
        <v>789</v>
      </c>
      <c r="B2" s="2859">
        <f>SUM(C14:C23)</f>
        <v>0</v>
      </c>
      <c r="C2" s="2860"/>
      <c r="D2" s="2860"/>
      <c r="E2" s="2860"/>
      <c r="F2" s="2860"/>
      <c r="G2" s="2861"/>
      <c r="H2" s="2862"/>
      <c r="I2" s="2862"/>
      <c r="J2" s="2862"/>
      <c r="K2" s="2862"/>
    </row>
    <row r="3" ht="16.5" spans="1:11">
      <c r="A3" s="2859" t="s">
        <v>790</v>
      </c>
      <c r="B3" s="2863">
        <f>项目基本情况!D3</f>
        <v>45846</v>
      </c>
      <c r="C3" s="2860"/>
      <c r="D3" s="2860"/>
      <c r="E3" s="2860"/>
      <c r="F3" s="2860"/>
      <c r="G3" s="2861"/>
      <c r="H3" s="2862"/>
      <c r="I3" s="2862"/>
      <c r="J3" s="2862"/>
      <c r="K3" s="2862"/>
    </row>
    <row r="4" ht="33" spans="1:11">
      <c r="A4" s="2859" t="s">
        <v>791</v>
      </c>
      <c r="B4" s="2859" t="s">
        <v>792</v>
      </c>
      <c r="C4" s="2859" t="s">
        <v>793</v>
      </c>
      <c r="D4" s="2859" t="s">
        <v>794</v>
      </c>
      <c r="E4" s="2860"/>
      <c r="F4" s="2861"/>
      <c r="G4" s="2861"/>
      <c r="H4" s="2862"/>
      <c r="I4" s="2862"/>
      <c r="J4" s="2862"/>
      <c r="K4" s="2862"/>
    </row>
    <row r="5" ht="16.5" spans="1:11">
      <c r="A5" s="2859" t="s">
        <v>795</v>
      </c>
      <c r="B5" s="2859">
        <f ca="1">SUM(D14:D23)</f>
        <v>278</v>
      </c>
      <c r="C5" s="2859">
        <f ca="1">IF(B5=D14,结果表!H102,ROUND(B5*10000/$B$1,0))</f>
        <v>24812</v>
      </c>
      <c r="D5" s="2859" t="e">
        <f ca="1">ROUND(B5*10000/$B$2,0)</f>
        <v>#DIV/0!</v>
      </c>
      <c r="E5" s="2860"/>
      <c r="F5" s="2861"/>
      <c r="G5" s="2861"/>
      <c r="H5" s="2862"/>
      <c r="I5" s="2862"/>
      <c r="J5" s="2862"/>
      <c r="K5" s="2862"/>
    </row>
    <row r="6" ht="16.5" spans="1:11">
      <c r="A6" s="2859" t="s">
        <v>796</v>
      </c>
      <c r="B6" s="2859">
        <f ca="1">SUM(G14:G23)</f>
        <v>278</v>
      </c>
      <c r="C6" s="2859">
        <f ca="1">IF(B6=G14,结果表!H108,ROUND(B6*10000/$B$1,0))</f>
        <v>24812</v>
      </c>
      <c r="D6" s="2859" t="e">
        <f ca="1">ROUND(B6*10000/$B$2,0)</f>
        <v>#DIV/0!</v>
      </c>
      <c r="E6" s="2860"/>
      <c r="F6" s="2861"/>
      <c r="G6" s="2861"/>
      <c r="H6" s="2862"/>
      <c r="I6" s="2862"/>
      <c r="J6" s="2862"/>
      <c r="K6" s="2862"/>
    </row>
    <row r="7" ht="16.5" spans="1:11">
      <c r="A7" s="2859" t="s">
        <v>797</v>
      </c>
      <c r="B7" s="2859">
        <f>SUM(H14:H23)</f>
        <v>0</v>
      </c>
      <c r="C7" s="2859" t="str">
        <f ca="1">IF(B7=H14,结果表!H110,ROUND(B7*10000/$B$1,0))</f>
        <v>——</v>
      </c>
      <c r="D7" s="2859" t="e">
        <f>ROUND(B7*10000/$B$2,0)</f>
        <v>#DIV/0!</v>
      </c>
      <c r="E7" s="2860"/>
      <c r="F7" s="2861"/>
      <c r="G7" s="2861"/>
      <c r="H7" s="2862"/>
      <c r="I7" s="2862"/>
      <c r="J7" s="2862"/>
      <c r="K7" s="2862"/>
    </row>
    <row r="8" ht="16.5" spans="1:11">
      <c r="A8" s="2859" t="s">
        <v>374</v>
      </c>
      <c r="B8" s="2859">
        <f>SUM(I14:I23)</f>
        <v>0</v>
      </c>
      <c r="C8" s="2859" t="str">
        <f ca="1">IF(B8=I14,结果表!H112,ROUND(B8*10000/$B$1,0))</f>
        <v>——</v>
      </c>
      <c r="D8" s="2859" t="e">
        <f>ROUND(B8*10000/$B$2,0)</f>
        <v>#DIV/0!</v>
      </c>
      <c r="E8" s="2860"/>
      <c r="F8" s="2861"/>
      <c r="G8" s="2861"/>
      <c r="H8" s="2862"/>
      <c r="I8" s="2862"/>
      <c r="J8" s="2862"/>
      <c r="K8" s="2862"/>
    </row>
    <row r="9" ht="16.5" spans="1:11">
      <c r="A9" s="2859" t="s">
        <v>798</v>
      </c>
      <c r="B9" s="2864"/>
      <c r="C9" s="2860"/>
      <c r="D9" s="2860"/>
      <c r="E9" s="2860"/>
      <c r="F9" s="2861"/>
      <c r="G9" s="2861"/>
      <c r="H9" s="2862"/>
      <c r="I9" s="2862"/>
      <c r="J9" s="2862"/>
      <c r="K9" s="2862"/>
    </row>
    <row r="10" ht="16.5" spans="1:11">
      <c r="A10" s="2859" t="s">
        <v>799</v>
      </c>
      <c r="B10" s="2859">
        <f>IF(E10="",0,ROUND(B1*(E10*365/G10)/10000,0))</f>
        <v>0</v>
      </c>
      <c r="C10" s="2859" t="s">
        <v>800</v>
      </c>
      <c r="D10" s="2859" t="s">
        <v>799</v>
      </c>
      <c r="E10" s="2865"/>
      <c r="F10" s="2866" t="s">
        <v>801</v>
      </c>
      <c r="G10" s="2867"/>
      <c r="H10" s="2862"/>
      <c r="I10" s="2862"/>
      <c r="J10" s="2862"/>
      <c r="K10" s="2862"/>
    </row>
    <row r="11" ht="16.5" spans="1:11">
      <c r="A11" s="2859" t="s">
        <v>802</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803</v>
      </c>
      <c r="B13" s="2869" t="s">
        <v>788</v>
      </c>
      <c r="C13" s="2869" t="s">
        <v>789</v>
      </c>
      <c r="D13" s="2869" t="s">
        <v>804</v>
      </c>
      <c r="E13" s="2859" t="s">
        <v>793</v>
      </c>
      <c r="F13" s="2859" t="s">
        <v>794</v>
      </c>
      <c r="G13" s="2869" t="s">
        <v>805</v>
      </c>
      <c r="H13" s="2869" t="s">
        <v>806</v>
      </c>
      <c r="I13" s="2869" t="s">
        <v>807</v>
      </c>
      <c r="J13" s="2861"/>
      <c r="K13" s="2862"/>
    </row>
    <row r="14" ht="16.5" spans="1:11">
      <c r="A14" s="2870" t="s">
        <v>808</v>
      </c>
      <c r="B14" s="2871">
        <f>'数据-基础表'!I13</f>
        <v>112.13</v>
      </c>
      <c r="C14" s="2871"/>
      <c r="D14" s="2871">
        <f ca="1">ROUND(B14*E14/10000,0)</f>
        <v>278</v>
      </c>
      <c r="E14" s="2871">
        <f ca="1">结果表!G20</f>
        <v>24812</v>
      </c>
      <c r="F14" s="2871" t="e">
        <f ca="1">ROUND(D14*10000/C14,0)</f>
        <v>#DIV/0!</v>
      </c>
      <c r="G14" s="2871">
        <f ca="1">D14</f>
        <v>278</v>
      </c>
      <c r="H14" s="2871"/>
      <c r="I14" s="2871"/>
      <c r="J14" s="2861"/>
      <c r="K14" s="2862"/>
    </row>
    <row r="15" ht="16.5" spans="1:11">
      <c r="A15" s="2870" t="s">
        <v>809</v>
      </c>
      <c r="B15" s="2872"/>
      <c r="C15" s="2872"/>
      <c r="D15" s="2872"/>
      <c r="E15" s="2871" t="e">
        <f t="shared" ref="E15:E23" si="0">ROUND(D15*10000/B15,0)</f>
        <v>#DIV/0!</v>
      </c>
      <c r="F15" s="2871" t="e">
        <f t="shared" ref="F15:F23" si="1">ROUND(D15*10000/C15,0)</f>
        <v>#DIV/0!</v>
      </c>
      <c r="G15" s="2873"/>
      <c r="H15" s="2873"/>
      <c r="I15" s="2872"/>
      <c r="J15" s="2861"/>
      <c r="K15" s="2862"/>
    </row>
    <row r="16" ht="16.5" spans="1:11">
      <c r="A16" s="2870" t="s">
        <v>810</v>
      </c>
      <c r="B16" s="2872"/>
      <c r="C16" s="2872"/>
      <c r="D16" s="2872"/>
      <c r="E16" s="2871" t="e">
        <f t="shared" si="0"/>
        <v>#DIV/0!</v>
      </c>
      <c r="F16" s="2871" t="e">
        <f t="shared" si="1"/>
        <v>#DIV/0!</v>
      </c>
      <c r="G16" s="2873"/>
      <c r="H16" s="2873"/>
      <c r="I16" s="2872"/>
      <c r="J16" s="2862"/>
      <c r="K16" s="2862"/>
    </row>
    <row r="17" ht="16.5" spans="1:11">
      <c r="A17" s="2870" t="s">
        <v>811</v>
      </c>
      <c r="B17" s="2872"/>
      <c r="C17" s="2872"/>
      <c r="D17" s="2872"/>
      <c r="E17" s="2871" t="e">
        <f t="shared" si="0"/>
        <v>#DIV/0!</v>
      </c>
      <c r="F17" s="2871" t="e">
        <f t="shared" si="1"/>
        <v>#DIV/0!</v>
      </c>
      <c r="G17" s="2873"/>
      <c r="H17" s="2873"/>
      <c r="I17" s="2872"/>
      <c r="J17" s="2862"/>
      <c r="K17" s="2862"/>
    </row>
    <row r="18" ht="16.5" spans="1:11">
      <c r="A18" s="2870" t="s">
        <v>812</v>
      </c>
      <c r="B18" s="2872"/>
      <c r="C18" s="2872"/>
      <c r="D18" s="2872"/>
      <c r="E18" s="2871" t="e">
        <f t="shared" si="0"/>
        <v>#DIV/0!</v>
      </c>
      <c r="F18" s="2871" t="e">
        <f t="shared" si="1"/>
        <v>#DIV/0!</v>
      </c>
      <c r="G18" s="2872"/>
      <c r="H18" s="2872"/>
      <c r="I18" s="2872"/>
      <c r="J18" s="2862"/>
      <c r="K18" s="2862"/>
    </row>
    <row r="19" ht="16.5" spans="1:11">
      <c r="A19" s="2870" t="s">
        <v>813</v>
      </c>
      <c r="B19" s="2872"/>
      <c r="C19" s="2872"/>
      <c r="D19" s="2872"/>
      <c r="E19" s="2871" t="e">
        <f t="shared" si="0"/>
        <v>#DIV/0!</v>
      </c>
      <c r="F19" s="2871" t="e">
        <f t="shared" si="1"/>
        <v>#DIV/0!</v>
      </c>
      <c r="G19" s="2872"/>
      <c r="H19" s="2872"/>
      <c r="I19" s="2872"/>
      <c r="J19" s="2862"/>
      <c r="K19" s="2862"/>
    </row>
    <row r="20" ht="16.5" spans="1:11">
      <c r="A20" s="2870" t="s">
        <v>814</v>
      </c>
      <c r="B20" s="2872"/>
      <c r="C20" s="2872"/>
      <c r="D20" s="2872"/>
      <c r="E20" s="2871" t="e">
        <f t="shared" si="0"/>
        <v>#DIV/0!</v>
      </c>
      <c r="F20" s="2871" t="e">
        <f t="shared" si="1"/>
        <v>#DIV/0!</v>
      </c>
      <c r="G20" s="2872"/>
      <c r="H20" s="2872"/>
      <c r="I20" s="2872"/>
      <c r="J20" s="2862"/>
      <c r="K20" s="2862"/>
    </row>
    <row r="21" ht="16.5" spans="1:11">
      <c r="A21" s="2870" t="s">
        <v>815</v>
      </c>
      <c r="B21" s="2872"/>
      <c r="C21" s="2872"/>
      <c r="D21" s="2872"/>
      <c r="E21" s="2871" t="e">
        <f t="shared" si="0"/>
        <v>#DIV/0!</v>
      </c>
      <c r="F21" s="2871" t="e">
        <f t="shared" si="1"/>
        <v>#DIV/0!</v>
      </c>
      <c r="G21" s="2872"/>
      <c r="H21" s="2872"/>
      <c r="I21" s="2872"/>
      <c r="J21" s="2862"/>
      <c r="K21" s="2862"/>
    </row>
    <row r="22" ht="16.5" spans="1:11">
      <c r="A22" s="2870" t="s">
        <v>816</v>
      </c>
      <c r="B22" s="2872"/>
      <c r="C22" s="2872"/>
      <c r="D22" s="2872"/>
      <c r="E22" s="2871" t="e">
        <f t="shared" si="0"/>
        <v>#DIV/0!</v>
      </c>
      <c r="F22" s="2871" t="e">
        <f t="shared" si="1"/>
        <v>#DIV/0!</v>
      </c>
      <c r="G22" s="2872"/>
      <c r="H22" s="2872"/>
      <c r="I22" s="2872"/>
      <c r="J22" s="2862"/>
      <c r="K22" s="2862"/>
    </row>
    <row r="23" ht="16.5" spans="1:11">
      <c r="A23" s="2870" t="s">
        <v>817</v>
      </c>
      <c r="B23" s="2872"/>
      <c r="C23" s="2872"/>
      <c r="D23" s="2872"/>
      <c r="E23" s="2864" t="e">
        <f t="shared" si="0"/>
        <v>#DIV/0!</v>
      </c>
      <c r="F23" s="2864" t="e">
        <f t="shared" si="1"/>
        <v>#DIV/0!</v>
      </c>
      <c r="G23" s="2872"/>
      <c r="H23" s="2872"/>
      <c r="I23" s="2872"/>
      <c r="J23" s="2862"/>
      <c r="K23" s="2862"/>
    </row>
    <row r="24" spans="1:11">
      <c r="A24" s="2862"/>
      <c r="B24" s="2862"/>
      <c r="C24" s="2862"/>
      <c r="D24" s="2862"/>
      <c r="E24" s="2862"/>
      <c r="F24" s="2862"/>
      <c r="G24" s="2862"/>
      <c r="H24" s="2862"/>
      <c r="I24" s="2862"/>
      <c r="J24" s="2862"/>
      <c r="K24" s="2862"/>
    </row>
    <row r="25" spans="1:11">
      <c r="A25" s="2862"/>
      <c r="B25" s="2862"/>
      <c r="C25" s="2862"/>
      <c r="D25" s="2862"/>
      <c r="E25" s="2862"/>
      <c r="F25" s="2862"/>
      <c r="G25" s="2862"/>
      <c r="H25" s="2862"/>
      <c r="I25" s="2862"/>
      <c r="J25" s="2862"/>
      <c r="K25" s="2862"/>
    </row>
    <row r="26" spans="1:11">
      <c r="A26" s="2862"/>
      <c r="B26" s="2862"/>
      <c r="C26" s="2862"/>
      <c r="D26" s="2862"/>
      <c r="E26" s="2862"/>
      <c r="F26" s="2862"/>
      <c r="G26" s="2862"/>
      <c r="H26" s="2862"/>
      <c r="I26" s="2862"/>
      <c r="J26" s="2862"/>
      <c r="K26" s="286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K28" sqref="K28"/>
    </sheetView>
  </sheetViews>
  <sheetFormatPr defaultColWidth="12.625" defaultRowHeight="21.75" customHeight="1"/>
  <cols>
    <col min="1" max="2" width="12.625" style="2509"/>
    <col min="3" max="4" width="12.625" style="2509" customWidth="1"/>
    <col min="5" max="9" width="12.625" style="2509"/>
    <col min="10" max="11" width="12.625" style="1010" customWidth="1"/>
    <col min="12" max="12" width="12.625" style="1010"/>
    <col min="13" max="13" width="14.125" style="1010" customWidth="1"/>
    <col min="14" max="26" width="12.625" style="1010"/>
    <col min="27" max="35" width="12.625" style="2508"/>
    <col min="36" max="16384" width="12.625" style="2509"/>
  </cols>
  <sheetData>
    <row r="1" customHeight="1" spans="1:9">
      <c r="A1" s="2510" t="s">
        <v>818</v>
      </c>
      <c r="B1" s="2511"/>
      <c r="C1" s="2512"/>
      <c r="D1" s="2511"/>
      <c r="E1" s="2511"/>
      <c r="F1" s="2513" t="s">
        <v>819</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3.5" spans="1:9">
      <c r="A3" s="2518" t="s">
        <v>820</v>
      </c>
      <c r="B3" s="2154"/>
      <c r="C3" s="2154"/>
      <c r="D3" s="2154"/>
      <c r="E3" s="2154"/>
      <c r="F3" s="2154"/>
      <c r="G3" s="2154"/>
      <c r="H3" s="2154"/>
      <c r="I3" s="2154"/>
    </row>
    <row r="4" ht="14.25" spans="1:12">
      <c r="A4" s="2519" t="s">
        <v>821</v>
      </c>
      <c r="B4" s="2520" t="s">
        <v>822</v>
      </c>
      <c r="C4" s="2521" t="s">
        <v>823</v>
      </c>
      <c r="D4" s="2521" t="s">
        <v>285</v>
      </c>
      <c r="E4" s="2522" t="s">
        <v>824</v>
      </c>
      <c r="F4" s="2523"/>
      <c r="G4" s="2523"/>
      <c r="H4" s="2523"/>
      <c r="I4" s="2676"/>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24" t="s">
        <v>825</v>
      </c>
      <c r="B5" s="1378">
        <v>25</v>
      </c>
      <c r="C5" s="2525"/>
      <c r="D5" s="2526"/>
      <c r="E5" s="2143" t="s">
        <v>826</v>
      </c>
      <c r="F5" s="2527"/>
      <c r="G5" s="2527"/>
      <c r="H5" s="2527"/>
      <c r="I5" s="2220"/>
    </row>
    <row r="6" ht="13.5" spans="1:9">
      <c r="A6" s="2524"/>
      <c r="B6" s="1378"/>
      <c r="C6" s="2528"/>
      <c r="D6" s="2526"/>
      <c r="E6" s="2143" t="s">
        <v>827</v>
      </c>
      <c r="F6" s="2527"/>
      <c r="G6" s="2527"/>
      <c r="H6" s="2527"/>
      <c r="I6" s="2220"/>
    </row>
    <row r="7" ht="13.5" spans="1:9">
      <c r="A7" s="2524"/>
      <c r="B7" s="1378"/>
      <c r="C7" s="2529"/>
      <c r="D7" s="2526"/>
      <c r="E7" s="2143" t="s">
        <v>828</v>
      </c>
      <c r="F7" s="2527"/>
      <c r="G7" s="2527"/>
      <c r="H7" s="2527"/>
      <c r="I7" s="2220"/>
    </row>
    <row r="8" ht="13.5" spans="1:9">
      <c r="A8" s="2524" t="s">
        <v>829</v>
      </c>
      <c r="B8" s="1378">
        <v>15</v>
      </c>
      <c r="C8" s="2525"/>
      <c r="D8" s="2526"/>
      <c r="E8" s="2143" t="s">
        <v>830</v>
      </c>
      <c r="F8" s="2527"/>
      <c r="G8" s="2527"/>
      <c r="H8" s="2527"/>
      <c r="I8" s="2220"/>
    </row>
    <row r="9" ht="13.5" spans="1:9">
      <c r="A9" s="2524"/>
      <c r="B9" s="1378"/>
      <c r="C9" s="2529"/>
      <c r="D9" s="2526"/>
      <c r="E9" s="2143" t="s">
        <v>831</v>
      </c>
      <c r="F9" s="2527"/>
      <c r="G9" s="2527"/>
      <c r="H9" s="2527"/>
      <c r="I9" s="2220"/>
    </row>
    <row r="10" ht="13.5" spans="1:9">
      <c r="A10" s="2524" t="s">
        <v>832</v>
      </c>
      <c r="B10" s="1378">
        <v>15</v>
      </c>
      <c r="C10" s="2525"/>
      <c r="D10" s="2526"/>
      <c r="E10" s="2143" t="s">
        <v>833</v>
      </c>
      <c r="F10" s="2527"/>
      <c r="G10" s="2527"/>
      <c r="H10" s="2527"/>
      <c r="I10" s="2220"/>
    </row>
    <row r="11" ht="13.5" spans="1:9">
      <c r="A11" s="2524"/>
      <c r="B11" s="1378"/>
      <c r="C11" s="2529"/>
      <c r="D11" s="2526"/>
      <c r="E11" s="2143" t="s">
        <v>834</v>
      </c>
      <c r="F11" s="2527"/>
      <c r="G11" s="2527"/>
      <c r="H11" s="2527"/>
      <c r="I11" s="2220"/>
    </row>
    <row r="12" ht="13.5" spans="1:9">
      <c r="A12" s="2524" t="s">
        <v>835</v>
      </c>
      <c r="B12" s="1378">
        <v>15</v>
      </c>
      <c r="C12" s="2525"/>
      <c r="D12" s="2526"/>
      <c r="E12" s="2143" t="s">
        <v>836</v>
      </c>
      <c r="F12" s="2527"/>
      <c r="G12" s="2527"/>
      <c r="H12" s="2527"/>
      <c r="I12" s="2220"/>
    </row>
    <row r="13" ht="13.5" spans="1:9">
      <c r="A13" s="2524"/>
      <c r="B13" s="1378"/>
      <c r="C13" s="2529"/>
      <c r="D13" s="2526"/>
      <c r="E13" s="2143" t="s">
        <v>837</v>
      </c>
      <c r="F13" s="2527"/>
      <c r="G13" s="2527"/>
      <c r="H13" s="2527"/>
      <c r="I13" s="2220"/>
    </row>
    <row r="14" ht="13.5" spans="1:9">
      <c r="A14" s="2524" t="s">
        <v>838</v>
      </c>
      <c r="B14" s="1378">
        <v>30</v>
      </c>
      <c r="C14" s="2525">
        <v>7</v>
      </c>
      <c r="D14" s="2526">
        <v>3</v>
      </c>
      <c r="E14" s="2143" t="s">
        <v>839</v>
      </c>
      <c r="F14" s="2527"/>
      <c r="G14" s="2527"/>
      <c r="H14" s="2527"/>
      <c r="I14" s="2220"/>
    </row>
    <row r="15" ht="13.5" spans="1:9">
      <c r="A15" s="2524"/>
      <c r="B15" s="1378"/>
      <c r="C15" s="2528"/>
      <c r="D15" s="2526"/>
      <c r="E15" s="2143" t="s">
        <v>840</v>
      </c>
      <c r="F15" s="2527"/>
      <c r="G15" s="2527"/>
      <c r="H15" s="2527"/>
      <c r="I15" s="2220"/>
    </row>
    <row r="16" ht="13.5" spans="1:9">
      <c r="A16" s="2524"/>
      <c r="B16" s="1378"/>
      <c r="C16" s="2529"/>
      <c r="D16" s="2526"/>
      <c r="E16" s="2143" t="s">
        <v>841</v>
      </c>
      <c r="F16" s="2527"/>
      <c r="G16" s="2527"/>
      <c r="H16" s="2527"/>
      <c r="I16" s="2220"/>
    </row>
    <row r="17" ht="14.25" spans="1:13">
      <c r="A17" s="2530" t="s">
        <v>842</v>
      </c>
      <c r="B17" s="2531"/>
      <c r="C17" s="2532">
        <f>SUM(C5:C16)</f>
        <v>7</v>
      </c>
      <c r="D17" s="2532">
        <f>SUM(D5:D16)</f>
        <v>3</v>
      </c>
      <c r="E17" s="1054"/>
      <c r="F17" s="1054"/>
      <c r="G17" s="1054"/>
      <c r="H17" s="1054"/>
      <c r="I17" s="1054"/>
      <c r="K17" s="2100"/>
      <c r="L17" s="2100" t="s">
        <v>843</v>
      </c>
      <c r="M17" s="2100" t="s">
        <v>844</v>
      </c>
    </row>
    <row r="18" ht="31.9" customHeight="1" spans="1:13">
      <c r="A18" s="2533" t="s">
        <v>845</v>
      </c>
      <c r="B18" s="2534"/>
      <c r="C18" s="2535">
        <f>ROUND(C17/SUM(C17:D17),2)</f>
        <v>0.7</v>
      </c>
      <c r="D18" s="2535">
        <f>1-C18</f>
        <v>0.3</v>
      </c>
      <c r="E18" s="2536" t="s">
        <v>846</v>
      </c>
      <c r="F18" s="2537"/>
      <c r="G18" s="2537"/>
      <c r="H18" s="2537"/>
      <c r="I18" s="2537"/>
      <c r="K18" s="2100" t="s">
        <v>505</v>
      </c>
      <c r="L18" s="2100">
        <f>IF(C1="",'数据-汇总表'!E3,SUMIF(项目类型,C1,'数据-汇总表'!E17:E26)+SUMIF(项目类型,C1,'数据-汇总表'!I17:I26))</f>
        <v>112.13</v>
      </c>
      <c r="M18" s="2100">
        <f>IF(C1="",'数据-汇总表'!E3,SUMIF(项目类型,C1,'数据-汇总表'!E17:E26))</f>
        <v>112.13</v>
      </c>
    </row>
    <row r="19" ht="14.25" spans="1:13">
      <c r="A19" s="2538" t="s">
        <v>847</v>
      </c>
      <c r="B19" s="2539" t="s">
        <v>848</v>
      </c>
      <c r="C19" s="2540">
        <f ca="1">SUMIF(INDIRECT("'"&amp;C4&amp;"'"&amp;"!A:A"),结果表!B19,INDIRECT("'"&amp;C4&amp;"'"&amp;"!B:B"))</f>
        <v>316.7112</v>
      </c>
      <c r="D19" s="1535">
        <f ca="1">SUMIF(INDIRECT("'"&amp;D4&amp;"'"&amp;"!A:A"),结果表!B19,INDIRECT("'"&amp;D4&amp;"'"&amp;"!B:B"))</f>
        <v>188.3998</v>
      </c>
      <c r="E19" s="2538" t="s">
        <v>849</v>
      </c>
      <c r="F19" s="2539" t="s">
        <v>848</v>
      </c>
      <c r="G19" s="2541">
        <f ca="1">ROUND(C19*$C$18+D19*$D$18,0)</f>
        <v>278</v>
      </c>
      <c r="H19" s="2542" t="s">
        <v>850</v>
      </c>
      <c r="I19" s="1054"/>
      <c r="K19" s="2100" t="s">
        <v>509</v>
      </c>
      <c r="L19" s="2100">
        <f>IF(C1="",'数据-汇总表'!D3,SUMIF(项目类型,C1,'数据-汇总表'!D17:D26)+SUMIF(项目类型,C1,'数据-汇总表'!H17:H27))</f>
        <v>0</v>
      </c>
      <c r="M19" s="2100">
        <f>IF(C1="",'数据-汇总表'!D3,SUMIF(项目类型,C1,'数据-汇总表'!D17:D26))</f>
        <v>0</v>
      </c>
    </row>
    <row r="20" ht="15" spans="1:9">
      <c r="A20" s="2543"/>
      <c r="B20" s="2544" t="s">
        <v>851</v>
      </c>
      <c r="C20" s="1816">
        <f ca="1">SUMIF(INDIRECT("'"&amp;C4&amp;"'"&amp;"!A:A"),结果表!B20,INDIRECT("'"&amp;C4&amp;"'"&amp;"!B:B"))</f>
        <v>28245</v>
      </c>
      <c r="D20" s="1819">
        <f ca="1">SUMIF(INDIRECT("'"&amp;D4&amp;"'"&amp;"!A:A"),结果表!B20,INDIRECT("'"&amp;D4&amp;"'"&amp;"!B:B"))</f>
        <v>16802</v>
      </c>
      <c r="E20" s="2543"/>
      <c r="F20" s="2544" t="s">
        <v>851</v>
      </c>
      <c r="G20" s="2545">
        <f ca="1">ROUND(C20*$C$18+D20*$D$18,0)</f>
        <v>24812</v>
      </c>
      <c r="H20" s="2257" t="s">
        <v>852</v>
      </c>
      <c r="I20" s="1054"/>
    </row>
    <row r="21" ht="15" customHeight="1" spans="1:9">
      <c r="A21" s="2431"/>
      <c r="B21" s="2546" t="s">
        <v>853</v>
      </c>
      <c r="C21" s="2547" t="e">
        <f ca="1">ROUND(C19*10000/L19,0)</f>
        <v>#DIV/0!</v>
      </c>
      <c r="D21" s="2548" t="e">
        <f ca="1">ROUND(D19*10000/L19,0)</f>
        <v>#DIV/0!</v>
      </c>
      <c r="E21" s="2431"/>
      <c r="F21" s="2546" t="s">
        <v>853</v>
      </c>
      <c r="G21" s="2549" t="e">
        <f ca="1">ROUND(G19*10000/L19,0)</f>
        <v>#DIV/0!</v>
      </c>
      <c r="H21" s="2550" t="s">
        <v>852</v>
      </c>
      <c r="I21" s="1054"/>
    </row>
    <row r="22" ht="15" spans="1:9">
      <c r="A22" s="2551" t="s">
        <v>854</v>
      </c>
      <c r="B22" s="2552"/>
      <c r="C22" s="2553"/>
      <c r="D22" s="2554">
        <f ca="1">IF(C19&lt;D19,D19/C19-1,C19/D19-1)</f>
        <v>0.681059109404575</v>
      </c>
      <c r="E22" s="1054"/>
      <c r="F22" s="1054"/>
      <c r="G22" s="1054"/>
      <c r="H22" s="1054"/>
      <c r="I22" s="1054"/>
    </row>
    <row r="23" ht="14.25" spans="1:9">
      <c r="A23" s="2511"/>
      <c r="B23" s="2511"/>
      <c r="C23" s="2511"/>
      <c r="D23" s="2511"/>
      <c r="E23" s="1054"/>
      <c r="F23" s="1054"/>
      <c r="G23" s="1054"/>
      <c r="H23" s="1054"/>
      <c r="I23" s="1054"/>
    </row>
    <row r="24" ht="14.25" spans="1:9">
      <c r="A24" s="2555" t="s">
        <v>855</v>
      </c>
      <c r="B24" s="2539" t="s">
        <v>848</v>
      </c>
      <c r="C24" s="2541">
        <f>IF(B30=0,0,D30)</f>
        <v>0</v>
      </c>
      <c r="D24" s="2556"/>
      <c r="E24" s="1054"/>
      <c r="F24" s="1054"/>
      <c r="G24" s="1054"/>
      <c r="H24" s="1054"/>
      <c r="I24" s="1054"/>
    </row>
    <row r="25" ht="14.25" spans="1:9">
      <c r="A25" s="2557"/>
      <c r="B25" s="2544" t="s">
        <v>851</v>
      </c>
      <c r="C25" s="2558">
        <f>IF(B30=0,0,C30)</f>
        <v>0</v>
      </c>
      <c r="D25" s="2559"/>
      <c r="E25" s="1054"/>
      <c r="F25" s="1054"/>
      <c r="G25" s="1054"/>
      <c r="H25" s="1054"/>
      <c r="I25" s="1054"/>
    </row>
    <row r="26" ht="13.5" customHeight="1" spans="1:9">
      <c r="A26" s="2560" t="s">
        <v>856</v>
      </c>
      <c r="B26" s="2561" t="s">
        <v>857</v>
      </c>
      <c r="C26" s="2561" t="s">
        <v>858</v>
      </c>
      <c r="D26" s="2562" t="s">
        <v>859</v>
      </c>
      <c r="E26" s="1054"/>
      <c r="F26" s="1054"/>
      <c r="G26" s="1054"/>
      <c r="H26" s="1054"/>
      <c r="I26" s="1054"/>
    </row>
    <row r="27" ht="14.25" spans="1:9">
      <c r="A27" s="2560"/>
      <c r="B27" s="2561">
        <v>0</v>
      </c>
      <c r="C27" s="2561">
        <v>0</v>
      </c>
      <c r="D27" s="2562">
        <f>ROUND(C27*B27/10000,0)</f>
        <v>0</v>
      </c>
      <c r="E27" s="1054"/>
      <c r="F27" s="1054"/>
      <c r="G27" s="1054"/>
      <c r="H27" s="1054"/>
      <c r="I27" s="1054"/>
    </row>
    <row r="28" ht="14.25" spans="1:9">
      <c r="A28" s="2560"/>
      <c r="B28" s="2561"/>
      <c r="C28" s="2561"/>
      <c r="D28" s="2562"/>
      <c r="E28" s="1054"/>
      <c r="F28" s="1054"/>
      <c r="G28" s="1054"/>
      <c r="H28" s="1054"/>
      <c r="I28" s="1054"/>
    </row>
    <row r="29" ht="14.25" spans="1:9">
      <c r="A29" s="2560"/>
      <c r="B29" s="2561"/>
      <c r="C29" s="2561"/>
      <c r="D29" s="2562"/>
      <c r="E29" s="1054"/>
      <c r="F29" s="1054"/>
      <c r="G29" s="1054"/>
      <c r="H29" s="1054"/>
      <c r="I29" s="1054"/>
    </row>
    <row r="30" ht="15" spans="1:9">
      <c r="A30" s="2561" t="s">
        <v>860</v>
      </c>
      <c r="B30" s="2561"/>
      <c r="C30" s="2561"/>
      <c r="D30" s="2561"/>
      <c r="E30" s="2563" t="s">
        <v>861</v>
      </c>
      <c r="F30" s="1054"/>
      <c r="G30" s="1054"/>
      <c r="H30" s="1054"/>
      <c r="I30" s="1054"/>
    </row>
    <row r="31" s="2505" customFormat="1" ht="26.45" customHeight="1" spans="1:36">
      <c r="A31" s="2564"/>
      <c r="B31" s="2565"/>
      <c r="C31" s="2565"/>
      <c r="D31" s="2565"/>
      <c r="E31" s="2565"/>
      <c r="F31" s="2565"/>
      <c r="G31" s="2565"/>
      <c r="H31" s="2565"/>
      <c r="I31" s="2677" t="s">
        <v>862</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6.5" spans="1:9">
      <c r="A32" s="2566" t="s">
        <v>863</v>
      </c>
      <c r="B32" s="2567"/>
      <c r="C32" s="2568">
        <f ca="1">IF(D32="总价",G19-C24,G20-C25)</f>
        <v>24812</v>
      </c>
      <c r="D32" s="2569" t="s">
        <v>864</v>
      </c>
      <c r="E32" s="1054"/>
      <c r="F32" s="1054"/>
      <c r="G32" s="1054"/>
      <c r="H32" s="1054"/>
      <c r="I32" s="1054"/>
    </row>
    <row r="33" ht="15" spans="1:9">
      <c r="A33" s="2372" t="s">
        <v>865</v>
      </c>
      <c r="B33" s="2570"/>
      <c r="C33" s="2571" t="s">
        <v>866</v>
      </c>
      <c r="D33" s="2572" t="s">
        <v>285</v>
      </c>
      <c r="E33" s="2573" t="s">
        <v>867</v>
      </c>
      <c r="F33" s="2574" t="str">
        <f>IF(D32="楼面单价","取值（单价）","取值（总价）")</f>
        <v>取值（单价）</v>
      </c>
      <c r="G33" s="1054"/>
      <c r="H33" s="1054"/>
      <c r="I33" s="1054"/>
    </row>
    <row r="34" ht="15" spans="1:9">
      <c r="A34" s="2575"/>
      <c r="B34" s="2576" t="s">
        <v>868</v>
      </c>
      <c r="C34" s="2577">
        <f ca="1">IF(C33="自定义",F34,C32-C35)</f>
        <v>14143</v>
      </c>
      <c r="D34" s="2578">
        <f ca="1">IF(C33="自定义",ROUND(C34/C32,3),IF(C33="收益比率",SUMIF(INDIRECT("'"&amp;D33&amp;"'"&amp;"!b:b"),"土地收益比率",INDIRECT("'"&amp;D33&amp;"'"&amp;"!c:c")),SUMIF(INDIRECT("'"&amp;D33&amp;"'"&amp;"!b:b"),"土地成本比率",INDIRECT("'"&amp;D33&amp;"'"&amp;"!c:c"))))</f>
        <v>0.57</v>
      </c>
      <c r="E34" s="2579" t="s">
        <v>869</v>
      </c>
      <c r="F34" s="2580"/>
      <c r="G34" s="1054"/>
      <c r="H34" s="1054"/>
      <c r="I34" s="1054"/>
    </row>
    <row r="35" ht="15.75" spans="1:9">
      <c r="A35" s="2581"/>
      <c r="B35" s="2582" t="s">
        <v>870</v>
      </c>
      <c r="C35" s="2583">
        <f ca="1">IF(C33="自定义",F35,ROUND(C32*D35,0))</f>
        <v>10669</v>
      </c>
      <c r="D35" s="2584">
        <f ca="1">IF(C33="自定义",ROUND(C35/C32,3),IF(C33="收益比率",SUMIF(INDIRECT("'"&amp;D33&amp;"'"&amp;"!b:b"),"建筑物收益比率",INDIRECT("'"&amp;D33&amp;"'"&amp;"!c:c")),SUMIF(INDIRECT("'"&amp;D33&amp;"'"&amp;"!b:b"),"建筑物成本比率",INDIRECT("'"&amp;D33&amp;"'"&amp;"!c:c"))))</f>
        <v>0.43</v>
      </c>
      <c r="E35" s="2585" t="s">
        <v>871</v>
      </c>
      <c r="F35" s="2586"/>
      <c r="G35" s="1054"/>
      <c r="H35" s="1054"/>
      <c r="I35" s="1054"/>
    </row>
    <row r="36" ht="15.75" spans="1:9">
      <c r="A36" s="2587" t="s">
        <v>872</v>
      </c>
      <c r="B36" s="2588" t="s">
        <v>873</v>
      </c>
      <c r="C36" s="2589"/>
      <c r="D36" s="2590"/>
      <c r="E36" s="2591"/>
      <c r="F36" s="2592"/>
      <c r="G36" s="1054"/>
      <c r="H36" s="1054"/>
      <c r="I36" s="1054"/>
    </row>
    <row r="37" ht="15.75" spans="1:9">
      <c r="A37" s="2593"/>
      <c r="B37" s="2594" t="s">
        <v>874</v>
      </c>
      <c r="C37" s="2595"/>
      <c r="D37" s="2596"/>
      <c r="E37" s="2596"/>
      <c r="F37" s="2592"/>
      <c r="G37" s="1054"/>
      <c r="H37" s="1054"/>
      <c r="I37" s="1054"/>
    </row>
    <row r="38" ht="15.75" spans="1:9">
      <c r="A38" s="2597"/>
      <c r="B38" s="2598" t="s">
        <v>875</v>
      </c>
      <c r="C38" s="2599"/>
      <c r="D38" s="2600" t="s">
        <v>876</v>
      </c>
      <c r="E38" s="2596"/>
      <c r="F38" s="2592"/>
      <c r="G38" s="1054"/>
      <c r="H38" s="1054"/>
      <c r="I38" s="1054"/>
    </row>
    <row r="39" ht="14.25" spans="1:9">
      <c r="A39" s="2543" t="s">
        <v>877</v>
      </c>
      <c r="B39" s="2601" t="s">
        <v>857</v>
      </c>
      <c r="C39" s="2602" t="s">
        <v>858</v>
      </c>
      <c r="D39" s="2602" t="s">
        <v>878</v>
      </c>
      <c r="E39" s="2603" t="s">
        <v>859</v>
      </c>
      <c r="F39" s="2592"/>
      <c r="G39" s="1054"/>
      <c r="H39" s="1054"/>
      <c r="I39" s="1054"/>
    </row>
    <row r="40" ht="14.25" spans="1:9">
      <c r="A40" s="2604" t="s">
        <v>879</v>
      </c>
      <c r="B40" s="2605"/>
      <c r="C40" s="1072"/>
      <c r="D40" s="1072"/>
      <c r="E40" s="2606"/>
      <c r="F40" s="2592"/>
      <c r="G40" s="1054"/>
      <c r="H40" s="1054"/>
      <c r="I40" s="1054"/>
    </row>
    <row r="41" ht="14.25" spans="1:9">
      <c r="A41" s="2604" t="s">
        <v>880</v>
      </c>
      <c r="B41" s="2605"/>
      <c r="C41" s="1072"/>
      <c r="D41" s="1072"/>
      <c r="E41" s="2606"/>
      <c r="F41" s="2592"/>
      <c r="G41" s="1054"/>
      <c r="H41" s="1054"/>
      <c r="I41" s="1054"/>
    </row>
    <row r="42" ht="15" spans="1:9">
      <c r="A42" s="2607"/>
      <c r="B42" s="2608"/>
      <c r="C42" s="2609"/>
      <c r="D42" s="2609"/>
      <c r="E42" s="2586"/>
      <c r="F42" s="2592"/>
      <c r="G42" s="1054"/>
      <c r="H42" s="1054"/>
      <c r="I42" s="1054"/>
    </row>
    <row r="43" ht="13.5" spans="1:9">
      <c r="A43" s="2610"/>
      <c r="B43" s="2610"/>
      <c r="C43" s="2610"/>
      <c r="D43" s="2610"/>
      <c r="E43" s="2610"/>
      <c r="F43" s="2611"/>
      <c r="G43" s="2611"/>
      <c r="H43" s="2611"/>
      <c r="I43" s="2680"/>
    </row>
    <row r="44" ht="18.75" spans="1:15">
      <c r="A44" s="2612" t="s">
        <v>881</v>
      </c>
      <c r="B44" s="2613"/>
      <c r="C44" s="2613"/>
      <c r="D44" s="2614"/>
      <c r="E44" s="2614"/>
      <c r="F44" s="2615"/>
      <c r="G44" s="2615"/>
      <c r="H44" s="2615"/>
      <c r="I44" s="2615"/>
      <c r="J44" s="2681" t="s">
        <v>882</v>
      </c>
      <c r="K44" s="2682"/>
      <c r="L44" s="2682"/>
      <c r="M44" s="2682"/>
      <c r="N44" s="2682"/>
      <c r="O44" s="2682"/>
    </row>
    <row r="45" ht="14.25" customHeight="1" spans="1:15">
      <c r="A45" s="2616" t="s">
        <v>883</v>
      </c>
      <c r="B45" s="2617"/>
      <c r="C45" s="2618"/>
      <c r="D45" s="2099">
        <f ca="1">ROUND(H101*F45,0)</f>
        <v>278</v>
      </c>
      <c r="E45" s="2619" t="s">
        <v>884</v>
      </c>
      <c r="F45" s="2620">
        <v>1</v>
      </c>
      <c r="G45" s="2621" t="s">
        <v>885</v>
      </c>
      <c r="H45" s="1054"/>
      <c r="I45" s="1054"/>
      <c r="J45" s="2683" t="s">
        <v>886</v>
      </c>
      <c r="K45" s="2683"/>
      <c r="L45" s="2683"/>
      <c r="M45" s="2683"/>
      <c r="N45" s="2683"/>
      <c r="O45" s="2683"/>
    </row>
    <row r="46" ht="14.25" customHeight="1" spans="1:15">
      <c r="A46" s="2622" t="s">
        <v>887</v>
      </c>
      <c r="B46" s="2623"/>
      <c r="C46" s="2623"/>
      <c r="D46" s="2623"/>
      <c r="E46" s="2623"/>
      <c r="F46" s="2623"/>
      <c r="G46" s="2624"/>
      <c r="H46" s="2625"/>
      <c r="I46" s="1055"/>
      <c r="J46" s="667">
        <v>1</v>
      </c>
      <c r="K46" s="2684" t="s">
        <v>888</v>
      </c>
      <c r="L46" s="2684"/>
      <c r="M46" s="2685"/>
      <c r="N46" s="2685"/>
      <c r="O46" s="2685"/>
    </row>
    <row r="47" ht="12" customHeight="1" spans="1:15">
      <c r="A47" s="2626" t="s">
        <v>889</v>
      </c>
      <c r="B47" s="2627"/>
      <c r="C47" s="2628"/>
      <c r="D47" s="2153" t="s">
        <v>890</v>
      </c>
      <c r="E47" s="2100" t="s">
        <v>891</v>
      </c>
      <c r="F47" s="2629" t="s">
        <v>892</v>
      </c>
      <c r="G47" s="2630" t="s">
        <v>893</v>
      </c>
      <c r="H47" s="2631"/>
      <c r="I47" s="1055"/>
      <c r="J47" s="667">
        <v>2</v>
      </c>
      <c r="K47" s="2684" t="s">
        <v>894</v>
      </c>
      <c r="L47" s="2684"/>
      <c r="M47" s="2686">
        <f>'数据-取费表'!B2</f>
        <v>45846</v>
      </c>
      <c r="N47" s="2686"/>
      <c r="O47" s="2686"/>
    </row>
    <row r="48" ht="24.75" spans="1:15">
      <c r="A48" s="2632" t="s">
        <v>895</v>
      </c>
      <c r="B48" s="2157"/>
      <c r="C48" s="2157"/>
      <c r="D48" s="2255" t="b">
        <f ca="1">IF(H48="情况1",0,IF(H48="情况2",D52,IF(H48="情况3",D53,IF(H48="情况4",D54))))</f>
        <v>0</v>
      </c>
      <c r="E48" s="2157" t="str">
        <f>IF(H48="情况4","(销售额-原购置价)×税（费）率","销售额×税（费）率")</f>
        <v>销售额×税（费）率</v>
      </c>
      <c r="F48" s="2633">
        <f>IF(H48="情况1","免征",'数据-取费表'!B41)</f>
        <v>0.056</v>
      </c>
      <c r="G48" s="2634" t="s">
        <v>896</v>
      </c>
      <c r="H48" s="2635"/>
      <c r="I48" s="2625"/>
      <c r="J48" s="667">
        <v>3</v>
      </c>
      <c r="K48" s="2684" t="s">
        <v>897</v>
      </c>
      <c r="L48" s="2684"/>
      <c r="M48" s="2687">
        <f ca="1">H101</f>
        <v>278</v>
      </c>
      <c r="N48" s="2687"/>
      <c r="O48" s="2687"/>
    </row>
    <row r="49" ht="25.5" customHeight="1" spans="1:15">
      <c r="A49" s="2632" t="s">
        <v>898</v>
      </c>
      <c r="B49" s="2135" t="s">
        <v>899</v>
      </c>
      <c r="C49" s="2135"/>
      <c r="D49" s="2636">
        <v>0</v>
      </c>
      <c r="E49" s="2163" t="s">
        <v>900</v>
      </c>
      <c r="F49" s="2637" t="s">
        <v>124</v>
      </c>
      <c r="G49" s="2638"/>
      <c r="H49" s="2639" t="s">
        <v>901</v>
      </c>
      <c r="I49" s="2688"/>
      <c r="J49" s="667">
        <v>4</v>
      </c>
      <c r="K49" s="2684" t="str">
        <f>IF(项目基本情况!E8="房地产抵押价值","房地产抵押价值","抵押担保权已注销时的房地产抵押价值")</f>
        <v>房地产抵押价值</v>
      </c>
      <c r="L49" s="2684"/>
      <c r="M49" s="2687">
        <f ca="1">IF(项目基本情况!E8="房地产抵押价值",H107,H109)</f>
        <v>278</v>
      </c>
      <c r="N49" s="2687"/>
      <c r="O49" s="2687"/>
    </row>
    <row r="50" ht="25.5" customHeight="1" spans="1:15">
      <c r="A50" s="2640"/>
      <c r="B50" s="2135" t="s">
        <v>902</v>
      </c>
      <c r="C50" s="2135"/>
      <c r="D50" s="2641"/>
      <c r="E50" s="2178"/>
      <c r="F50" s="2637"/>
      <c r="G50" s="2642"/>
      <c r="H50" s="2643" t="s">
        <v>903</v>
      </c>
      <c r="I50" s="2688"/>
      <c r="J50" s="2683" t="s">
        <v>904</v>
      </c>
      <c r="K50" s="2683"/>
      <c r="L50" s="2683"/>
      <c r="M50" s="2683"/>
      <c r="N50" s="2683"/>
      <c r="O50" s="2683"/>
    </row>
    <row r="51" ht="20.45" customHeight="1" spans="1:15">
      <c r="A51" s="2644"/>
      <c r="B51" s="2135" t="s">
        <v>905</v>
      </c>
      <c r="C51" s="2135"/>
      <c r="D51" s="2153"/>
      <c r="E51" s="2167"/>
      <c r="F51" s="2637"/>
      <c r="G51" s="2645"/>
      <c r="H51" s="2643" t="s">
        <v>906</v>
      </c>
      <c r="I51" s="2688"/>
      <c r="J51" s="2684" t="s">
        <v>907</v>
      </c>
      <c r="K51" s="2684" t="s">
        <v>908</v>
      </c>
      <c r="L51" s="2684"/>
      <c r="M51" s="2684" t="s">
        <v>909</v>
      </c>
      <c r="N51" s="2684" t="s">
        <v>910</v>
      </c>
      <c r="O51" s="2684" t="s">
        <v>911</v>
      </c>
    </row>
    <row r="52" ht="24" customHeight="1" spans="1:15">
      <c r="A52" s="2646" t="s">
        <v>912</v>
      </c>
      <c r="B52" s="2135" t="s">
        <v>913</v>
      </c>
      <c r="C52" s="2135"/>
      <c r="D52" s="2153">
        <f ca="1">ROUND(D45*'数据-取费表'!B41/(1+'数据-取费表'!C42),0)</f>
        <v>15</v>
      </c>
      <c r="E52" s="2157" t="s">
        <v>914</v>
      </c>
      <c r="F52" s="2647">
        <f>'数据-取费表'!B41</f>
        <v>0.056</v>
      </c>
      <c r="G52" s="2648"/>
      <c r="H52" s="2270"/>
      <c r="I52" s="2689"/>
      <c r="J52" s="667">
        <v>1</v>
      </c>
      <c r="K52" s="667" t="s">
        <v>915</v>
      </c>
      <c r="L52" s="667"/>
      <c r="M52" s="2690" t="b">
        <f ca="1">D48</f>
        <v>0</v>
      </c>
      <c r="N52" s="667" t="str">
        <f>E48</f>
        <v>销售额×税（费）率</v>
      </c>
      <c r="O52" s="2691">
        <f>F48</f>
        <v>0.056</v>
      </c>
    </row>
    <row r="53" ht="12" customHeight="1" spans="1:15">
      <c r="A53" s="2646" t="s">
        <v>916</v>
      </c>
      <c r="B53" s="2134" t="s">
        <v>917</v>
      </c>
      <c r="C53" s="2649"/>
      <c r="D53" s="2153">
        <f ca="1">ROUND(D45*'数据-取费表'!B41/(1+'数据-取费表'!C42),0)</f>
        <v>15</v>
      </c>
      <c r="E53" s="2157" t="s">
        <v>914</v>
      </c>
      <c r="F53" s="2647">
        <f>'数据-取费表'!B41</f>
        <v>0.056</v>
      </c>
      <c r="G53" s="2648"/>
      <c r="H53" s="2270"/>
      <c r="I53" s="2689"/>
      <c r="J53" s="667">
        <v>2</v>
      </c>
      <c r="K53" s="667" t="s">
        <v>918</v>
      </c>
      <c r="L53" s="667"/>
      <c r="M53" s="2690">
        <f ca="1" t="shared" ref="M53:O54" si="0">D55</f>
        <v>0</v>
      </c>
      <c r="N53" s="667" t="str">
        <f t="shared" si="0"/>
        <v>销售额×税（费）率</v>
      </c>
      <c r="O53" s="2691" t="str">
        <f t="shared" si="0"/>
        <v>免征</v>
      </c>
    </row>
    <row r="54" ht="12" customHeight="1" spans="1:15">
      <c r="A54" s="2646" t="s">
        <v>919</v>
      </c>
      <c r="B54" s="2134" t="s">
        <v>920</v>
      </c>
      <c r="C54" s="2649"/>
      <c r="D54" s="2153">
        <f ca="1">C68</f>
        <v>15</v>
      </c>
      <c r="E54" s="2167" t="s">
        <v>921</v>
      </c>
      <c r="F54" s="2647">
        <f>'数据-取费表'!B41</f>
        <v>0.056</v>
      </c>
      <c r="G54" s="2648"/>
      <c r="H54" s="2650"/>
      <c r="I54" s="2689"/>
      <c r="J54" s="667">
        <v>3</v>
      </c>
      <c r="K54" s="667" t="s">
        <v>922</v>
      </c>
      <c r="L54" s="667"/>
      <c r="M54" s="2690">
        <f ca="1" t="shared" si="0"/>
        <v>157</v>
      </c>
      <c r="N54" s="667" t="str">
        <f t="shared" si="0"/>
        <v>增值额×税（费）率</v>
      </c>
      <c r="O54" s="2692" t="str">
        <f t="shared" si="0"/>
        <v>免征</v>
      </c>
    </row>
    <row r="55" ht="24" customHeight="1" spans="1:15">
      <c r="A55" s="2646" t="s">
        <v>923</v>
      </c>
      <c r="B55" s="2157"/>
      <c r="C55" s="2157"/>
      <c r="D55" s="2255">
        <f ca="1">IF(H55="个人住宅",0,ROUND(D45*I55,0))</f>
        <v>0</v>
      </c>
      <c r="E55" s="2157" t="s">
        <v>924</v>
      </c>
      <c r="F55" s="2647" t="str">
        <f>IF(H55="正常",I55,"免征")</f>
        <v>免征</v>
      </c>
      <c r="G55" s="2648"/>
      <c r="H55" s="2635"/>
      <c r="I55" s="2693">
        <f>'数据-取费表'!B49</f>
        <v>0.0005</v>
      </c>
      <c r="J55" s="667">
        <f>IF(H59="非个人房产","",4)</f>
        <v>4</v>
      </c>
      <c r="K55" s="667" t="str">
        <f>IF(H59="非个人房产","——","个人所得税")</f>
        <v>个人所得税</v>
      </c>
      <c r="L55" s="667"/>
      <c r="M55" s="2694">
        <f ca="1">D59</f>
        <v>3</v>
      </c>
      <c r="N55" s="648" t="str">
        <f>E59</f>
        <v>差额计税</v>
      </c>
      <c r="O55" s="2695">
        <f>F59</f>
        <v>0.01</v>
      </c>
    </row>
    <row r="56" ht="24.75" spans="1:15">
      <c r="A56" s="2646" t="s">
        <v>925</v>
      </c>
      <c r="B56" s="2157"/>
      <c r="C56" s="2157"/>
      <c r="D56" s="2255">
        <f ca="1">IF(H56="个人住宅",D57,D58)</f>
        <v>157</v>
      </c>
      <c r="E56" s="2157" t="s">
        <v>926</v>
      </c>
      <c r="F56" s="2647" t="str">
        <f>IF(H56="正常",F58,"免征")</f>
        <v>免征</v>
      </c>
      <c r="G56" s="2651" t="s">
        <v>927</v>
      </c>
      <c r="H56" s="2652"/>
      <c r="I56" s="2663"/>
      <c r="J56" s="667" t="str">
        <f>IF(项目基本情况!K6="上海银行",IF(J55="",4,J55+1),"")</f>
        <v/>
      </c>
      <c r="K56" s="2255" t="str">
        <f>IF(项目基本情况!K6="上海银行","其他处置费用","")</f>
        <v/>
      </c>
      <c r="L56" s="2399"/>
      <c r="M56" s="2690" t="str">
        <f ca="1">IF(项目基本情况!K6="上海银行",M69,"")</f>
        <v/>
      </c>
      <c r="N56" s="2255" t="str">
        <f>IF(项目基本情况!K6="上海银行","包含处置中涉及的律师、诉讼、拍卖、评估等费用","")</f>
        <v/>
      </c>
      <c r="O56" s="2106"/>
    </row>
    <row r="57" ht="13.5" spans="1:16">
      <c r="A57" s="2646" t="s">
        <v>898</v>
      </c>
      <c r="B57" s="2134" t="s">
        <v>928</v>
      </c>
      <c r="C57" s="2649"/>
      <c r="D57" s="2636">
        <v>0</v>
      </c>
      <c r="E57" s="2163" t="s">
        <v>900</v>
      </c>
      <c r="F57" s="2100"/>
      <c r="G57" s="2648"/>
      <c r="H57" s="2653"/>
      <c r="I57" s="2663"/>
      <c r="J57" s="667">
        <f>IF(AND(J55="",J56=""),4,IF(项目基本情况!K6="上海银行",结果表!J56+1,结果表!J55+1))</f>
        <v>5</v>
      </c>
      <c r="K57" s="667" t="s">
        <v>929</v>
      </c>
      <c r="L57" s="2696" t="s">
        <v>930</v>
      </c>
      <c r="M57" s="2697"/>
      <c r="N57" s="2698">
        <f ca="1">SUMIF(M52:M56,"&lt;9e307")</f>
        <v>160</v>
      </c>
      <c r="O57" s="2699"/>
      <c r="P57" s="2700">
        <f ca="1">N57/M49</f>
        <v>0.575539568345324</v>
      </c>
    </row>
    <row r="58" ht="24.75" spans="1:15">
      <c r="A58" s="2646" t="s">
        <v>912</v>
      </c>
      <c r="B58" s="2134" t="s">
        <v>931</v>
      </c>
      <c r="C58" s="2135"/>
      <c r="D58" s="2255">
        <f ca="1">IF(H58="转让取得",C81,C97)</f>
        <v>157</v>
      </c>
      <c r="E58" s="2157" t="s">
        <v>926</v>
      </c>
      <c r="F58" s="2100" t="s">
        <v>124</v>
      </c>
      <c r="G58" s="2648"/>
      <c r="H58" s="2652"/>
      <c r="I58" s="2663"/>
      <c r="J58" s="667"/>
      <c r="K58" s="667"/>
      <c r="L58" s="2696" t="s">
        <v>932</v>
      </c>
      <c r="M58" s="2701"/>
      <c r="N58" s="2702" t="str">
        <f ca="1">NUMBERSTRING(INT(N57*10000),2)&amp;"元整"</f>
        <v>壹佰陆拾万元整</v>
      </c>
      <c r="O58" s="2703"/>
    </row>
    <row r="59" ht="24.75" spans="1:15">
      <c r="A59" s="2654" t="s">
        <v>933</v>
      </c>
      <c r="B59" s="2655"/>
      <c r="C59" s="2655"/>
      <c r="D59" s="2656">
        <f ca="1">IF(H59="非个人房产","——",IF(H59="个人住宅（满五唯一有凭证）",0,IF(H59="个人其他（无凭证）",ROUND(D45*F59,0),ROUND(C67*F59,0))))</f>
        <v>3</v>
      </c>
      <c r="E59" s="2657" t="str">
        <f>IF(H59="非个人房产","——",IF(H59="个人其他（无凭证）","销售额×税（费）率",IF(H59="个人住宅（满五唯一有凭证）","免征","差额计税")))</f>
        <v>差额计税</v>
      </c>
      <c r="F59" s="2658">
        <f>IF(OR(H59="非个人房产",H59="个人住宅（满五唯一有凭证）"),"——",IF(H59="个人其他（有凭证）",20%,1%))</f>
        <v>0.01</v>
      </c>
      <c r="G59" s="2659" t="s">
        <v>927</v>
      </c>
      <c r="H59" s="2660"/>
      <c r="I59" s="2704" t="s">
        <v>934</v>
      </c>
      <c r="J59" s="648">
        <f>J57+1</f>
        <v>6</v>
      </c>
      <c r="K59" s="667" t="s">
        <v>935</v>
      </c>
      <c r="L59" s="667" t="s">
        <v>930</v>
      </c>
      <c r="M59" s="2705"/>
      <c r="N59" s="2706">
        <f ca="1">M49-N57</f>
        <v>118</v>
      </c>
      <c r="O59" s="2707"/>
    </row>
    <row r="60" ht="12" customHeight="1" spans="1:15">
      <c r="A60" s="2661"/>
      <c r="B60" s="2511"/>
      <c r="C60" s="2511"/>
      <c r="D60" s="2511"/>
      <c r="E60" s="2662"/>
      <c r="F60" s="2663"/>
      <c r="G60" s="2663"/>
      <c r="H60" s="2664"/>
      <c r="I60" s="1054"/>
      <c r="J60" s="653"/>
      <c r="K60" s="667"/>
      <c r="L60" s="2696" t="s">
        <v>932</v>
      </c>
      <c r="M60" s="2701"/>
      <c r="N60" s="2702" t="str">
        <f ca="1">NUMBERSTRING(INT(N59*10000),2)&amp;"元整"</f>
        <v>壹佰壹拾捌万元整</v>
      </c>
      <c r="O60" s="2703"/>
    </row>
    <row r="61" ht="14.25" spans="1:15">
      <c r="A61" s="2665" t="s">
        <v>936</v>
      </c>
      <c r="B61" s="2665"/>
      <c r="C61" s="2665"/>
      <c r="D61" s="2665"/>
      <c r="E61" s="2665"/>
      <c r="F61" s="2663"/>
      <c r="G61" s="2663"/>
      <c r="H61" s="2664"/>
      <c r="I61" s="1054"/>
      <c r="J61" s="667">
        <f>J59+1</f>
        <v>7</v>
      </c>
      <c r="K61" s="667" t="s">
        <v>937</v>
      </c>
      <c r="L61" s="667"/>
      <c r="M61" s="2708"/>
      <c r="N61" s="2709">
        <f ca="1">ROUND(N59*10000/'数据-汇总表'!E3,0)</f>
        <v>10523</v>
      </c>
      <c r="O61" s="2710"/>
    </row>
    <row r="62" ht="13.5" spans="1:9">
      <c r="A62" s="2666" t="s">
        <v>938</v>
      </c>
      <c r="B62" s="618"/>
      <c r="C62" s="618"/>
      <c r="D62" s="618" t="s">
        <v>939</v>
      </c>
      <c r="E62" s="2667" t="s">
        <v>893</v>
      </c>
      <c r="F62" s="2663"/>
      <c r="G62" s="2663"/>
      <c r="H62" s="2664"/>
      <c r="I62" s="1054"/>
    </row>
    <row r="63" ht="13.5" spans="1:35">
      <c r="A63" s="2668" t="s">
        <v>940</v>
      </c>
      <c r="B63" s="678" t="s">
        <v>941</v>
      </c>
      <c r="C63" s="2669">
        <f ca="1">ROUND((C64+C65)/(1+'数据-取费表'!C42),0)</f>
        <v>265</v>
      </c>
      <c r="D63" s="678"/>
      <c r="E63" s="2670"/>
      <c r="F63" s="2663"/>
      <c r="G63" s="2663"/>
      <c r="H63" s="2664"/>
      <c r="I63" s="1054"/>
      <c r="J63" s="2711" t="s">
        <v>942</v>
      </c>
      <c r="K63" s="2711" t="s">
        <v>943</v>
      </c>
      <c r="L63" s="2711">
        <f ca="1">IF(M49&gt;10000,M49*0.5%,IF(AND(M49&gt;1000,M49&lt;=10000),M49*1%,IF(AND(M49&gt;100,M49&lt;=1000),M49*3%,IF(AND(M49&gt;10,M49&lt;=100),M49*5%,M49*8%))))</f>
        <v>8.34</v>
      </c>
      <c r="M63" s="2100">
        <f ca="1">ROUND(L63,1)</f>
        <v>8.3</v>
      </c>
      <c r="N63" s="2712"/>
      <c r="Z63" s="2508"/>
      <c r="AI63" s="2509"/>
    </row>
    <row r="64" ht="14.25" customHeight="1" spans="1:35">
      <c r="A64" s="2671" t="s">
        <v>944</v>
      </c>
      <c r="B64" s="601" t="s">
        <v>945</v>
      </c>
      <c r="C64" s="2672">
        <f ca="1">D45</f>
        <v>278</v>
      </c>
      <c r="D64" s="601" t="s">
        <v>124</v>
      </c>
      <c r="E64" s="2673"/>
      <c r="F64" s="2663"/>
      <c r="G64" s="2663"/>
      <c r="H64" s="2664"/>
      <c r="I64" s="1054"/>
      <c r="J64" s="2711"/>
      <c r="K64" s="2711" t="s">
        <v>946</v>
      </c>
      <c r="L64" s="2711">
        <f ca="1">IF(M49&gt;2000,M49*0.5%,IF(AND(M49&gt;1000,M49&lt;=2000),M49*0.6%,IF(AND(M49&gt;500,M49&lt;=1000),M49*0.7%,IF(AND(M49&gt;200,M49&lt;=500),M49*0.8%,IF(AND(M49&gt;100,M49&lt;=200),M49*0.9%,IF(AND(M49&gt;50,M49&lt;=100),M49*1%,IF(AND(M49&gt;20,M49&lt;=50),M49*1.5%,IF(AND(M49&gt;10,M49&lt;=20),M49*2%,IF(AND(M49&gt;1,M49&lt;=10),M49*2.5%)))))))))</f>
        <v>2.224</v>
      </c>
      <c r="M64" s="2100">
        <f ca="1" t="shared" ref="M64:M65" si="1">ROUND(L64,1)</f>
        <v>2.2</v>
      </c>
      <c r="N64" s="2270" t="s">
        <v>947</v>
      </c>
      <c r="Z64" s="2508"/>
      <c r="AI64" s="2509"/>
    </row>
    <row r="65" ht="14.25" customHeight="1" spans="1:35">
      <c r="A65" s="2671" t="s">
        <v>948</v>
      </c>
      <c r="B65" s="601" t="s">
        <v>949</v>
      </c>
      <c r="C65" s="2714"/>
      <c r="D65" s="601"/>
      <c r="E65" s="2673"/>
      <c r="F65" s="2663"/>
      <c r="G65" s="2663"/>
      <c r="H65" s="2664"/>
      <c r="I65" s="1054"/>
      <c r="J65" s="2711"/>
      <c r="K65" s="2711" t="s">
        <v>950</v>
      </c>
      <c r="L65" s="2711">
        <f ca="1">IF(M49&gt;1000,M49*0.1%,IF(AND(M49&gt;500,M49&lt;=1000),M49*0.5%,IF(AND(M49&gt;50,M49&lt;=500),M49*1%,IF(AND(M49&gt;1,M49&lt;=50),M49*1.5%))))</f>
        <v>2.78</v>
      </c>
      <c r="M65" s="2100">
        <f ca="1" t="shared" si="1"/>
        <v>2.8</v>
      </c>
      <c r="N65" s="2270" t="s">
        <v>947</v>
      </c>
      <c r="Z65" s="2508"/>
      <c r="AI65" s="2509"/>
    </row>
    <row r="66" ht="14.25" customHeight="1" spans="1:35">
      <c r="A66" s="2668" t="s">
        <v>951</v>
      </c>
      <c r="B66" s="2715" t="s">
        <v>952</v>
      </c>
      <c r="C66" s="2716"/>
      <c r="D66" s="2715" t="s">
        <v>124</v>
      </c>
      <c r="E66" s="2717" t="s">
        <v>953</v>
      </c>
      <c r="F66" s="2663"/>
      <c r="G66" s="2663"/>
      <c r="H66" s="2664"/>
      <c r="I66" s="1054"/>
      <c r="J66" s="2711"/>
      <c r="K66" s="2711" t="s">
        <v>954</v>
      </c>
      <c r="L66" s="2711">
        <f ca="1">M49*0.5%</f>
        <v>1.39</v>
      </c>
      <c r="M66" s="2100">
        <f ca="1">IF(L66&gt;0.5,0.5,ROUND(L66,0))</f>
        <v>0.5</v>
      </c>
      <c r="N66" s="2270" t="s">
        <v>955</v>
      </c>
      <c r="Z66" s="2508"/>
      <c r="AI66" s="2509"/>
    </row>
    <row r="67" ht="14.25" customHeight="1" spans="1:35">
      <c r="A67" s="2668" t="s">
        <v>956</v>
      </c>
      <c r="B67" s="2715" t="s">
        <v>957</v>
      </c>
      <c r="C67" s="2718">
        <f ca="1">C63-C66</f>
        <v>265</v>
      </c>
      <c r="D67" s="601" t="s">
        <v>124</v>
      </c>
      <c r="E67" s="2673"/>
      <c r="F67" s="2663"/>
      <c r="G67" s="2663"/>
      <c r="H67" s="2664"/>
      <c r="I67" s="1054"/>
      <c r="J67" s="2711"/>
      <c r="K67" s="2711" t="s">
        <v>958</v>
      </c>
      <c r="L67" s="2711">
        <f ca="1">IF(M49&gt;=10000,(8.25+(M49-10000)*0.01%),IF(AND(M49&gt;=8000,M49&lt;10000),(7.85+(M49-8000)*0.02%),IF(AND(M49&gt;=5000,M49&lt;8000),(6.65+(M49-5000)*0.04%),IF(AND(M49&gt;=2000,M49&lt;5000),(4.25+(PM49-2000)*0.08%),IF(AND(M49&gt;=1000,M49&lt;2000),(2.75+(M49-1000)*0.15%),IF(AND(M49&gt;=100,M49&lt;1000),(0.5+(M49-100)*0.25%),IF(AND(M49&gt;0,M49&lt;100),M49*0.5%)))))))</f>
        <v>0.945</v>
      </c>
      <c r="M67" s="2100">
        <f ca="1">ROUND(L67*0.9,1)</f>
        <v>0.9</v>
      </c>
      <c r="N67" s="2712"/>
      <c r="Z67" s="2508"/>
      <c r="AI67" s="2509"/>
    </row>
    <row r="68" ht="14.25" customHeight="1" spans="1:35">
      <c r="A68" s="2719" t="s">
        <v>959</v>
      </c>
      <c r="B68" s="2720" t="s">
        <v>960</v>
      </c>
      <c r="C68" s="2721">
        <f ca="1">IF(C67&lt;=0,0,ROUND(C67*D68,0))</f>
        <v>15</v>
      </c>
      <c r="D68" s="876">
        <f>'数据-取费表'!B41</f>
        <v>0.056</v>
      </c>
      <c r="E68" s="2722"/>
      <c r="F68" s="2663"/>
      <c r="G68" s="2663"/>
      <c r="H68" s="2664"/>
      <c r="I68" s="1054"/>
      <c r="J68" s="2711"/>
      <c r="K68" s="2711" t="s">
        <v>961</v>
      </c>
      <c r="L68" s="2711">
        <f ca="1">IF(M49&gt;10000,M49*0.5%,IF(AND(M49&gt;5000,M49&lt;=10000),M49*1%,IF(AND(M49&gt;1000,M49&lt;=5000),M49*2%,IF(AND(M49&gt;200,M49&lt;=1000),M49*3%,M49*5%))))</f>
        <v>8.34</v>
      </c>
      <c r="M68" s="2100">
        <f ca="1">ROUND(L68,1)</f>
        <v>8.3</v>
      </c>
      <c r="N68" s="2712"/>
      <c r="Z68" s="2508"/>
      <c r="AI68" s="2509"/>
    </row>
    <row r="69" s="2506" customFormat="1" ht="16.5" customHeight="1" spans="1:34">
      <c r="A69" s="2723"/>
      <c r="B69" s="2724"/>
      <c r="C69" s="2725"/>
      <c r="D69" s="792"/>
      <c r="E69" s="2726"/>
      <c r="F69" s="2662"/>
      <c r="G69" s="2662"/>
      <c r="H69" s="2610"/>
      <c r="I69" s="2511"/>
      <c r="J69" s="2711"/>
      <c r="K69" s="2711" t="s">
        <v>962</v>
      </c>
      <c r="L69" s="2711"/>
      <c r="M69" s="2100">
        <f ca="1">ROUND(SUM(M63:M68),0)</f>
        <v>23</v>
      </c>
      <c r="N69" s="2824">
        <f ca="1">M69/M49</f>
        <v>0.0827338129496403</v>
      </c>
      <c r="O69" s="1010"/>
      <c r="P69" s="1010"/>
      <c r="Q69" s="1010"/>
      <c r="R69" s="1010"/>
      <c r="S69" s="1010"/>
      <c r="T69" s="1010"/>
      <c r="U69" s="1010"/>
      <c r="V69" s="1010"/>
      <c r="W69" s="1010"/>
      <c r="X69" s="1010"/>
      <c r="Y69" s="1010"/>
      <c r="Z69" s="2508"/>
      <c r="AA69" s="2508"/>
      <c r="AB69" s="2508"/>
      <c r="AC69" s="2508"/>
      <c r="AD69" s="2508"/>
      <c r="AE69" s="2508"/>
      <c r="AF69" s="2508"/>
      <c r="AG69" s="2508"/>
      <c r="AH69" s="2508"/>
    </row>
    <row r="70" s="2507" customFormat="1" ht="15" spans="1:35">
      <c r="A70" s="2727" t="s">
        <v>963</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7" customFormat="1" ht="14.25" spans="1:35">
      <c r="A71" s="2666" t="s">
        <v>938</v>
      </c>
      <c r="B71" s="618"/>
      <c r="C71" s="618"/>
      <c r="D71" s="618" t="s">
        <v>939</v>
      </c>
      <c r="E71" s="2729" t="s">
        <v>893</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7" customFormat="1" ht="14.25" spans="1:35">
      <c r="A72" s="2668" t="s">
        <v>940</v>
      </c>
      <c r="B72" s="2715" t="s">
        <v>964</v>
      </c>
      <c r="C72" s="2718">
        <f ca="1">ROUND(D45/(1+'数据-取费表'!C42),0)</f>
        <v>265</v>
      </c>
      <c r="D72" s="601" t="s">
        <v>124</v>
      </c>
      <c r="E72" s="2134"/>
      <c r="F72" s="2135"/>
      <c r="G72" s="2135"/>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7" customFormat="1" ht="14.25" spans="1:35">
      <c r="A73" s="2668" t="s">
        <v>951</v>
      </c>
      <c r="B73" s="2629" t="s">
        <v>965</v>
      </c>
      <c r="C73" s="2718">
        <f ca="1">C74+C78</f>
        <v>2</v>
      </c>
      <c r="D73" s="601" t="s">
        <v>124</v>
      </c>
      <c r="E73" s="2134"/>
      <c r="F73" s="2135"/>
      <c r="G73" s="2135"/>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7" customFormat="1" ht="24" spans="1:35">
      <c r="A74" s="2671" t="s">
        <v>944</v>
      </c>
      <c r="B74" s="601" t="s">
        <v>966</v>
      </c>
      <c r="C74" s="601">
        <f>ROUND(IF(G77="2016年5月1日后购买",C75/(1+'数据-取费表'!C42)+C76+C77,C75+C76+C77),0)</f>
        <v>0</v>
      </c>
      <c r="D74" s="601" t="s">
        <v>124</v>
      </c>
      <c r="E74" s="2134"/>
      <c r="F74" s="2135"/>
      <c r="G74" s="2135"/>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7" customFormat="1" ht="14.25" spans="1:35">
      <c r="A75" s="2671" t="s">
        <v>967</v>
      </c>
      <c r="B75" s="601" t="s">
        <v>968</v>
      </c>
      <c r="C75" s="2733"/>
      <c r="D75" s="601" t="s">
        <v>124</v>
      </c>
      <c r="E75" s="2734" t="s">
        <v>969</v>
      </c>
      <c r="F75" s="2735"/>
      <c r="G75" s="2734" t="s">
        <v>970</v>
      </c>
      <c r="H75" s="2736"/>
      <c r="I75" s="89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7" customFormat="1" ht="24.75" customHeight="1" spans="1:35">
      <c r="A76" s="2671" t="s">
        <v>971</v>
      </c>
      <c r="B76" s="2737" t="s">
        <v>972</v>
      </c>
      <c r="C76" s="601">
        <f>IF(F75="购房发票",ROUND(C75*H75*D76,0),0)</f>
        <v>0</v>
      </c>
      <c r="D76" s="2738">
        <v>0.05</v>
      </c>
      <c r="E76" s="2134" t="s">
        <v>973</v>
      </c>
      <c r="F76" s="2135"/>
      <c r="G76" s="2135"/>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7" customFormat="1" ht="24.75" customHeight="1" spans="1:35">
      <c r="A77" s="2671" t="s">
        <v>974</v>
      </c>
      <c r="B77" s="601" t="s">
        <v>975</v>
      </c>
      <c r="C77" s="601">
        <f>ROUND(IF(G77="个人住宅",0,IF(G77="2016年5月1日前购买",C75*D77,C75*D77/(1+'数据-取费表'!C42))),0)</f>
        <v>0</v>
      </c>
      <c r="D77" s="2740">
        <f>'数据-取费表'!B48+'数据-取费表'!B49</f>
        <v>0.0305</v>
      </c>
      <c r="E77" s="2255" t="s">
        <v>976</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7" customFormat="1" ht="24.75" customHeight="1" spans="1:35">
      <c r="A78" s="2671" t="s">
        <v>948</v>
      </c>
      <c r="B78" s="601" t="s">
        <v>977</v>
      </c>
      <c r="C78" s="2743">
        <f ca="1">ROUND(D45*D78/(1+'数据-取费表'!C42),0)</f>
        <v>2</v>
      </c>
      <c r="D78" s="2744">
        <f>'数据-取费表'!B43</f>
        <v>0.006</v>
      </c>
      <c r="E78" s="2745" t="s">
        <v>978</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7" customFormat="1" ht="14.25" spans="1:35">
      <c r="A79" s="2668" t="s">
        <v>956</v>
      </c>
      <c r="B79" s="2715" t="s">
        <v>979</v>
      </c>
      <c r="C79" s="2718">
        <f ca="1">C72-C73</f>
        <v>263</v>
      </c>
      <c r="D79" s="601" t="s">
        <v>124</v>
      </c>
      <c r="E79" s="2134"/>
      <c r="F79" s="2135"/>
      <c r="G79" s="2135"/>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7" customFormat="1" ht="24" spans="1:35">
      <c r="A80" s="2668" t="s">
        <v>959</v>
      </c>
      <c r="B80" s="2715" t="s">
        <v>980</v>
      </c>
      <c r="C80" s="2748">
        <f ca="1">IF(C79&lt;=0,0,C79/C73)</f>
        <v>131.5</v>
      </c>
      <c r="D80" s="601" t="s">
        <v>124</v>
      </c>
      <c r="E80" s="2255" t="str">
        <f ca="1">IF(C80&gt;=200%,"增值额超过扣除项目金额200%",IF(C80&gt;=100%,"增值额超过扣除项目金额100%，未超过200%",IF(C80&gt;=50%,"增值额超过扣除项目金额50%，未超过100%",IF(C80&lt;50%,"增值额未超过扣除项目金额50%"))))</f>
        <v>增值额超过扣除项目金额200%</v>
      </c>
      <c r="F80" s="2135"/>
      <c r="G80" s="2135"/>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7" customFormat="1" ht="24.75" spans="1:35">
      <c r="A81" s="2719" t="s">
        <v>981</v>
      </c>
      <c r="B81" s="2720" t="s">
        <v>982</v>
      </c>
      <c r="C81" s="2749">
        <f ca="1">ROUND(IF(C79&lt;=0,0,IF(C80&gt;=200%,C79*60%-C73*35%,IF(C80&gt;=100%,C79*50%-C73*15%,IF(C80&gt;=50%,C79*40%-C73*5%,IF(C80&lt;50%,C79*30%,0))))),0)</f>
        <v>157</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7" customFormat="1" ht="7.5" customHeight="1" spans="1:35">
      <c r="A82" s="2754"/>
      <c r="B82" s="2755"/>
      <c r="C82" s="776"/>
      <c r="D82" s="776"/>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7" customFormat="1" ht="15" spans="1:35">
      <c r="A83" s="2727" t="s">
        <v>983</v>
      </c>
      <c r="B83" s="2728"/>
      <c r="C83" s="2728"/>
      <c r="D83" s="2728"/>
      <c r="E83" s="2728"/>
      <c r="F83" s="2728"/>
      <c r="G83" s="2728"/>
      <c r="H83" s="2728"/>
      <c r="I83" s="89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7" customFormat="1" ht="14.25" spans="1:35">
      <c r="A84" s="2666" t="s">
        <v>938</v>
      </c>
      <c r="B84" s="618"/>
      <c r="C84" s="618"/>
      <c r="D84" s="618" t="s">
        <v>939</v>
      </c>
      <c r="E84" s="2729" t="s">
        <v>893</v>
      </c>
      <c r="F84" s="2730"/>
      <c r="G84" s="2730"/>
      <c r="H84" s="2757"/>
      <c r="I84" s="89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7" customFormat="1" ht="14.25" spans="1:35">
      <c r="A85" s="2668" t="s">
        <v>940</v>
      </c>
      <c r="B85" s="2715" t="s">
        <v>964</v>
      </c>
      <c r="C85" s="2718">
        <f ca="1">ROUND(D45/(1+'数据-取费表'!C42),0)</f>
        <v>265</v>
      </c>
      <c r="D85" s="601" t="s">
        <v>124</v>
      </c>
      <c r="E85" s="2134"/>
      <c r="F85" s="2135"/>
      <c r="G85" s="2135"/>
      <c r="H85" s="2758"/>
      <c r="I85" s="89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7" customFormat="1" ht="14.25" spans="1:35">
      <c r="A86" s="2668" t="s">
        <v>951</v>
      </c>
      <c r="B86" s="2629" t="s">
        <v>965</v>
      </c>
      <c r="C86" s="2718">
        <f ca="1">IF(H88="仅含出让金",C87+C90+C91+C92+C93+C94,C87+C91+C92+C93+C94)</f>
        <v>2</v>
      </c>
      <c r="D86" s="2759"/>
      <c r="E86" s="2134"/>
      <c r="F86" s="2135"/>
      <c r="G86" s="2135"/>
      <c r="H86" s="2758"/>
      <c r="I86" s="89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7" customFormat="1" ht="14.25" spans="1:35">
      <c r="A87" s="2671" t="s">
        <v>944</v>
      </c>
      <c r="B87" s="601" t="s">
        <v>984</v>
      </c>
      <c r="C87" s="2743">
        <f>C88+C89</f>
        <v>0</v>
      </c>
      <c r="D87" s="2744"/>
      <c r="E87" s="2745"/>
      <c r="F87" s="2746"/>
      <c r="G87" s="2746"/>
      <c r="H87" s="2747"/>
      <c r="I87" s="89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7" customFormat="1" ht="14.25" spans="1:35">
      <c r="A88" s="2671" t="s">
        <v>967</v>
      </c>
      <c r="B88" s="601" t="s">
        <v>985</v>
      </c>
      <c r="C88" s="2760"/>
      <c r="D88" s="2744"/>
      <c r="E88" s="2761" t="s">
        <v>986</v>
      </c>
      <c r="F88" s="2746"/>
      <c r="G88" s="2762" t="s">
        <v>987</v>
      </c>
      <c r="H88" s="2763"/>
      <c r="I88" s="895"/>
      <c r="J88" s="2830" t="s">
        <v>988</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7" customFormat="1" ht="14.25" spans="1:35">
      <c r="A89" s="2671" t="s">
        <v>971</v>
      </c>
      <c r="B89" s="601" t="s">
        <v>975</v>
      </c>
      <c r="C89" s="2743">
        <f>ROUND(C88*D89,0)</f>
        <v>0</v>
      </c>
      <c r="D89" s="2744">
        <f>'数据-取费表'!B48+'数据-取费表'!B49</f>
        <v>0.0305</v>
      </c>
      <c r="E89" s="2761" t="s">
        <v>989</v>
      </c>
      <c r="F89" s="2746"/>
      <c r="G89" s="2746"/>
      <c r="H89" s="2747"/>
      <c r="I89" s="89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7" customFormat="1" ht="14.25" spans="1:35">
      <c r="A90" s="2671" t="s">
        <v>948</v>
      </c>
      <c r="B90" s="601" t="s">
        <v>990</v>
      </c>
      <c r="C90" s="2760"/>
      <c r="D90" s="2744"/>
      <c r="E90" s="2761" t="str">
        <f>IF(H88="-","土地取得成本中已包含该笔费用"," ")</f>
        <v> </v>
      </c>
      <c r="F90" s="2746"/>
      <c r="G90" s="2764" t="s">
        <v>991</v>
      </c>
      <c r="H90" s="2765"/>
      <c r="I90" s="895"/>
      <c r="J90" s="2830" t="s">
        <v>992</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7" customFormat="1" ht="27.75" customHeight="1" spans="1:35">
      <c r="A91" s="2671" t="s">
        <v>993</v>
      </c>
      <c r="B91" s="601" t="s">
        <v>994</v>
      </c>
      <c r="C91" s="2743">
        <f ca="1">IF(H91="——",成本法!C33,I91)</f>
        <v>0</v>
      </c>
      <c r="D91" s="2744"/>
      <c r="E91" s="2745" t="s">
        <v>995</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7" customFormat="1" ht="25.5" customHeight="1" spans="1:35">
      <c r="A92" s="2671" t="s">
        <v>996</v>
      </c>
      <c r="B92" s="601" t="s">
        <v>997</v>
      </c>
      <c r="C92" s="2743">
        <f ca="1">ROUND((C87+C90+C91)*D92,0)</f>
        <v>0</v>
      </c>
      <c r="D92" s="2767"/>
      <c r="E92" s="2745" t="s">
        <v>998</v>
      </c>
      <c r="F92" s="2746"/>
      <c r="G92" s="2746"/>
      <c r="H92" s="2747"/>
      <c r="I92" s="895"/>
      <c r="J92" s="2832" t="s">
        <v>999</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7" customFormat="1" ht="25.5" customHeight="1" spans="1:35">
      <c r="A93" s="2671" t="s">
        <v>1000</v>
      </c>
      <c r="B93" s="601" t="s">
        <v>977</v>
      </c>
      <c r="C93" s="2743">
        <f ca="1">ROUND(D45*D93/(1+'数据-取费表'!C42),0)</f>
        <v>2</v>
      </c>
      <c r="D93" s="2744">
        <f>'数据-取费表'!B43</f>
        <v>0.006</v>
      </c>
      <c r="E93" s="2745" t="s">
        <v>978</v>
      </c>
      <c r="F93" s="2746"/>
      <c r="G93" s="2746"/>
      <c r="H93" s="2747"/>
      <c r="I93" s="89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7" customFormat="1" ht="36.75" customHeight="1" spans="1:35">
      <c r="A94" s="2671" t="s">
        <v>1001</v>
      </c>
      <c r="B94" s="601" t="s">
        <v>1002</v>
      </c>
      <c r="C94" s="2760">
        <f ca="1">ROUND((C87+C90+C91)*D94,0)</f>
        <v>0</v>
      </c>
      <c r="D94" s="2744">
        <v>0.2</v>
      </c>
      <c r="E94" s="2768" t="s">
        <v>1003</v>
      </c>
      <c r="F94" s="2769"/>
      <c r="G94" s="2769"/>
      <c r="H94" s="2770"/>
      <c r="I94" s="89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7" customFormat="1" ht="14.25" spans="1:35">
      <c r="A95" s="2668" t="s">
        <v>956</v>
      </c>
      <c r="B95" s="2715" t="s">
        <v>979</v>
      </c>
      <c r="C95" s="2718">
        <f ca="1">ROUND(C85-C86,0)</f>
        <v>263</v>
      </c>
      <c r="D95" s="601" t="s">
        <v>124</v>
      </c>
      <c r="E95" s="2134"/>
      <c r="F95" s="2135"/>
      <c r="G95" s="2135"/>
      <c r="H95" s="2758"/>
      <c r="I95" s="89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7" customFormat="1" ht="24" spans="1:35">
      <c r="A96" s="2668" t="s">
        <v>959</v>
      </c>
      <c r="B96" s="2715" t="s">
        <v>980</v>
      </c>
      <c r="C96" s="2748">
        <f ca="1">IF(C95&lt;=0,0,C95/C86)</f>
        <v>131.5</v>
      </c>
      <c r="D96" s="601" t="s">
        <v>124</v>
      </c>
      <c r="E96" s="2255" t="str">
        <f ca="1">IF(C96&gt;=200%,"增值额超过扣除项目金额200%",IF(C96&gt;=100%,"增值额超过扣除项目金额100%，未超过200%",IF(C96&gt;=50%,"增值额超过扣除项目金额50%，未超过100%",IF(C96&lt;50%,"增值额未超过扣除项目金额50%"))))</f>
        <v>增值额超过扣除项目金额200%</v>
      </c>
      <c r="F96" s="2135"/>
      <c r="G96" s="2135"/>
      <c r="H96" s="2758"/>
      <c r="I96" s="89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7" customFormat="1" ht="24.75" spans="1:35">
      <c r="A97" s="2719" t="s">
        <v>981</v>
      </c>
      <c r="B97" s="2720" t="s">
        <v>982</v>
      </c>
      <c r="C97" s="2749">
        <f ca="1">ROUND(IF(C95&lt;=0,0,IF(C96&gt;=200%,C95*60%-C86*35%,IF(C96&gt;=100%,C95*50%-C86*15%,IF(C96&gt;=50%,C95*40%-C86*5%,IF(C96&lt;50%,C95*30%,0))))),0)</f>
        <v>157</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89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1"/>
      <c r="B98" s="2511"/>
      <c r="C98" s="2511"/>
      <c r="D98" s="2511"/>
      <c r="E98" s="2662"/>
      <c r="F98" s="2662"/>
      <c r="G98" s="2662"/>
      <c r="H98" s="2610"/>
      <c r="I98" s="1054"/>
    </row>
    <row r="99" customHeight="1" spans="1:9">
      <c r="A99" s="2612" t="s">
        <v>1004</v>
      </c>
      <c r="B99" s="2511"/>
      <c r="C99" s="2511"/>
      <c r="D99" s="2511"/>
      <c r="E99" s="2662"/>
      <c r="F99" s="2662"/>
      <c r="G99" s="2662"/>
      <c r="H99" s="2610"/>
      <c r="I99" s="1054"/>
    </row>
    <row r="100" ht="18.75" customHeight="1" spans="1:9">
      <c r="A100" s="2772" t="s">
        <v>1005</v>
      </c>
      <c r="B100" s="2773"/>
      <c r="C100" s="2773"/>
      <c r="D100" s="2774"/>
      <c r="E100" s="2773" t="s">
        <v>1006</v>
      </c>
      <c r="F100" s="2773"/>
      <c r="G100" s="2773"/>
      <c r="H100" s="2774"/>
      <c r="I100" s="1054"/>
    </row>
    <row r="101" ht="18.75" customHeight="1" spans="1:9">
      <c r="A101" s="2775" t="s">
        <v>1007</v>
      </c>
      <c r="B101" s="2776"/>
      <c r="C101" s="2777" t="str">
        <f>C4</f>
        <v>比较法-办公</v>
      </c>
      <c r="D101" s="2778" t="str">
        <f>D4</f>
        <v>收益法 (元)</v>
      </c>
      <c r="E101" s="2779" t="s">
        <v>1008</v>
      </c>
      <c r="F101" s="2780"/>
      <c r="G101" s="2781" t="s">
        <v>1009</v>
      </c>
      <c r="H101" s="2782">
        <f ca="1">H118</f>
        <v>278</v>
      </c>
      <c r="I101" s="1054"/>
    </row>
    <row r="102" ht="18.75" customHeight="1" spans="1:9">
      <c r="A102" s="2783" t="s">
        <v>1010</v>
      </c>
      <c r="B102" s="2784" t="s">
        <v>1009</v>
      </c>
      <c r="C102" s="2777">
        <f ca="1">IF(D32="楼面单价",ROUND(C19,0),C19)</f>
        <v>317</v>
      </c>
      <c r="D102" s="2778">
        <f ca="1">IF(D32="楼面单价",ROUND(D19,0),D19)</f>
        <v>188</v>
      </c>
      <c r="E102" s="2779"/>
      <c r="F102" s="2780"/>
      <c r="G102" s="2781" t="s">
        <v>99</v>
      </c>
      <c r="H102" s="2648">
        <f ca="1">I118</f>
        <v>24812</v>
      </c>
      <c r="I102" s="1054"/>
    </row>
    <row r="103" ht="42.75" customHeight="1" spans="1:9">
      <c r="A103" s="2783"/>
      <c r="B103" s="2784" t="s">
        <v>99</v>
      </c>
      <c r="C103" s="2785">
        <f ca="1">C20</f>
        <v>28245</v>
      </c>
      <c r="D103" s="2786">
        <f ca="1">D20</f>
        <v>16802</v>
      </c>
      <c r="E103" s="2787" t="s">
        <v>1011</v>
      </c>
      <c r="F103" s="2788"/>
      <c r="G103" s="2789" t="s">
        <v>102</v>
      </c>
      <c r="H103" s="2782">
        <f>IF(D36="正常操作",H104+H105+H106,H105+H106)</f>
        <v>0</v>
      </c>
      <c r="I103" s="1054"/>
    </row>
    <row r="104" ht="18.75" customHeight="1" spans="1:9">
      <c r="A104" s="2783" t="s">
        <v>1012</v>
      </c>
      <c r="B104" s="2790" t="s">
        <v>1009</v>
      </c>
      <c r="C104" s="2791">
        <f ca="1">H118</f>
        <v>278</v>
      </c>
      <c r="D104" s="2792"/>
      <c r="E104" s="2594" t="s">
        <v>1013</v>
      </c>
      <c r="F104" s="2793"/>
      <c r="G104" s="2789" t="s">
        <v>102</v>
      </c>
      <c r="H104" s="2794">
        <f>IF(D36="同一抵押权人同一抵押物续贷",C36&amp;"（续贷，未扣减，详见特别提示）",C36)</f>
        <v>0</v>
      </c>
      <c r="I104" s="1054"/>
    </row>
    <row r="105" ht="18.75" customHeight="1" spans="1:9">
      <c r="A105" s="2795"/>
      <c r="B105" s="2796" t="s">
        <v>99</v>
      </c>
      <c r="C105" s="2797">
        <f ca="1">I118</f>
        <v>24812</v>
      </c>
      <c r="D105" s="2798"/>
      <c r="E105" s="2594" t="s">
        <v>1014</v>
      </c>
      <c r="F105" s="2793"/>
      <c r="G105" s="2789" t="s">
        <v>102</v>
      </c>
      <c r="H105" s="2799">
        <f>C37</f>
        <v>0</v>
      </c>
      <c r="I105" s="1054"/>
    </row>
    <row r="106" ht="18.75" customHeight="1" spans="1:9">
      <c r="A106" s="2511" t="s">
        <v>1015</v>
      </c>
      <c r="B106" s="2511"/>
      <c r="C106" s="2511"/>
      <c r="D106" s="2511"/>
      <c r="E106" s="2800" t="s">
        <v>1016</v>
      </c>
      <c r="F106" s="2793"/>
      <c r="G106" s="2789" t="s">
        <v>102</v>
      </c>
      <c r="H106" s="2799">
        <f>C38</f>
        <v>0</v>
      </c>
      <c r="I106" s="1054"/>
    </row>
    <row r="107" ht="18.75" customHeight="1" spans="1:9">
      <c r="A107" s="1054"/>
      <c r="B107" s="1054"/>
      <c r="C107" s="1054"/>
      <c r="D107" s="1054"/>
      <c r="E107" s="2801" t="str">
        <f>IF(项目基本情况!E8="已注销","——","3.房地产抵押价值")</f>
        <v>3.房地产抵押价值</v>
      </c>
      <c r="F107" s="2780"/>
      <c r="G107" s="2781" t="s">
        <v>1009</v>
      </c>
      <c r="H107" s="2782">
        <f ca="1">IF(E107="——","——",H101-H103)</f>
        <v>278</v>
      </c>
      <c r="I107" s="1054"/>
    </row>
    <row r="108" ht="18.75" customHeight="1" spans="1:9">
      <c r="A108" s="1054"/>
      <c r="B108" s="1054"/>
      <c r="C108" s="1054"/>
      <c r="D108" s="1054"/>
      <c r="E108" s="2801"/>
      <c r="F108" s="2780"/>
      <c r="G108" s="2781" t="s">
        <v>99</v>
      </c>
      <c r="H108" s="2648">
        <f ca="1">IF(H107=H101,H102,ROUND(H107*10000/'数据-汇总表'!E3,0))</f>
        <v>24812</v>
      </c>
      <c r="I108" s="1054"/>
    </row>
    <row r="109" ht="18.75" customHeight="1" spans="1:9">
      <c r="A109" s="1054"/>
      <c r="B109" s="1054"/>
      <c r="C109" s="1054"/>
      <c r="D109" s="1054"/>
      <c r="E109" s="2801" t="str">
        <f>IF(项目基本情况!E8="已注销及未注销","4.抵押担保权已注销时的房地产抵押价值",IF(项目基本情况!E8="已注销","3.抵押担保权已注销时的房地产抵押价值","——"))</f>
        <v>——</v>
      </c>
      <c r="F109" s="2780"/>
      <c r="G109" s="2781" t="s">
        <v>1009</v>
      </c>
      <c r="H109" s="2802" t="str">
        <f ca="1">IF(E109="——","——",H101-H105-H106)</f>
        <v>——</v>
      </c>
      <c r="I109" s="1054"/>
    </row>
    <row r="110" ht="18.75" customHeight="1" spans="1:9">
      <c r="A110" s="1054"/>
      <c r="B110" s="1054"/>
      <c r="C110" s="1054"/>
      <c r="D110" s="1054"/>
      <c r="E110" s="2801"/>
      <c r="F110" s="2780"/>
      <c r="G110" s="2781" t="s">
        <v>99</v>
      </c>
      <c r="H110" s="2648" t="str">
        <f ca="1">IF(H109="——","——",ROUND(H109*10000/'数据-汇总表'!E3,0))</f>
        <v>——</v>
      </c>
      <c r="I110" s="1054"/>
    </row>
    <row r="111" ht="18.75" customHeight="1" spans="1:9">
      <c r="A111" s="1054"/>
      <c r="B111" s="1054"/>
      <c r="C111" s="1054"/>
      <c r="D111" s="1054"/>
      <c r="E111" s="2803" t="str">
        <f>IF(项目基本情况!E9="抵押净值",IF(OR(项目基本情况!E8="已注销",项目基本情况!E8="房地产抵押价值"),"4.抵押净值","5.抵押净值"),"——")</f>
        <v>——</v>
      </c>
      <c r="F111" s="2804"/>
      <c r="G111" s="2781" t="s">
        <v>1009</v>
      </c>
      <c r="H111" s="2782" t="str">
        <f ca="1">IF(E111="——","——",N59)</f>
        <v>——</v>
      </c>
      <c r="I111" s="1054"/>
    </row>
    <row r="112" ht="18.75" customHeight="1" spans="1:9">
      <c r="A112" s="1054"/>
      <c r="B112" s="1054"/>
      <c r="C112" s="1054"/>
      <c r="D112" s="1054"/>
      <c r="E112" s="2805"/>
      <c r="F112" s="2806"/>
      <c r="G112" s="2807" t="s">
        <v>99</v>
      </c>
      <c r="H112" s="2808" t="str">
        <f ca="1">IF(E111="——","——",N61)</f>
        <v>——</v>
      </c>
      <c r="I112" s="1054"/>
    </row>
    <row r="113" ht="18.75" customHeight="1" spans="1:9">
      <c r="A113" s="1054"/>
      <c r="B113" s="1054"/>
      <c r="C113" s="1054"/>
      <c r="D113" s="1054"/>
      <c r="E113" s="2809" t="s">
        <v>1015</v>
      </c>
      <c r="F113" s="2809"/>
      <c r="G113" s="2809"/>
      <c r="H113" s="2809"/>
      <c r="I113" s="1054"/>
    </row>
    <row r="114" ht="3.75" customHeight="1" spans="1:9">
      <c r="A114" s="2511"/>
      <c r="B114" s="2511"/>
      <c r="C114" s="2511"/>
      <c r="D114" s="2511"/>
      <c r="E114" s="2661"/>
      <c r="F114" s="2661"/>
      <c r="G114" s="2661"/>
      <c r="H114" s="2661"/>
      <c r="I114" s="2511"/>
    </row>
    <row r="115" ht="18.75" customHeight="1" spans="1:9">
      <c r="A115" s="2810" t="s">
        <v>1017</v>
      </c>
      <c r="B115" s="2811"/>
      <c r="C115" s="2811"/>
      <c r="D115" s="2811"/>
      <c r="E115" s="2811"/>
      <c r="F115" s="2811"/>
      <c r="G115" s="2811"/>
      <c r="H115" s="2811"/>
      <c r="I115" s="2833"/>
    </row>
    <row r="116" ht="27" customHeight="1" spans="1:9">
      <c r="A116" s="2524" t="s">
        <v>1018</v>
      </c>
      <c r="B116" s="2812" t="s">
        <v>1019</v>
      </c>
      <c r="C116" s="2812" t="s">
        <v>1020</v>
      </c>
      <c r="D116" s="2813" t="s">
        <v>1021</v>
      </c>
      <c r="E116" s="2814"/>
      <c r="F116" s="2815" t="s">
        <v>1022</v>
      </c>
      <c r="G116" s="2815"/>
      <c r="H116" s="2524" t="s">
        <v>1023</v>
      </c>
      <c r="I116" s="2524"/>
    </row>
    <row r="117" ht="18.75" customHeight="1" spans="1:9">
      <c r="A117" s="2524"/>
      <c r="B117" s="2816"/>
      <c r="C117" s="2816"/>
      <c r="D117" s="2524" t="s">
        <v>1024</v>
      </c>
      <c r="E117" s="2524" t="s">
        <v>851</v>
      </c>
      <c r="F117" s="2524" t="s">
        <v>1024</v>
      </c>
      <c r="G117" s="2524" t="s">
        <v>851</v>
      </c>
      <c r="H117" s="2524" t="s">
        <v>1024</v>
      </c>
      <c r="I117" s="2524" t="s">
        <v>851</v>
      </c>
    </row>
    <row r="118" ht="24.75" customHeight="1" spans="1:9">
      <c r="A118" s="2817" t="str">
        <f>项目基本情况!S2</f>
        <v>北京市房地产</v>
      </c>
      <c r="B118" s="2524">
        <f>M18</f>
        <v>112.13</v>
      </c>
      <c r="C118" s="2524">
        <f>M19</f>
        <v>0</v>
      </c>
      <c r="D118" s="2524">
        <f ca="1">ROUND(IF(D32="总价",C34,E118*B118/10000),0)</f>
        <v>159</v>
      </c>
      <c r="E118" s="2524">
        <f ca="1">ROUND(IF(C33="自定义",IF(D32="楼面单价",C34,D118*10000/B118),I118-G118),0)</f>
        <v>14143</v>
      </c>
      <c r="F118" s="2524">
        <f ca="1">ROUND(IF(D32="总价",C35,G118*B118/10000),0)</f>
        <v>120</v>
      </c>
      <c r="G118" s="2524">
        <f ca="1">ROUND(IF(D32="楼面单价",C35,F118*10000/B118),0)</f>
        <v>10669</v>
      </c>
      <c r="H118" s="2524">
        <f ca="1">ROUND(IF(D32="总价",C32,I118*B118/10000),0)</f>
        <v>278</v>
      </c>
      <c r="I118" s="2524">
        <f ca="1">ROUND(IF(D32="楼面单价",C32,H118*10000/B118),0)</f>
        <v>24812</v>
      </c>
    </row>
    <row r="119" ht="18.75" customHeight="1" spans="1:9">
      <c r="A119" s="2524" t="s">
        <v>1025</v>
      </c>
      <c r="B119" s="2524"/>
      <c r="C119" s="2524"/>
      <c r="D119" s="2818" t="str">
        <f ca="1">NUMBERSTRING(INT(D118*10000),2)&amp;"元整"</f>
        <v>壹佰伍拾玖万元整</v>
      </c>
      <c r="E119" s="2819"/>
      <c r="F119" s="2818" t="str">
        <f ca="1">NUMBERSTRING(INT(F118*10000),2)&amp;"元整"</f>
        <v>壹佰贰拾万元整</v>
      </c>
      <c r="G119" s="2819"/>
      <c r="H119" s="2818" t="str">
        <f ca="1">NUMBERSTRING(INT(H118*10000),2)&amp;"元整"</f>
        <v>贰佰柒拾捌万元整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1025</v>
      </c>
      <c r="B121" s="2823"/>
      <c r="C121" s="2819"/>
      <c r="D121" s="2818" t="str">
        <f>IF(D120=0,"零元整",NUMBERSTRING(INT(D120*10000),2)&amp;"元整")</f>
        <v>零元整</v>
      </c>
      <c r="E121" s="2823"/>
      <c r="F121" s="2823"/>
      <c r="G121" s="2823"/>
      <c r="H121" s="2823"/>
      <c r="I121" s="2819"/>
      <c r="AA121" s="1010"/>
    </row>
    <row r="122" ht="18.75" customHeight="1" spans="1:27">
      <c r="A122" s="2804" t="str">
        <f>IF(项目基本情况!B9="房地产市场价值","",MID(E107,3,LEN(E107)-2))</f>
        <v>房地产抵押价值</v>
      </c>
      <c r="B122" s="2804"/>
      <c r="C122" s="2804"/>
      <c r="D122" s="2820">
        <f ca="1">H107</f>
        <v>278</v>
      </c>
      <c r="E122" s="2821"/>
      <c r="F122" s="2821"/>
      <c r="G122" s="2821"/>
      <c r="H122" s="2821"/>
      <c r="I122" s="2822"/>
      <c r="AA122" s="1010"/>
    </row>
    <row r="123" ht="18.75" customHeight="1" spans="1:27">
      <c r="A123" s="2524" t="s">
        <v>1025</v>
      </c>
      <c r="B123" s="2524"/>
      <c r="C123" s="2524"/>
      <c r="D123" s="2818" t="str">
        <f ca="1">NUMBERSTRING(INT(D122*10000),2)&amp;"元整"</f>
        <v>贰佰柒拾捌万元整</v>
      </c>
      <c r="E123" s="2823"/>
      <c r="F123" s="2823"/>
      <c r="G123" s="2823"/>
      <c r="H123" s="2823"/>
      <c r="I123" s="2819"/>
      <c r="AA123" s="1010"/>
    </row>
    <row r="124" ht="18.75" customHeight="1" spans="1:27">
      <c r="A124" s="2804" t="str">
        <f>IF(项目基本情况!B9="房地产市场价值","",MID(E109,3,LEN(E109)-2))</f>
        <v/>
      </c>
      <c r="B124" s="2804"/>
      <c r="C124" s="2804"/>
      <c r="D124" s="2820" t="str">
        <f ca="1">H109</f>
        <v>——</v>
      </c>
      <c r="E124" s="2821"/>
      <c r="F124" s="2821"/>
      <c r="G124" s="2821"/>
      <c r="H124" s="2821"/>
      <c r="I124" s="2822"/>
      <c r="AA124" s="1010"/>
    </row>
    <row r="125" ht="18.75" customHeight="1" spans="1:27">
      <c r="A125" s="2524" t="s">
        <v>1025</v>
      </c>
      <c r="B125" s="2524"/>
      <c r="C125" s="2524"/>
      <c r="D125" s="2818" t="e">
        <f ca="1">NUMBERSTRING(INT(D124*10000),2)&amp;"元整"</f>
        <v>#VALUE!</v>
      </c>
      <c r="E125" s="2823"/>
      <c r="F125" s="2823"/>
      <c r="G125" s="2823"/>
      <c r="H125" s="2823"/>
      <c r="I125" s="2819"/>
      <c r="AA125" s="1010"/>
    </row>
    <row r="126" ht="18.75" customHeight="1" spans="1:27">
      <c r="A126" s="2804" t="str">
        <f>IF(项目基本情况!B9="房地产市场价值","",MID(E111,3,LEN(E111)-2))</f>
        <v/>
      </c>
      <c r="B126" s="2804"/>
      <c r="C126" s="2804"/>
      <c r="D126" s="2820" t="str">
        <f ca="1">H111</f>
        <v>——</v>
      </c>
      <c r="E126" s="2821"/>
      <c r="F126" s="2821"/>
      <c r="G126" s="2821"/>
      <c r="H126" s="2821"/>
      <c r="I126" s="2822"/>
      <c r="AA126" s="1010"/>
    </row>
    <row r="127" ht="18.75" customHeight="1" spans="1:27">
      <c r="A127" s="2524" t="s">
        <v>1025</v>
      </c>
      <c r="B127" s="2524"/>
      <c r="C127" s="2524"/>
      <c r="D127" s="2818" t="e">
        <f ca="1">NUMBERSTRING(INT(D126*10000),2)&amp;"元整"</f>
        <v>#VALUE!</v>
      </c>
      <c r="E127" s="2823"/>
      <c r="F127" s="2823"/>
      <c r="G127" s="2823"/>
      <c r="H127" s="2823"/>
      <c r="I127" s="2819"/>
      <c r="AA127" s="1010"/>
    </row>
    <row r="128" customHeight="1" spans="1:27">
      <c r="A128" s="2222" t="s">
        <v>113</v>
      </c>
      <c r="B128" s="2222"/>
      <c r="C128" s="2222"/>
      <c r="D128" s="2222"/>
      <c r="E128" s="2222"/>
      <c r="F128" s="2222"/>
      <c r="G128" s="2222"/>
      <c r="H128" s="2222"/>
      <c r="I128" s="2222"/>
      <c r="AA128" s="1010"/>
    </row>
    <row r="129" customHeight="1" spans="1:27">
      <c r="A129" s="2835" t="s">
        <v>1026</v>
      </c>
      <c r="B129" s="2836"/>
      <c r="C129" s="2837" t="s">
        <v>1027</v>
      </c>
      <c r="D129" s="2838"/>
      <c r="E129" s="2838"/>
      <c r="F129" s="2838"/>
      <c r="G129" s="2838"/>
      <c r="H129" s="2839"/>
      <c r="I129" s="2854"/>
      <c r="AA129" s="1010"/>
    </row>
    <row r="130" customHeight="1" spans="1:27">
      <c r="A130" s="2840">
        <v>1</v>
      </c>
      <c r="B130" s="2841"/>
      <c r="C130" s="2841"/>
      <c r="D130" s="2842"/>
      <c r="E130" s="2842"/>
      <c r="F130" s="2842"/>
      <c r="G130" s="2842"/>
      <c r="H130" s="2843"/>
      <c r="I130" s="2855"/>
      <c r="AA130" s="1010"/>
    </row>
    <row r="131" customHeight="1" spans="1:27">
      <c r="A131" s="2840">
        <v>2</v>
      </c>
      <c r="B131" s="2841"/>
      <c r="C131" s="2841"/>
      <c r="D131" s="2842"/>
      <c r="E131" s="2842"/>
      <c r="F131" s="2842"/>
      <c r="G131" s="2842"/>
      <c r="H131" s="2843"/>
      <c r="I131" s="2855"/>
      <c r="AA131" s="1010"/>
    </row>
    <row r="132" customHeight="1" spans="1:27">
      <c r="A132" s="2840">
        <v>3</v>
      </c>
      <c r="B132" s="2841"/>
      <c r="C132" s="2841"/>
      <c r="D132" s="2842"/>
      <c r="E132" s="2842"/>
      <c r="F132" s="2842"/>
      <c r="G132" s="2842"/>
      <c r="H132" s="2843"/>
      <c r="I132" s="2855"/>
      <c r="AA132" s="1010"/>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1010"/>
    </row>
    <row r="135" customHeight="1" spans="1:9">
      <c r="A135" s="1010"/>
      <c r="B135" s="1010"/>
      <c r="C135" s="1010"/>
      <c r="D135" s="1010"/>
      <c r="E135" s="1010"/>
      <c r="F135" s="2848" t="s">
        <v>1028</v>
      </c>
      <c r="G135" s="2849"/>
      <c r="H135" s="2849"/>
      <c r="I135" s="2857" t="s">
        <v>1029</v>
      </c>
    </row>
    <row r="136" customHeight="1" spans="1:9">
      <c r="A136" s="1010"/>
      <c r="B136" s="2850" t="s">
        <v>1030</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9"/>
      <c r="C138" s="2849"/>
      <c r="D138" s="2849"/>
      <c r="E138" s="2849"/>
      <c r="F138" s="2849"/>
      <c r="G138" s="2849"/>
      <c r="H138" s="2849"/>
      <c r="I138" s="2857" t="s">
        <v>1031</v>
      </c>
    </row>
    <row r="139" customHeight="1" spans="1:9">
      <c r="A139" s="1010"/>
      <c r="B139" s="2850" t="s">
        <v>1032</v>
      </c>
      <c r="C139" s="1010"/>
      <c r="D139" s="1010"/>
      <c r="E139" s="1010"/>
      <c r="F139" s="1010"/>
      <c r="G139" s="1010"/>
      <c r="H139" s="1010"/>
      <c r="I139" s="1010"/>
    </row>
    <row r="140" customHeight="1" spans="1:9">
      <c r="A140" s="1010"/>
      <c r="B140" s="2850"/>
      <c r="C140" s="1010"/>
      <c r="D140" s="1010"/>
      <c r="E140" s="1010"/>
      <c r="F140" s="1010"/>
      <c r="G140" s="1010"/>
      <c r="H140" s="1010"/>
      <c r="I140" s="1010"/>
    </row>
    <row r="141" customHeight="1" spans="1:9">
      <c r="A141" s="1010"/>
      <c r="B141" s="2849"/>
      <c r="C141" s="2849"/>
      <c r="D141" s="2849"/>
      <c r="E141" s="2849"/>
      <c r="F141" s="2849"/>
      <c r="G141" s="2849"/>
      <c r="H141" s="2849"/>
      <c r="I141" s="2857" t="s">
        <v>1031</v>
      </c>
    </row>
    <row r="142" customHeight="1" spans="1:9">
      <c r="A142" s="1010"/>
      <c r="B142" s="2850"/>
      <c r="C142" s="2851"/>
      <c r="D142" s="2852"/>
      <c r="E142" s="2852"/>
      <c r="F142" s="2853"/>
      <c r="G142" s="1010"/>
      <c r="H142" s="1010"/>
      <c r="I142" s="1010"/>
    </row>
    <row r="143" s="1007" customFormat="1" customHeight="1" spans="1:35">
      <c r="A143" s="1010"/>
      <c r="B143" s="2850"/>
      <c r="C143" s="2851"/>
      <c r="D143" s="2852"/>
      <c r="E143" s="2852"/>
      <c r="F143" s="2853"/>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1033</v>
      </c>
      <c r="B1" s="2448"/>
      <c r="C1" s="400"/>
      <c r="D1" s="400"/>
      <c r="E1" s="400"/>
      <c r="F1" s="400"/>
      <c r="G1" s="2450">
        <f>MATCH(B1,'数据-取费表'!A6:A16,0)+5</f>
        <v>7</v>
      </c>
    </row>
    <row r="2" s="390" customFormat="1" ht="18" customHeight="1" spans="1:7">
      <c r="A2" s="402" t="s">
        <v>1034</v>
      </c>
      <c r="B2" s="403">
        <f ca="1">IF(D2="——",C52,C52-E2)</f>
        <v>64</v>
      </c>
      <c r="C2" s="401" t="s">
        <v>1035</v>
      </c>
      <c r="D2" s="2452" t="s">
        <v>124</v>
      </c>
      <c r="E2" s="2453" t="e">
        <f ca="1">SUMIF(INDIRECT("'"&amp;G2&amp;"'"&amp;"!A:A"),"承租人权益价值",INDIRECT("'"&amp;G2&amp;"'"&amp;"!c:c"))</f>
        <v>#REF!</v>
      </c>
      <c r="F2" s="2454" t="s">
        <v>1035</v>
      </c>
      <c r="G2" s="2455"/>
    </row>
    <row r="3" s="390" customFormat="1" ht="18" customHeight="1" spans="1:7">
      <c r="A3" s="405" t="s">
        <v>1036</v>
      </c>
      <c r="B3" s="406">
        <f ca="1">ROUND(B2*10000/(IF(B1="",'数据-汇总表'!E3,INDIRECT("'数据-取费表'!k"&amp;$G$1))),0)</f>
        <v>5708</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0</v>
      </c>
      <c r="D5" s="412" t="s">
        <v>1041</v>
      </c>
      <c r="E5" s="413" t="s">
        <v>1042</v>
      </c>
      <c r="F5" s="413" t="s">
        <v>939</v>
      </c>
      <c r="G5" s="414"/>
    </row>
    <row r="6" s="392" customFormat="1" ht="13.5" customHeight="1" spans="1:7">
      <c r="A6" s="415" t="s">
        <v>1043</v>
      </c>
      <c r="B6" s="416" t="s">
        <v>1044</v>
      </c>
      <c r="C6" s="417"/>
      <c r="D6" s="418"/>
      <c r="E6" s="419"/>
      <c r="F6" s="419"/>
      <c r="G6" s="420"/>
    </row>
    <row r="7" s="392" customFormat="1" ht="13.5" customHeight="1" spans="1:7">
      <c r="A7" s="415" t="s">
        <v>1045</v>
      </c>
      <c r="B7" s="416" t="s">
        <v>1046</v>
      </c>
      <c r="C7" s="421">
        <f>ROUND(C6*F7,0)</f>
        <v>0</v>
      </c>
      <c r="D7" s="421"/>
      <c r="E7" s="419"/>
      <c r="F7" s="422">
        <f>IF(项目基本情况!B8="出让",0,'数据-取费表'!B48+'数据-取费表'!B49)</f>
        <v>0.0305</v>
      </c>
      <c r="G7" s="420"/>
    </row>
    <row r="8" s="393" customFormat="1" spans="1:7">
      <c r="A8" s="415" t="s">
        <v>1047</v>
      </c>
      <c r="B8" s="416" t="s">
        <v>1048</v>
      </c>
      <c r="C8" s="421">
        <f ca="1">IF(G8="已包含在土地购买价格中","0",IF(B1="",'数据-取费表'!B29,IF(G9="全部缴纳",C9+C10,H9)))</f>
        <v>0</v>
      </c>
      <c r="D8" s="423"/>
      <c r="E8" s="421"/>
      <c r="F8" s="422"/>
      <c r="G8" s="2456"/>
    </row>
    <row r="9" s="392" customFormat="1" ht="13.5" customHeight="1" spans="1:9">
      <c r="A9" s="425" t="s">
        <v>1049</v>
      </c>
      <c r="B9" s="426" t="s">
        <v>1050</v>
      </c>
      <c r="C9" s="427">
        <f ca="1">ROUND(D9*E9/10000,0)</f>
        <v>0</v>
      </c>
      <c r="D9" s="428">
        <f ca="1">IF(B1="",'数据-汇总表'!E5,IF(INDIRECT("'数据-取费表'!c"&amp;$G$1)="住宅",INDIRECT("'数据-取费表'!k"&amp;$G$1),0))</f>
        <v>0</v>
      </c>
      <c r="E9" s="427">
        <f>'数据-取费表'!B27</f>
        <v>0</v>
      </c>
      <c r="F9" s="422"/>
      <c r="G9" s="2502"/>
      <c r="H9" s="2503"/>
      <c r="I9" s="2504" t="s">
        <v>1051</v>
      </c>
    </row>
    <row r="10" s="392" customFormat="1" ht="13.5" customHeight="1" spans="1:7">
      <c r="A10" s="425" t="s">
        <v>1052</v>
      </c>
      <c r="B10" s="426" t="s">
        <v>1053</v>
      </c>
      <c r="C10" s="427">
        <f ca="1">ROUND(D10*E10/10000,0)</f>
        <v>2</v>
      </c>
      <c r="D10" s="428">
        <f ca="1">IF(B1="",'数据-汇总表'!E6,IF(INDIRECT("'数据-取费表'!c"&amp;$G$1)="住宅",INDIRECT("'数据-取费表'!s"&amp;$G$1),INDIRECT("'数据-取费表'!k"&amp;$G$1)+INDIRECT("'数据-取费表'!s"&amp;$G$1)))</f>
        <v>112.13</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IF(G19="已包含在土地取得成本中","0",ROUND(D19*E19/10000,0))</f>
        <v>2</v>
      </c>
      <c r="D19" s="436">
        <f ca="1">D9+D10</f>
        <v>112.13</v>
      </c>
      <c r="E19" s="412">
        <f>'数据-取费表'!B31</f>
        <v>200</v>
      </c>
      <c r="F19" s="437"/>
      <c r="G19" s="2456"/>
    </row>
    <row r="20" s="392" customFormat="1" ht="13.5" customHeight="1" spans="1:7">
      <c r="A20" s="410" t="s">
        <v>1072</v>
      </c>
      <c r="B20" s="411" t="s">
        <v>1073</v>
      </c>
      <c r="C20" s="438">
        <f ca="1">ROUND((C5+C19)*F20,0)</f>
        <v>0</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444">
        <f ca="1">ROUND(SUM(C23:C25),0)</f>
        <v>0</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447">
        <f ca="1">ROUND(IF('数据-取费表'!B22&lt;=1,C5*F22*'数据-取费表'!B23,C5*(POWER((1+F22),'数据-取费表'!B23)-1)),0)</f>
        <v>0</v>
      </c>
      <c r="D23" s="448"/>
      <c r="E23" s="448"/>
      <c r="F23" s="449"/>
      <c r="G23" s="450" t="s">
        <v>1082</v>
      </c>
    </row>
    <row r="24" s="392" customFormat="1" ht="13.5" customHeight="1" spans="1:7">
      <c r="A24" s="446" t="s">
        <v>1045</v>
      </c>
      <c r="B24" s="416" t="s">
        <v>1083</v>
      </c>
      <c r="C24" s="447">
        <f ca="1">ROUND(IF('数据-取费表'!B22&lt;=1,C19*F22*('数据-取费表'!B19/2+'数据-取费表'!B21),C19*(POWER((1+F22),('数据-取费表'!B19/2+'数据-取费表'!B21))-1)),0)</f>
        <v>0</v>
      </c>
      <c r="D24" s="448"/>
      <c r="E24" s="448"/>
      <c r="F24" s="449"/>
      <c r="G24" s="450" t="s">
        <v>1084</v>
      </c>
    </row>
    <row r="25" s="392" customFormat="1" ht="24" spans="1:7">
      <c r="A25" s="446" t="s">
        <v>1047</v>
      </c>
      <c r="B25" s="416" t="s">
        <v>1085</v>
      </c>
      <c r="C25" s="447">
        <f ca="1">ROUND(IF('数据-取费表'!B22&lt;=1,C20*F22*'数据-取费表'!B23/2,C20*(POWER((1+F22),'数据-取费表'!B23/2)-1)),0)</f>
        <v>0</v>
      </c>
      <c r="D25" s="448"/>
      <c r="E25" s="451"/>
      <c r="F25" s="449"/>
      <c r="G25" s="452" t="s">
        <v>1086</v>
      </c>
    </row>
    <row r="26" s="392" customFormat="1" spans="1:7">
      <c r="A26" s="446" t="s">
        <v>1087</v>
      </c>
      <c r="B26" s="416" t="s">
        <v>1088</v>
      </c>
      <c r="C26" s="448">
        <f ca="1">ROUND(IF('数据-取费表'!B22&lt;=1,F21*F22*'数据-取费表'!B23/2,F21*(POWER((1+F22),'数据-取费表'!B23/2)-1)),4)</f>
        <v>0.0006</v>
      </c>
      <c r="D26" s="448"/>
      <c r="E26" s="451"/>
      <c r="F26" s="449"/>
      <c r="G26" s="453"/>
    </row>
    <row r="27" s="392" customFormat="1" ht="24.75" spans="1:7">
      <c r="A27" s="410" t="s">
        <v>1089</v>
      </c>
      <c r="B27" s="454" t="s">
        <v>1090</v>
      </c>
      <c r="C27" s="455">
        <f ca="1">C28</f>
        <v>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ROUND((C5+C19+C20)*F27*'数据-取费表'!B21/'数据-取费表'!B20,0)</f>
        <v>0</v>
      </c>
      <c r="D28" s="441"/>
      <c r="E28" s="442"/>
      <c r="F28" s="456"/>
      <c r="G28" s="457"/>
    </row>
    <row r="29" s="392" customFormat="1" ht="13.5" customHeight="1" spans="1:7">
      <c r="A29" s="446" t="s">
        <v>1045</v>
      </c>
      <c r="B29" s="458" t="s">
        <v>1093</v>
      </c>
      <c r="C29" s="448">
        <f ca="1">ROUND(C21*F27*'数据-取费表'!B21/'数据-取费表'!B20,4)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2</v>
      </c>
      <c r="D31" s="461"/>
      <c r="E31" s="412"/>
      <c r="F31" s="462"/>
      <c r="G31" s="443" t="s">
        <v>1098</v>
      </c>
    </row>
    <row r="32" s="391" customFormat="1" ht="15.75" spans="1:7">
      <c r="A32" s="463" t="s">
        <v>1099</v>
      </c>
      <c r="B32" s="464"/>
      <c r="C32" s="464"/>
      <c r="D32" s="464"/>
      <c r="E32" s="464"/>
      <c r="F32" s="464"/>
      <c r="G32" s="465"/>
    </row>
    <row r="33" s="392" customFormat="1" ht="13.5" customHeight="1" spans="1:7">
      <c r="A33" s="410" t="s">
        <v>1039</v>
      </c>
      <c r="B33" s="411" t="s">
        <v>1100</v>
      </c>
      <c r="C33" s="466">
        <f ca="1">SUM(C34:C38)</f>
        <v>62</v>
      </c>
      <c r="D33" s="438"/>
      <c r="E33" s="413"/>
      <c r="F33" s="451"/>
      <c r="G33" s="443"/>
    </row>
    <row r="34" s="394" customFormat="1" ht="13.5" customHeight="1" spans="1:7">
      <c r="A34" s="446" t="s">
        <v>1043</v>
      </c>
      <c r="B34" s="416" t="s">
        <v>1101</v>
      </c>
      <c r="C34" s="421">
        <f ca="1">IF(B1="",IF(F34=100%,'数据-取费表'!M16,'数据-取费表'!O16),IF(F34=100%,INDIRECT("'数据-取费表'!m"&amp;$G$1)+INDIRECT("'数据-取费表'!t"&amp;$G$1),INDIRECT("'数据-取费表'!o"&amp;$G$1)+INDIRECT("'数据-取费表'!aq"&amp;$G$1)))</f>
        <v>56</v>
      </c>
      <c r="D34" s="418"/>
      <c r="E34" s="421"/>
      <c r="F34" s="467">
        <f ca="1">IF('数据-取费表'!B24=0,1,IF(B1="",'数据-取费表'!N16,INDIRECT("'数据-取费表'!n"&amp;$G$1)))</f>
        <v>1</v>
      </c>
      <c r="G34" s="420" t="s">
        <v>1102</v>
      </c>
    </row>
    <row r="35" ht="13.5" customHeight="1" spans="1:7">
      <c r="A35" s="446" t="s">
        <v>1045</v>
      </c>
      <c r="B35" s="416" t="s">
        <v>1103</v>
      </c>
      <c r="C35" s="421">
        <f ca="1">ROUND(C34*F35,0)</f>
        <v>3</v>
      </c>
      <c r="D35" s="421"/>
      <c r="E35" s="421"/>
      <c r="F35" s="468">
        <f>'数据-取费表'!B33</f>
        <v>0.05</v>
      </c>
      <c r="G35" s="420" t="s">
        <v>1104</v>
      </c>
    </row>
    <row r="36" ht="24" spans="1:7">
      <c r="A36" s="446" t="s">
        <v>1047</v>
      </c>
      <c r="B36" s="416" t="s">
        <v>1105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1106</v>
      </c>
    </row>
    <row r="37" s="394" customFormat="1" ht="13.5" customHeight="1" spans="1:7">
      <c r="A37" s="446" t="s">
        <v>1087</v>
      </c>
      <c r="B37" s="416" t="s">
        <v>1107</v>
      </c>
      <c r="C37" s="459">
        <f ca="1">ROUND(E37*D37*F34/10000,0)</f>
        <v>2</v>
      </c>
      <c r="D37" s="418">
        <f ca="1">D19</f>
        <v>112.13</v>
      </c>
      <c r="E37" s="459">
        <f>'数据-取费表'!B35</f>
        <v>200</v>
      </c>
      <c r="F37" s="468"/>
      <c r="G37" s="470" t="s">
        <v>1108</v>
      </c>
    </row>
    <row r="38" ht="13.5" customHeight="1" spans="1:7">
      <c r="A38" s="446" t="s">
        <v>1109</v>
      </c>
      <c r="B38" s="416" t="s">
        <v>975</v>
      </c>
      <c r="C38" s="421">
        <f ca="1">ROUND(C34*F38,0)</f>
        <v>1</v>
      </c>
      <c r="D38" s="421"/>
      <c r="E38" s="421"/>
      <c r="F38" s="468">
        <f>'数据-取费表'!B36</f>
        <v>0.02</v>
      </c>
      <c r="G38" s="420" t="s">
        <v>1104</v>
      </c>
    </row>
    <row r="39" s="392" customFormat="1" ht="13.5" customHeight="1" spans="1:7">
      <c r="A39" s="410" t="s">
        <v>1070</v>
      </c>
      <c r="B39" s="411" t="s">
        <v>1073</v>
      </c>
      <c r="C39" s="438">
        <f ca="1">ROUND(C33*F20,0)</f>
        <v>1</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f ca="1">ROUND(SUM(C42:C43),0)</f>
        <v>2</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ROUND(IF('数据-取费表'!B22&lt;=1,C33*F22*'数据-取费表'!B21/2,C33*(POWER((1+F22),'数据-取费表'!B21/2)-1)),0)</f>
        <v>2</v>
      </c>
      <c r="D42" s="448"/>
      <c r="E42" s="448"/>
      <c r="F42" s="449"/>
      <c r="G42" s="472" t="s">
        <v>1113</v>
      </c>
    </row>
    <row r="43" ht="13.5" customHeight="1" spans="1:7">
      <c r="A43" s="446" t="s">
        <v>1045</v>
      </c>
      <c r="B43" s="416" t="s">
        <v>1083</v>
      </c>
      <c r="C43" s="448">
        <f ca="1">ROUND(IF('数据-取费表'!B22&lt;=1,C39*F22*'数据-取费表'!B21/2,C39*(POWER((1+F22),'数据-取费表'!B21/2)-1)),0)</f>
        <v>0</v>
      </c>
      <c r="D43" s="448"/>
      <c r="E43" s="448"/>
      <c r="F43" s="449"/>
      <c r="G43" s="473"/>
    </row>
    <row r="44" ht="13.5" customHeight="1" spans="1:7">
      <c r="A44" s="446" t="s">
        <v>1047</v>
      </c>
      <c r="B44" s="416" t="s">
        <v>1085</v>
      </c>
      <c r="C44" s="448">
        <f ca="1">ROUND(IF('数据-取费表'!B22&lt;=1,C40*F22*'数据-取费表'!B21/2,C40*(POWER((1+F22),'数据-取费表'!B21/2)-1)),4)</f>
        <v>0.0006</v>
      </c>
      <c r="D44" s="448"/>
      <c r="E44" s="448"/>
      <c r="F44" s="449"/>
      <c r="G44" s="474"/>
    </row>
    <row r="45" s="392" customFormat="1" ht="13.5" customHeight="1" spans="1:7">
      <c r="A45" s="410" t="s">
        <v>1079</v>
      </c>
      <c r="B45" s="454" t="s">
        <v>1090</v>
      </c>
      <c r="C45" s="455">
        <f ca="1">C46</f>
        <v>9</v>
      </c>
      <c r="D45" s="441">
        <f ca="1">C47</f>
        <v>0.003</v>
      </c>
      <c r="E45" s="442" t="s">
        <v>1111</v>
      </c>
      <c r="F45" s="456">
        <f ca="1">F27</f>
        <v>0.15</v>
      </c>
      <c r="G45" s="457" t="s">
        <v>1114</v>
      </c>
    </row>
    <row r="46" s="392" customFormat="1" ht="13.5" customHeight="1" spans="1:7">
      <c r="A46" s="446" t="s">
        <v>1043</v>
      </c>
      <c r="B46" s="458" t="s">
        <v>1115</v>
      </c>
      <c r="C46" s="459">
        <f ca="1">ROUND((C33+C39)*F27,0)</f>
        <v>9</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2459">
        <f>ROUND(F30/(1+'数据-取费表'!C42),4)</f>
        <v>0.0533</v>
      </c>
      <c r="D48" s="442" t="s">
        <v>1111</v>
      </c>
      <c r="E48" s="438"/>
      <c r="F48" s="445">
        <f>F30</f>
        <v>0.056</v>
      </c>
      <c r="G48" s="443" t="s">
        <v>1117</v>
      </c>
    </row>
    <row r="49" ht="16.5" customHeight="1" spans="1:7">
      <c r="A49" s="410" t="s">
        <v>1094</v>
      </c>
      <c r="B49" s="411" t="s">
        <v>1118</v>
      </c>
      <c r="C49" s="438">
        <f ca="1">ROUND((C33+C39+C41+C45)/(1-C40-D41-D45-C48),0)</f>
        <v>80</v>
      </c>
      <c r="D49" s="438"/>
      <c r="E49" s="438"/>
      <c r="F49" s="476"/>
      <c r="G49" s="443" t="s">
        <v>1119</v>
      </c>
    </row>
    <row r="50" s="394" customFormat="1" ht="24" spans="1:7">
      <c r="A50" s="410" t="s">
        <v>1120</v>
      </c>
      <c r="B50" s="411" t="s">
        <v>1121</v>
      </c>
      <c r="C50" s="438"/>
      <c r="D50" s="438"/>
      <c r="E50" s="438"/>
      <c r="F50" s="476">
        <f>IF('数据-取费表'!B24=0,'数据-取费表'!N16,1)</f>
        <v>0.78</v>
      </c>
      <c r="G50" s="457" t="s">
        <v>1122</v>
      </c>
    </row>
    <row r="51" ht="16.5" customHeight="1" spans="1:7">
      <c r="A51" s="410" t="s">
        <v>1123</v>
      </c>
      <c r="B51" s="411" t="s">
        <v>1124</v>
      </c>
      <c r="C51" s="438">
        <f ca="1">ROUND(C49*F50,0)</f>
        <v>62</v>
      </c>
      <c r="D51" s="438"/>
      <c r="E51" s="438"/>
      <c r="F51" s="476"/>
      <c r="G51" s="443" t="s">
        <v>1125</v>
      </c>
    </row>
    <row r="52" s="391" customFormat="1" ht="16.5" spans="1:7">
      <c r="A52" s="477" t="s">
        <v>1126</v>
      </c>
      <c r="B52" s="478"/>
      <c r="C52" s="479">
        <f ca="1">C31+C51</f>
        <v>64</v>
      </c>
      <c r="D52" s="478"/>
      <c r="E52" s="478"/>
      <c r="F52" s="478"/>
      <c r="G52" s="480"/>
    </row>
    <row r="55" ht="15" spans="2:3">
      <c r="B55" s="481" t="s">
        <v>1127</v>
      </c>
      <c r="C55" s="482"/>
    </row>
    <row r="56" spans="2:3">
      <c r="B56" s="483" t="s">
        <v>1128</v>
      </c>
      <c r="C56" s="485">
        <f ca="1">1-C57</f>
        <v>0.031</v>
      </c>
    </row>
    <row r="57" spans="2:3">
      <c r="B57" s="483" t="s">
        <v>1129</v>
      </c>
      <c r="C57" s="484">
        <f ca="1">ROUND(C51/C52,3)</f>
        <v>0.969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0" customWidth="1"/>
    <col min="2" max="9" width="10" style="3710" customWidth="1"/>
    <col min="10" max="16384" width="9" style="3710"/>
  </cols>
  <sheetData>
    <row r="36" spans="1:2">
      <c r="A36" s="3709" t="s">
        <v>75</v>
      </c>
      <c r="B36" s="3709" t="s">
        <v>76</v>
      </c>
    </row>
    <row r="37" ht="27.75" customHeight="1" spans="1:9">
      <c r="A37" s="3709"/>
      <c r="B37" s="3711" t="str">
        <f>项目基本情况!B1</f>
        <v>北京市房地产抵押价值预评估</v>
      </c>
      <c r="C37" s="3711"/>
      <c r="D37" s="3711"/>
      <c r="E37" s="3711"/>
      <c r="F37" s="3711"/>
      <c r="G37" s="3711"/>
      <c r="H37" s="3711"/>
      <c r="I37" s="3711"/>
    </row>
    <row r="38" spans="1:2">
      <c r="A38" s="3712"/>
      <c r="B38" s="3712"/>
    </row>
    <row r="39" spans="1:2">
      <c r="A39" s="3709" t="s">
        <v>75</v>
      </c>
      <c r="B39" s="3709" t="s">
        <v>77</v>
      </c>
    </row>
    <row r="40" spans="1:2">
      <c r="A40" s="3709"/>
      <c r="B40" s="3713">
        <f>项目基本情况!B5</f>
        <v>0</v>
      </c>
    </row>
    <row r="41" spans="1:2">
      <c r="A41" s="3709"/>
      <c r="B41" s="3709"/>
    </row>
    <row r="42" spans="1:2">
      <c r="A42" s="3709" t="s">
        <v>75</v>
      </c>
      <c r="B42" s="3709" t="s">
        <v>78</v>
      </c>
    </row>
    <row r="43" spans="1:2">
      <c r="A43" s="3709"/>
      <c r="B43" s="3713" t="s">
        <v>79</v>
      </c>
    </row>
    <row r="44" spans="1:2">
      <c r="A44" s="3709"/>
      <c r="B44" s="3709"/>
    </row>
    <row r="45" spans="1:2">
      <c r="A45" s="3709" t="s">
        <v>75</v>
      </c>
      <c r="B45" s="3709" t="s">
        <v>80</v>
      </c>
    </row>
    <row r="46" s="3709" customFormat="1" ht="12.75" spans="2:2">
      <c r="B46" s="3713" t="str">
        <f ca="1">项目基本情况!K4</f>
        <v>（注册号：0)、（注册号：0)</v>
      </c>
    </row>
    <row r="47" spans="1:2">
      <c r="A47" s="3709"/>
      <c r="B47" s="3709" t="str">
        <f ca="1">项目基本情况!K5</f>
        <v>（注册号：0)、（注册号：0)</v>
      </c>
    </row>
    <row r="48" spans="1:2">
      <c r="A48" s="3709" t="s">
        <v>75</v>
      </c>
      <c r="B48" s="3709" t="s">
        <v>81</v>
      </c>
    </row>
    <row r="49" spans="2:2">
      <c r="B49" s="371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 workbookViewId="0">
      <selection activeCell="K16" sqref="K16"/>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688" t="s">
        <v>1131</v>
      </c>
      <c r="C1" s="1553" t="s">
        <v>1132</v>
      </c>
      <c r="D1" s="1554">
        <v>1607</v>
      </c>
      <c r="E1" s="1555" t="s">
        <v>1133</v>
      </c>
      <c r="F1" s="1556" t="s">
        <v>1134</v>
      </c>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f ca="1">IF(E1="项目模式",IF(C2="——",ROUND(C50*D3/10000,0),ROUND(C50*D3/10000,0)-D2),IF(E1="单套模式",IF(C2="——",ROUND(C50*D3/10000,4),ROUND(C50*D3/10000,4)-D2)))</f>
        <v>316.7112</v>
      </c>
      <c r="C2" s="1561" t="s">
        <v>124</v>
      </c>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f ca="1">IF(C2="——",C50,ROUND(B2*10000/D3,0))</f>
        <v>28245</v>
      </c>
      <c r="C3" s="1564" t="s">
        <v>1136</v>
      </c>
      <c r="D3" s="1565">
        <f>IF(D1="",'数据-汇总表'!E3,SUMIF('数据-汇总表'!$C19:$C33,D1,'数据-汇总表'!$E19:$E33))</f>
        <v>112.13</v>
      </c>
      <c r="E3" s="1736"/>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2481" t="s">
        <v>1143</v>
      </c>
      <c r="Q4" s="2486"/>
      <c r="R4" s="2487" t="s">
        <v>1139</v>
      </c>
      <c r="S4" s="2488"/>
      <c r="T4" s="2487" t="s">
        <v>1140</v>
      </c>
      <c r="U4" s="2488"/>
      <c r="V4" s="1273" t="s">
        <v>1141</v>
      </c>
      <c r="W4" s="1273"/>
      <c r="X4" s="2489"/>
      <c r="Y4" s="2487" t="s">
        <v>1143</v>
      </c>
      <c r="Z4" s="2488"/>
      <c r="AA4" s="2489" t="s">
        <v>1139</v>
      </c>
      <c r="AB4" s="2489" t="s">
        <v>1140</v>
      </c>
      <c r="AC4" s="2492" t="s">
        <v>1141</v>
      </c>
    </row>
    <row r="5" ht="15" spans="1:29">
      <c r="A5" s="1157"/>
      <c r="B5" s="1158"/>
      <c r="C5" s="1159" t="s">
        <v>1144</v>
      </c>
      <c r="D5" s="1160"/>
      <c r="E5" s="2469" t="s">
        <v>1145</v>
      </c>
      <c r="F5" s="1162"/>
      <c r="G5" s="2470" t="s">
        <v>1146</v>
      </c>
      <c r="H5" s="1160"/>
      <c r="I5" s="2470" t="s">
        <v>1147</v>
      </c>
      <c r="J5" s="1160"/>
      <c r="K5" s="1311"/>
      <c r="L5" s="1312"/>
      <c r="M5" s="1313"/>
      <c r="N5" s="1313"/>
      <c r="O5" s="1313"/>
      <c r="P5" s="2482"/>
      <c r="Q5" s="1367"/>
      <c r="R5" s="1368"/>
      <c r="S5" s="1369"/>
      <c r="T5" s="1368"/>
      <c r="U5" s="1369"/>
      <c r="V5" s="1353"/>
      <c r="W5" s="1353"/>
      <c r="X5" s="1366"/>
      <c r="Y5" s="1368"/>
      <c r="Z5" s="1369"/>
      <c r="AA5" s="1366"/>
      <c r="AB5" s="1366"/>
      <c r="AC5" s="1644"/>
    </row>
    <row r="6" ht="15.75" spans="1:29">
      <c r="A6" s="1163"/>
      <c r="B6" s="1164"/>
      <c r="C6" s="1514" t="s">
        <v>1148</v>
      </c>
      <c r="D6" s="1515"/>
      <c r="E6" s="1516" t="s">
        <v>1148</v>
      </c>
      <c r="F6" s="1517"/>
      <c r="G6" s="1514" t="s">
        <v>1148</v>
      </c>
      <c r="H6" s="1515"/>
      <c r="I6" s="1514" t="s">
        <v>1148</v>
      </c>
      <c r="J6" s="1515"/>
      <c r="K6" s="1311" t="s">
        <v>1149</v>
      </c>
      <c r="L6" s="1312"/>
      <c r="M6" s="1313"/>
      <c r="N6" s="1313"/>
      <c r="O6" s="1313"/>
      <c r="P6" s="2483"/>
      <c r="Q6" s="1370"/>
      <c r="R6" s="1368"/>
      <c r="S6" s="1369"/>
      <c r="T6" s="1371"/>
      <c r="U6" s="1372"/>
      <c r="V6" s="1353"/>
      <c r="W6" s="1353"/>
      <c r="X6" s="1366"/>
      <c r="Y6" s="1371"/>
      <c r="Z6" s="1372"/>
      <c r="AA6" s="1392"/>
      <c r="AB6" s="1392"/>
      <c r="AC6" s="2493"/>
    </row>
    <row r="7" s="1132" customFormat="1" ht="15.75" spans="1:29">
      <c r="A7" s="1169" t="s">
        <v>1150</v>
      </c>
      <c r="B7" s="1170"/>
      <c r="C7" s="1171">
        <f>'数据-取费表'!B2</f>
        <v>45846</v>
      </c>
      <c r="D7" s="1172">
        <v>100</v>
      </c>
      <c r="E7" s="1173">
        <f>C7</f>
        <v>45846</v>
      </c>
      <c r="F7" s="1174">
        <f>SUMIF(59:59,YEAR(E7)&amp;"-"&amp;MONTH(E7),60:60)</f>
        <v>100</v>
      </c>
      <c r="G7" s="1173">
        <f>C7</f>
        <v>45846</v>
      </c>
      <c r="H7" s="1172">
        <f>SUMIF(59:59,YEAR(G7)&amp;"-"&amp;MONTH(G7),60:60)</f>
        <v>100</v>
      </c>
      <c r="I7" s="1173">
        <f>C7</f>
        <v>45846</v>
      </c>
      <c r="J7" s="1172">
        <f>SUMIF(59:59,YEAR(I7)&amp;"-"&amp;MONTH(I7),60:60)</f>
        <v>100</v>
      </c>
      <c r="K7" s="1317"/>
      <c r="L7" s="1318"/>
      <c r="M7" s="1319"/>
      <c r="N7" s="1319"/>
      <c r="O7" s="1319"/>
      <c r="P7" s="2484" t="s">
        <v>1151</v>
      </c>
      <c r="Q7" s="1373"/>
      <c r="R7" s="1374" t="s">
        <v>1152</v>
      </c>
      <c r="S7" s="1375">
        <f t="shared" ref="S7:S15" si="0">F7</f>
        <v>100</v>
      </c>
      <c r="T7" s="1374" t="s">
        <v>1152</v>
      </c>
      <c r="U7" s="1375">
        <f t="shared" ref="U7:U15" si="1">H7</f>
        <v>100</v>
      </c>
      <c r="V7" s="1374" t="s">
        <v>1152</v>
      </c>
      <c r="W7" s="1375">
        <f t="shared" ref="W7:W15" si="2">J7</f>
        <v>100</v>
      </c>
      <c r="X7" s="1376"/>
      <c r="Y7" s="1320" t="s">
        <v>1151</v>
      </c>
      <c r="Z7" s="1377"/>
      <c r="AA7" s="1393">
        <f>D7/F7</f>
        <v>1</v>
      </c>
      <c r="AB7" s="1393">
        <f>D7/H7</f>
        <v>1</v>
      </c>
      <c r="AC7" s="2494">
        <f>D7/J7</f>
        <v>1</v>
      </c>
    </row>
    <row r="8" s="1132" customFormat="1" ht="15.75" spans="1:29">
      <c r="A8" s="1169" t="s">
        <v>1153</v>
      </c>
      <c r="B8" s="1170"/>
      <c r="C8" s="1176" t="s">
        <v>1154</v>
      </c>
      <c r="D8" s="1172">
        <v>100</v>
      </c>
      <c r="E8" s="1176" t="s">
        <v>1155</v>
      </c>
      <c r="F8" s="1174">
        <f>SUMIF(62:62,E8,63:63)-SUMIF(62:62,C8,63:63)+100</f>
        <v>105</v>
      </c>
      <c r="G8" s="1176" t="s">
        <v>1155</v>
      </c>
      <c r="H8" s="1172">
        <f>SUMIF(62:62,G8,63:63)-SUMIF(62:62,C8,63:63)+100</f>
        <v>105</v>
      </c>
      <c r="I8" s="1176" t="s">
        <v>1155</v>
      </c>
      <c r="J8" s="1172">
        <f>SUMIF(62:62,I8,63:63)-SUMIF(62:62,C8,63:63)+100</f>
        <v>105</v>
      </c>
      <c r="K8" s="1317"/>
      <c r="L8" s="1318"/>
      <c r="M8" s="1319"/>
      <c r="N8" s="1319"/>
      <c r="O8" s="1319"/>
      <c r="P8" s="2484" t="s">
        <v>1156</v>
      </c>
      <c r="Q8" s="1377"/>
      <c r="R8" s="1374" t="s">
        <v>1152</v>
      </c>
      <c r="S8" s="1375">
        <f t="shared" si="0"/>
        <v>105</v>
      </c>
      <c r="T8" s="1374" t="s">
        <v>1152</v>
      </c>
      <c r="U8" s="1375">
        <f t="shared" si="1"/>
        <v>105</v>
      </c>
      <c r="V8" s="1374" t="s">
        <v>1152</v>
      </c>
      <c r="W8" s="1375">
        <f t="shared" si="2"/>
        <v>105</v>
      </c>
      <c r="X8" s="1376"/>
      <c r="Y8" s="1320" t="s">
        <v>1156</v>
      </c>
      <c r="Z8" s="1377"/>
      <c r="AA8" s="1393">
        <f t="shared" ref="AA8:AA47" si="3">D8/F8</f>
        <v>0.952380952380952</v>
      </c>
      <c r="AB8" s="1393">
        <f t="shared" ref="AB8:AB47" si="4">D8/H8</f>
        <v>0.952380952380952</v>
      </c>
      <c r="AC8" s="2494">
        <f t="shared" ref="AC8:AC47" si="5">D8/J8</f>
        <v>0.952380952380952</v>
      </c>
    </row>
    <row r="9" s="1132" customFormat="1" spans="1:29">
      <c r="A9" s="1177" t="s">
        <v>1157</v>
      </c>
      <c r="B9" s="1178" t="s">
        <v>1158</v>
      </c>
      <c r="C9" s="2471" t="s">
        <v>230</v>
      </c>
      <c r="D9" s="1180">
        <v>100</v>
      </c>
      <c r="E9" s="1567" t="s">
        <v>230</v>
      </c>
      <c r="F9" s="1180">
        <f>SUMIF(64:64,E9,65:65)-SUMIF(64:64,C9,65:65)+100</f>
        <v>100</v>
      </c>
      <c r="G9" s="1567" t="s">
        <v>230</v>
      </c>
      <c r="H9" s="1180">
        <f>SUMIF(64:64,G9,65:65)-SUMIF(64:64,C9,65:65)+100</f>
        <v>100</v>
      </c>
      <c r="I9" s="1567" t="s">
        <v>230</v>
      </c>
      <c r="J9" s="1180">
        <f>SUMIF(64:64,I9,65:65)-SUMIF(64:64,C9,65:65)+100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2494">
        <f t="shared" si="5"/>
        <v>1</v>
      </c>
    </row>
    <row r="10" s="1133" customFormat="1" ht="27" spans="1:29">
      <c r="A10" s="1181"/>
      <c r="B10" s="1182" t="s">
        <v>1161</v>
      </c>
      <c r="C10" s="2472" t="s">
        <v>1162</v>
      </c>
      <c r="D10" s="1184">
        <v>100</v>
      </c>
      <c r="E10" s="2472" t="str">
        <f>C10</f>
        <v>25-30（含）</v>
      </c>
      <c r="F10" s="1184">
        <f>SUMIF(66:66,E10,67:67)-SUMIF(66:66,C10,67:67)+100</f>
        <v>100</v>
      </c>
      <c r="G10" s="2473" t="s">
        <v>1162</v>
      </c>
      <c r="H10" s="1184">
        <f>SUMIF(66:66,G10,67:67)-SUMIF(66:66,C10,67:67)+100</f>
        <v>100</v>
      </c>
      <c r="I10" s="2472" t="s">
        <v>1163</v>
      </c>
      <c r="J10" s="1184">
        <f>SUMIF(66:66,I10,67:67)-SUMIF(66:66,C10,67:67)+100</f>
        <v>99</v>
      </c>
      <c r="K10" s="1317"/>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99</v>
      </c>
      <c r="X10" s="1376"/>
      <c r="Y10" s="1378"/>
      <c r="Z10" s="1394" t="str">
        <f t="shared" si="7"/>
        <v>土地使用年限（年）</v>
      </c>
      <c r="AA10" s="1393">
        <f t="shared" si="3"/>
        <v>1</v>
      </c>
      <c r="AB10" s="1393">
        <f t="shared" si="4"/>
        <v>1</v>
      </c>
      <c r="AC10" s="2494">
        <f t="shared" si="5"/>
        <v>1.01010101010101</v>
      </c>
    </row>
    <row r="11" ht="15" spans="1:29">
      <c r="A11" s="1185"/>
      <c r="B11" s="1182" t="s">
        <v>1164</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2494">
        <f t="shared" si="5"/>
        <v>1</v>
      </c>
    </row>
    <row r="12" s="1132" customFormat="1" ht="15" spans="1:29">
      <c r="A12" s="1188"/>
      <c r="B12" s="1189">
        <v>111</v>
      </c>
      <c r="C12" s="1183"/>
      <c r="D12" s="1190">
        <v>100</v>
      </c>
      <c r="E12" s="1183"/>
      <c r="F12" s="1184">
        <f>SUMIF(71:71,E12,72:72)-SUMIF(71:71,C12,72:72)+100</f>
        <v>100</v>
      </c>
      <c r="G12" s="2474"/>
      <c r="H12" s="1184">
        <f>SUMIF(71:71,G12,72:72)-SUMIF(71:71,C12,72:72)+100</f>
        <v>100</v>
      </c>
      <c r="I12" s="1183"/>
      <c r="J12" s="1184">
        <f>SUMIF(71:71,I12,72:72)-SUMIF(71:71,C12,72:72)+100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2494">
        <f t="shared" si="5"/>
        <v>1</v>
      </c>
    </row>
    <row r="13" ht="15" spans="1:29">
      <c r="A13" s="1185"/>
      <c r="B13" s="1189">
        <v>111</v>
      </c>
      <c r="C13" s="1193"/>
      <c r="D13" s="1194">
        <v>100</v>
      </c>
      <c r="E13" s="1183"/>
      <c r="F13" s="1184">
        <f>SUMIF(73:73,E13,74:74)-SUMIF(73:73,C13,74:74)+100</f>
        <v>100</v>
      </c>
      <c r="G13" s="2474"/>
      <c r="H13" s="1194">
        <f>SUMIF(73:73,G13,74:74)-SUMIF(73:73,C13,74:74)+100</f>
        <v>100</v>
      </c>
      <c r="I13" s="1183"/>
      <c r="J13" s="1194">
        <f>SUMIF(73:73,I13,74:74)-SUMIF(73:73,C13,74:74)+100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2494">
        <f t="shared" si="5"/>
        <v>1</v>
      </c>
    </row>
    <row r="14" ht="15.75" spans="1:29">
      <c r="A14" s="1195"/>
      <c r="B14" s="1196">
        <v>111</v>
      </c>
      <c r="C14" s="1197"/>
      <c r="D14" s="1198">
        <v>100</v>
      </c>
      <c r="E14" s="1648"/>
      <c r="F14" s="1198">
        <f>SUMIF(75:75,E14,76:76)-SUMIF(75:75,C14,76:76)+100</f>
        <v>100</v>
      </c>
      <c r="G14" s="2474"/>
      <c r="H14" s="1198">
        <f>SUMIF(75:75,G14,76:76)-SUMIF(75:75,C14,76:76)+100</f>
        <v>100</v>
      </c>
      <c r="I14" s="1183"/>
      <c r="J14" s="1198">
        <f>SUMIF(75:75,I14,76:76)-SUMIF(75:75,C14,76:76)+100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2494">
        <f t="shared" si="5"/>
        <v>1</v>
      </c>
    </row>
    <row r="15" ht="68.25" spans="1:29">
      <c r="A15" s="1199" t="s">
        <v>1165</v>
      </c>
      <c r="B15" s="1200" t="s">
        <v>1166</v>
      </c>
      <c r="C15" s="2475" t="str">
        <f>估价对象房地状况!C5</f>
        <v>估价对象位于XX商圈，周边办公楼项目较多，入驻率高，办公集聚程度较好</v>
      </c>
      <c r="D15" s="1202">
        <v>100</v>
      </c>
      <c r="E15" s="1330"/>
      <c r="F15" s="1202">
        <f>SUMIF(77:77,E16,78:78)-SUMIF(77:77,C16,78:78)+100</f>
        <v>108</v>
      </c>
      <c r="G15" s="1203"/>
      <c r="H15" s="1202">
        <f>SUMIF(77:77,G16,78:78)-SUMIF(77:77,C16,78:78)+100</f>
        <v>108</v>
      </c>
      <c r="I15" s="1203"/>
      <c r="J15" s="1202">
        <f>SUMIF(77:77,I16,78:78)-SUMIF(77:77,C16,78:78)+100</f>
        <v>108</v>
      </c>
      <c r="K15" s="1612">
        <v>8</v>
      </c>
      <c r="L15" s="1329"/>
      <c r="M15" s="1313"/>
      <c r="N15" s="1313"/>
      <c r="O15" s="1313"/>
      <c r="P15" s="1745" t="s">
        <v>1167</v>
      </c>
      <c r="Q15" s="717" t="str">
        <f t="shared" si="6"/>
        <v>办公集聚程度</v>
      </c>
      <c r="R15" s="1379" t="s">
        <v>1152</v>
      </c>
      <c r="S15" s="1380">
        <f t="shared" si="0"/>
        <v>108</v>
      </c>
      <c r="T15" s="1379" t="s">
        <v>1152</v>
      </c>
      <c r="U15" s="1380">
        <f t="shared" si="1"/>
        <v>108</v>
      </c>
      <c r="V15" s="1379" t="s">
        <v>1152</v>
      </c>
      <c r="W15" s="1380">
        <f t="shared" si="2"/>
        <v>108</v>
      </c>
      <c r="X15" s="1366"/>
      <c r="Y15" s="1331" t="s">
        <v>1167</v>
      </c>
      <c r="Z15" s="1353" t="str">
        <f t="shared" si="7"/>
        <v>办公集聚程度</v>
      </c>
      <c r="AA15" s="1395">
        <f t="shared" si="3"/>
        <v>0.925925925925926</v>
      </c>
      <c r="AB15" s="1395">
        <f t="shared" si="4"/>
        <v>0.925925925925926</v>
      </c>
      <c r="AC15" s="2495">
        <f t="shared" si="5"/>
        <v>0.925925925925926</v>
      </c>
    </row>
    <row r="16" ht="15" spans="1:29">
      <c r="A16" s="1185"/>
      <c r="B16" s="1204"/>
      <c r="C16" s="1207" t="s">
        <v>1168</v>
      </c>
      <c r="D16" s="1206"/>
      <c r="E16" s="1205" t="s">
        <v>1169</v>
      </c>
      <c r="F16" s="1206"/>
      <c r="G16" s="1207" t="s">
        <v>1169</v>
      </c>
      <c r="H16" s="1208"/>
      <c r="I16" s="1207" t="s">
        <v>1169</v>
      </c>
      <c r="J16" s="1206"/>
      <c r="K16" s="1613"/>
      <c r="L16" s="1329"/>
      <c r="M16" s="1313"/>
      <c r="N16" s="1313"/>
      <c r="O16" s="1313"/>
      <c r="P16" s="1746"/>
      <c r="Q16" s="717"/>
      <c r="R16" s="1379"/>
      <c r="S16" s="1380"/>
      <c r="T16" s="1379"/>
      <c r="U16" s="1380"/>
      <c r="V16" s="1379"/>
      <c r="W16" s="1380"/>
      <c r="X16" s="1366"/>
      <c r="Y16" s="1332"/>
      <c r="Z16" s="1353"/>
      <c r="AA16" s="1395">
        <v>1</v>
      </c>
      <c r="AB16" s="1395">
        <v>1</v>
      </c>
      <c r="AC16" s="2495">
        <v>1</v>
      </c>
    </row>
    <row r="17" ht="67.5" spans="1:29">
      <c r="A17" s="1185"/>
      <c r="B17" s="1209" t="s">
        <v>1170</v>
      </c>
      <c r="C17" s="2476"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v>2</v>
      </c>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2495">
        <f t="shared" si="5"/>
        <v>1</v>
      </c>
    </row>
    <row r="18" ht="15" spans="1:29">
      <c r="A18" s="1185"/>
      <c r="B18" s="1213"/>
      <c r="C18" s="2477" t="s">
        <v>1169</v>
      </c>
      <c r="D18" s="1208"/>
      <c r="E18" s="2477" t="s">
        <v>1169</v>
      </c>
      <c r="F18" s="1208"/>
      <c r="G18" s="2477" t="s">
        <v>1169</v>
      </c>
      <c r="H18" s="1206"/>
      <c r="I18" s="2477" t="s">
        <v>1169</v>
      </c>
      <c r="J18" s="1206"/>
      <c r="K18" s="1613"/>
      <c r="L18" s="1329"/>
      <c r="M18" s="1313"/>
      <c r="N18" s="1313"/>
      <c r="O18" s="1313"/>
      <c r="P18" s="1746"/>
      <c r="Q18" s="717"/>
      <c r="R18" s="1379"/>
      <c r="S18" s="1380"/>
      <c r="T18" s="1379"/>
      <c r="U18" s="1380"/>
      <c r="V18" s="1379"/>
      <c r="W18" s="1380"/>
      <c r="X18" s="1366"/>
      <c r="Y18" s="1332"/>
      <c r="Z18" s="1353"/>
      <c r="AA18" s="1395">
        <v>1</v>
      </c>
      <c r="AB18" s="1395">
        <v>1</v>
      </c>
      <c r="AC18" s="2495">
        <v>1</v>
      </c>
    </row>
    <row r="19" ht="40.5" spans="1:29">
      <c r="A19" s="1185"/>
      <c r="B19" s="1209" t="s">
        <v>1171</v>
      </c>
      <c r="C19" s="2476"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v>2</v>
      </c>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2495">
        <f t="shared" si="5"/>
        <v>1</v>
      </c>
    </row>
    <row r="20" ht="15" spans="1:29">
      <c r="A20" s="1185"/>
      <c r="B20" s="1213"/>
      <c r="C20" s="1207" t="s">
        <v>1169</v>
      </c>
      <c r="D20" s="1206"/>
      <c r="E20" s="1207" t="s">
        <v>1169</v>
      </c>
      <c r="F20" s="1206"/>
      <c r="G20" s="1207" t="s">
        <v>1169</v>
      </c>
      <c r="H20" s="1206"/>
      <c r="I20" s="1207" t="s">
        <v>1169</v>
      </c>
      <c r="J20" s="1206"/>
      <c r="K20" s="1613"/>
      <c r="L20" s="1329"/>
      <c r="M20" s="1313"/>
      <c r="N20" s="1313"/>
      <c r="O20" s="1313"/>
      <c r="P20" s="1746"/>
      <c r="Q20" s="717"/>
      <c r="R20" s="1379"/>
      <c r="S20" s="1380"/>
      <c r="T20" s="1379"/>
      <c r="U20" s="1380"/>
      <c r="V20" s="1379"/>
      <c r="W20" s="1380"/>
      <c r="X20" s="1366"/>
      <c r="Y20" s="1332"/>
      <c r="Z20" s="1353"/>
      <c r="AA20" s="1395">
        <v>1</v>
      </c>
      <c r="AB20" s="1395">
        <v>1</v>
      </c>
      <c r="AC20" s="2495">
        <v>1</v>
      </c>
    </row>
    <row r="21" ht="27" spans="1:29">
      <c r="A21" s="1185"/>
      <c r="B21" s="1216" t="s">
        <v>1172</v>
      </c>
      <c r="C21" s="2476"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v>1</v>
      </c>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2495">
        <f t="shared" ref="AC21" si="10">D21/J21</f>
        <v>1</v>
      </c>
    </row>
    <row r="22" ht="15" spans="1:29">
      <c r="A22" s="1185"/>
      <c r="B22" s="1216"/>
      <c r="C22" s="2477" t="s">
        <v>241</v>
      </c>
      <c r="D22" s="1206"/>
      <c r="E22" s="2477" t="s">
        <v>241</v>
      </c>
      <c r="F22" s="1206"/>
      <c r="G22" s="2477" t="s">
        <v>241</v>
      </c>
      <c r="H22" s="1206"/>
      <c r="I22" s="2477" t="s">
        <v>241</v>
      </c>
      <c r="J22" s="1206"/>
      <c r="K22" s="1614"/>
      <c r="L22" s="1329"/>
      <c r="M22" s="1313"/>
      <c r="N22" s="1313"/>
      <c r="O22" s="1313"/>
      <c r="P22" s="1746"/>
      <c r="Q22" s="717"/>
      <c r="R22" s="1379"/>
      <c r="S22" s="1380"/>
      <c r="T22" s="1379"/>
      <c r="U22" s="1380"/>
      <c r="V22" s="1379"/>
      <c r="W22" s="1380"/>
      <c r="X22" s="1366"/>
      <c r="Y22" s="1332"/>
      <c r="Z22" s="1353"/>
      <c r="AA22" s="1395">
        <v>1</v>
      </c>
      <c r="AB22" s="1395">
        <v>1</v>
      </c>
      <c r="AC22" s="2495">
        <v>1</v>
      </c>
    </row>
    <row r="23" ht="40.5" spans="1:29">
      <c r="A23" s="1185"/>
      <c r="B23" s="1209" t="s">
        <v>1173</v>
      </c>
      <c r="C23" s="2476"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v>2</v>
      </c>
      <c r="L23" s="1329"/>
      <c r="M23" s="1313"/>
      <c r="N23" s="1313"/>
      <c r="O23" s="1313"/>
      <c r="P23" s="1746"/>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2495">
        <f t="shared" si="5"/>
        <v>1</v>
      </c>
    </row>
    <row r="24" ht="15" spans="1:29">
      <c r="A24" s="1185"/>
      <c r="B24" s="1216"/>
      <c r="C24" s="1207" t="s">
        <v>1168</v>
      </c>
      <c r="D24" s="1206"/>
      <c r="E24" s="1334" t="s">
        <v>1168</v>
      </c>
      <c r="F24" s="1206"/>
      <c r="G24" s="1214" t="s">
        <v>1168</v>
      </c>
      <c r="H24" s="1206"/>
      <c r="I24" s="1214" t="s">
        <v>1168</v>
      </c>
      <c r="J24" s="1206"/>
      <c r="K24" s="1613"/>
      <c r="L24" s="1329"/>
      <c r="M24" s="1313"/>
      <c r="N24" s="1313"/>
      <c r="O24" s="1313"/>
      <c r="P24" s="1746"/>
      <c r="Q24" s="717"/>
      <c r="R24" s="1379"/>
      <c r="S24" s="1380"/>
      <c r="T24" s="1379"/>
      <c r="U24" s="1380"/>
      <c r="V24" s="1379"/>
      <c r="W24" s="1380"/>
      <c r="X24" s="1366"/>
      <c r="Y24" s="1332"/>
      <c r="Z24" s="1353"/>
      <c r="AA24" s="1395">
        <v>1</v>
      </c>
      <c r="AB24" s="1395">
        <v>1</v>
      </c>
      <c r="AC24" s="2495">
        <v>1</v>
      </c>
    </row>
    <row r="25" ht="27" spans="1:29">
      <c r="A25" s="1157"/>
      <c r="B25" s="1209" t="s">
        <v>1174</v>
      </c>
      <c r="C25" s="1771"/>
      <c r="D25" s="1194">
        <v>100</v>
      </c>
      <c r="E25" s="1193"/>
      <c r="F25" s="1194">
        <f>SUMIF(87:87,E26,88:88)-SUMIF(87:87,C26,88:88)+100</f>
        <v>100</v>
      </c>
      <c r="G25" s="1771"/>
      <c r="H25" s="1194">
        <f>SUMIF(87:87,G26,88:88)-SUMIF(87:87,C26,88:88)+100</f>
        <v>100</v>
      </c>
      <c r="I25" s="1193"/>
      <c r="J25" s="1194">
        <f>SUMIF(87:87,I26,88:88)-SUMIF(87:87,C26,88:88)+100</f>
        <v>100</v>
      </c>
      <c r="K25" s="1612"/>
      <c r="L25" s="1329"/>
      <c r="M25" s="1313"/>
      <c r="N25" s="1313"/>
      <c r="O25" s="1313"/>
      <c r="P25" s="1746"/>
      <c r="Q25" s="717" t="str">
        <f>B25</f>
        <v>毗邻道路的类型与等级</v>
      </c>
      <c r="R25" s="1379" t="s">
        <v>1152</v>
      </c>
      <c r="S25" s="1380">
        <f>F25</f>
        <v>100</v>
      </c>
      <c r="T25" s="1379" t="s">
        <v>1152</v>
      </c>
      <c r="U25" s="1380">
        <f>H25</f>
        <v>100</v>
      </c>
      <c r="V25" s="1379" t="s">
        <v>1152</v>
      </c>
      <c r="W25" s="1380">
        <f>J25</f>
        <v>100</v>
      </c>
      <c r="X25" s="1366"/>
      <c r="Y25" s="1332"/>
      <c r="Z25" s="1353" t="str">
        <f>Q25</f>
        <v>毗邻道路的类型与等级</v>
      </c>
      <c r="AA25" s="1395">
        <f t="shared" si="3"/>
        <v>1</v>
      </c>
      <c r="AB25" s="1395">
        <f t="shared" si="4"/>
        <v>1</v>
      </c>
      <c r="AC25" s="2495">
        <f t="shared" si="5"/>
        <v>1</v>
      </c>
    </row>
    <row r="26" ht="15" spans="1:29">
      <c r="A26" s="1157"/>
      <c r="B26" s="1213"/>
      <c r="C26" s="1220"/>
      <c r="D26" s="1194"/>
      <c r="E26" s="1219"/>
      <c r="F26" s="1194"/>
      <c r="G26" s="1220"/>
      <c r="H26" s="1194"/>
      <c r="I26" s="1219"/>
      <c r="J26" s="1194"/>
      <c r="K26" s="1613"/>
      <c r="L26" s="1329"/>
      <c r="M26" s="1313"/>
      <c r="N26" s="1313"/>
      <c r="O26" s="1313"/>
      <c r="P26" s="1746"/>
      <c r="Q26" s="717"/>
      <c r="R26" s="1379"/>
      <c r="S26" s="1380"/>
      <c r="T26" s="1379"/>
      <c r="U26" s="1380"/>
      <c r="V26" s="1379"/>
      <c r="W26" s="1380"/>
      <c r="X26" s="1366"/>
      <c r="Y26" s="1332"/>
      <c r="Z26" s="1353"/>
      <c r="AA26" s="1395">
        <v>1</v>
      </c>
      <c r="AB26" s="1395">
        <v>1</v>
      </c>
      <c r="AC26" s="2495">
        <v>1</v>
      </c>
    </row>
    <row r="27" ht="15" spans="1:29">
      <c r="A27" s="1185"/>
      <c r="B27" s="1213" t="s">
        <v>1175</v>
      </c>
      <c r="C27" s="1220" t="s">
        <v>1176</v>
      </c>
      <c r="D27" s="1194">
        <v>100</v>
      </c>
      <c r="E27" s="1219" t="s">
        <v>1177</v>
      </c>
      <c r="F27" s="1194">
        <f>SUMIF(89:89,E27,90:90)-SUMIF(89:89,C27,90:90)+100</f>
        <v>105</v>
      </c>
      <c r="G27" s="1220" t="s">
        <v>1176</v>
      </c>
      <c r="H27" s="1194">
        <f>SUMIF(89:89,G27,90:90)-SUMIF(89:89,C27,90:90)+100</f>
        <v>100</v>
      </c>
      <c r="I27" s="1219" t="s">
        <v>1178</v>
      </c>
      <c r="J27" s="1194">
        <f>SUMIF(89:89,I27,90:90)-SUMIF(89:89,C27,90:90)+100</f>
        <v>95</v>
      </c>
      <c r="K27" s="1337">
        <v>5</v>
      </c>
      <c r="L27" s="1329"/>
      <c r="M27" s="1313"/>
      <c r="N27" s="1313"/>
      <c r="O27" s="1313"/>
      <c r="P27" s="1746"/>
      <c r="Q27" s="717" t="str">
        <f t="shared" ref="Q27:Q47" si="11">B27</f>
        <v>楼层</v>
      </c>
      <c r="R27" s="1379" t="s">
        <v>1152</v>
      </c>
      <c r="S27" s="1380">
        <f>F27</f>
        <v>105</v>
      </c>
      <c r="T27" s="1379" t="s">
        <v>1152</v>
      </c>
      <c r="U27" s="1380">
        <f>H27</f>
        <v>100</v>
      </c>
      <c r="V27" s="1379" t="s">
        <v>1152</v>
      </c>
      <c r="W27" s="1380">
        <f>J27</f>
        <v>95</v>
      </c>
      <c r="X27" s="1366"/>
      <c r="Y27" s="1332"/>
      <c r="Z27" s="1353" t="str">
        <f>Q27</f>
        <v>楼层</v>
      </c>
      <c r="AA27" s="1395">
        <f t="shared" si="3"/>
        <v>0.952380952380952</v>
      </c>
      <c r="AB27" s="1395">
        <f t="shared" si="4"/>
        <v>1</v>
      </c>
      <c r="AC27" s="2495">
        <f t="shared" si="5"/>
        <v>1.05263157894737</v>
      </c>
    </row>
    <row r="28" s="1132" customFormat="1" ht="15" spans="1:29">
      <c r="A28" s="1188"/>
      <c r="B28" s="1209" t="s">
        <v>1179</v>
      </c>
      <c r="C28" s="2478"/>
      <c r="D28" s="1690">
        <v>100</v>
      </c>
      <c r="E28" s="1737"/>
      <c r="F28" s="1690">
        <f>SUMIF(91:91,E28,92:92)-SUMIF(91:91,C28,92:92)+100</f>
        <v>100</v>
      </c>
      <c r="G28" s="2478"/>
      <c r="H28" s="1690">
        <f>SUMIF(91:91,G28,92:92)-SUMIF(91:91,C28,92:92)+100</f>
        <v>100</v>
      </c>
      <c r="I28" s="1737"/>
      <c r="J28" s="1690">
        <f>SUMIF(91:91,I28,92:92)-SUMIF(91:91,C28,92:92)+100</f>
        <v>100</v>
      </c>
      <c r="K28" s="1337"/>
      <c r="L28" s="1318"/>
      <c r="M28" s="1319"/>
      <c r="N28" s="1319"/>
      <c r="O28" s="1319"/>
      <c r="P28" s="1746"/>
      <c r="Q28" s="1378" t="str">
        <f t="shared" si="11"/>
        <v>朝向</v>
      </c>
      <c r="R28" s="1374" t="s">
        <v>1152</v>
      </c>
      <c r="S28" s="1375">
        <f>F28</f>
        <v>100</v>
      </c>
      <c r="T28" s="1374" t="s">
        <v>1152</v>
      </c>
      <c r="U28" s="1375">
        <f>H28</f>
        <v>100</v>
      </c>
      <c r="V28" s="1374" t="s">
        <v>1152</v>
      </c>
      <c r="W28" s="1375">
        <f>J28</f>
        <v>100</v>
      </c>
      <c r="X28" s="1376"/>
      <c r="Y28" s="1332"/>
      <c r="Z28" s="1394" t="str">
        <f>Q28</f>
        <v>朝向</v>
      </c>
      <c r="AA28" s="1395">
        <f t="shared" si="3"/>
        <v>1</v>
      </c>
      <c r="AB28" s="1395">
        <f t="shared" si="4"/>
        <v>1</v>
      </c>
      <c r="AC28" s="2495">
        <f t="shared" si="5"/>
        <v>1</v>
      </c>
    </row>
    <row r="29" ht="15" spans="1:29">
      <c r="A29" s="1185"/>
      <c r="B29" s="1224">
        <v>111</v>
      </c>
      <c r="C29" s="1771"/>
      <c r="D29" s="1194">
        <v>100</v>
      </c>
      <c r="E29" s="1183"/>
      <c r="F29" s="1194">
        <f>SUMIF(93:93,E29,94:94)-SUMIF(93:93,C29,94:94)+100</f>
        <v>100</v>
      </c>
      <c r="G29" s="2474"/>
      <c r="H29" s="1194">
        <f>SUMIF(93:93,G29,94:94)-SUMIF(93:93,C29,94:94)+100</f>
        <v>100</v>
      </c>
      <c r="I29" s="1183"/>
      <c r="J29" s="1194">
        <f>SUMIF(93:93,I29,94:94)-SUMIF(93:93,C29,94:94)+100</f>
        <v>100</v>
      </c>
      <c r="K29" s="1336"/>
      <c r="L29" s="1329"/>
      <c r="M29" s="1313"/>
      <c r="N29" s="1313"/>
      <c r="O29" s="1313"/>
      <c r="P29" s="1746"/>
      <c r="Q29" s="717">
        <f t="shared" si="11"/>
        <v>111</v>
      </c>
      <c r="R29" s="1379" t="s">
        <v>1152</v>
      </c>
      <c r="S29" s="1380">
        <f t="shared" ref="S29:S47" si="12">F29</f>
        <v>100</v>
      </c>
      <c r="T29" s="1379" t="s">
        <v>1152</v>
      </c>
      <c r="U29" s="1380">
        <f t="shared" ref="U29:U47" si="13">H29</f>
        <v>100</v>
      </c>
      <c r="V29" s="1379" t="s">
        <v>1152</v>
      </c>
      <c r="W29" s="1380">
        <f t="shared" ref="W29:W47" si="14">J29</f>
        <v>100</v>
      </c>
      <c r="X29" s="1366"/>
      <c r="Y29" s="1332"/>
      <c r="Z29" s="1353">
        <f t="shared" ref="Z29:Z47" si="15">Q29</f>
        <v>111</v>
      </c>
      <c r="AA29" s="1395">
        <f t="shared" si="3"/>
        <v>1</v>
      </c>
      <c r="AB29" s="1395">
        <f t="shared" si="4"/>
        <v>1</v>
      </c>
      <c r="AC29" s="2495">
        <f t="shared" si="5"/>
        <v>1</v>
      </c>
    </row>
    <row r="30" ht="15" spans="1:29">
      <c r="A30" s="1185"/>
      <c r="B30" s="1224">
        <v>111</v>
      </c>
      <c r="C30" s="1771"/>
      <c r="D30" s="1194">
        <v>100</v>
      </c>
      <c r="E30" s="1183"/>
      <c r="F30" s="1194">
        <f>SUMIF(95:95,E30,96:96)-SUMIF(95:95,C30,96:96)+100</f>
        <v>100</v>
      </c>
      <c r="G30" s="2474"/>
      <c r="H30" s="1194">
        <f>SUMIF(95:95,G30,96:96)-SUMIF(95:95,C30,96:96)+100</f>
        <v>100</v>
      </c>
      <c r="I30" s="1183"/>
      <c r="J30" s="1194">
        <f>SUMIF(95:95,I30,96:96)-SUMIF(95:95,C30,96:96)+100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2495">
        <f t="shared" si="5"/>
        <v>1</v>
      </c>
    </row>
    <row r="31" ht="15" spans="1:29">
      <c r="A31" s="1185"/>
      <c r="B31" s="1224">
        <v>111</v>
      </c>
      <c r="C31" s="1771"/>
      <c r="D31" s="1194">
        <v>100</v>
      </c>
      <c r="E31" s="1183"/>
      <c r="F31" s="1194">
        <f>SUMIF(97:97,E31,98:98)-SUMIF(97:97,C31,98:98)+100</f>
        <v>100</v>
      </c>
      <c r="G31" s="2474"/>
      <c r="H31" s="1194">
        <f>SUMIF(97:97,G31,98:98)-SUMIF(97:97,C31,98:98)+100</f>
        <v>100</v>
      </c>
      <c r="I31" s="1183"/>
      <c r="J31" s="1194">
        <f>SUMIF(97:97,I31,98:98)-SUMIF(97:97,C31,98:98)+100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2495">
        <f t="shared" si="5"/>
        <v>1</v>
      </c>
    </row>
    <row r="32" ht="15.75" spans="1:29">
      <c r="A32" s="1195"/>
      <c r="B32" s="1646">
        <v>111</v>
      </c>
      <c r="C32" s="1772"/>
      <c r="D32" s="1198">
        <v>100</v>
      </c>
      <c r="E32" s="1648"/>
      <c r="F32" s="1198">
        <f>SUMIF(99:99,E32,100:100)-SUMIF(99:99,C32,100:100)+100</f>
        <v>100</v>
      </c>
      <c r="G32" s="2474"/>
      <c r="H32" s="1198">
        <f>SUMIF(99:99,G32,100:100)-SUMIF(99:99,C32,100:100)+100</f>
        <v>100</v>
      </c>
      <c r="I32" s="1183"/>
      <c r="J32" s="1198">
        <f>SUMIF(99:99,I32,100:100)-SUMIF(99:99,C32,100:100)+100</f>
        <v>100</v>
      </c>
      <c r="K32" s="1336"/>
      <c r="L32" s="1329"/>
      <c r="M32" s="1313"/>
      <c r="N32" s="1313"/>
      <c r="O32" s="1313"/>
      <c r="P32" s="1746"/>
      <c r="Q32" s="717">
        <f t="shared" si="11"/>
        <v>111</v>
      </c>
      <c r="R32" s="1379" t="s">
        <v>1152</v>
      </c>
      <c r="S32" s="1380">
        <f t="shared" si="12"/>
        <v>100</v>
      </c>
      <c r="T32" s="1379" t="s">
        <v>1152</v>
      </c>
      <c r="U32" s="1380">
        <f t="shared" si="13"/>
        <v>100</v>
      </c>
      <c r="V32" s="1379" t="s">
        <v>1152</v>
      </c>
      <c r="W32" s="1380">
        <f t="shared" si="14"/>
        <v>100</v>
      </c>
      <c r="X32" s="1366"/>
      <c r="Y32" s="1332"/>
      <c r="Z32" s="1353">
        <f t="shared" si="15"/>
        <v>111</v>
      </c>
      <c r="AA32" s="1395">
        <f t="shared" si="3"/>
        <v>1</v>
      </c>
      <c r="AB32" s="1395">
        <f t="shared" si="4"/>
        <v>1</v>
      </c>
      <c r="AC32" s="2495">
        <f t="shared" si="5"/>
        <v>1</v>
      </c>
    </row>
    <row r="33" ht="15" spans="1:29">
      <c r="A33" s="1199" t="s">
        <v>1180</v>
      </c>
      <c r="B33" s="1178" t="s">
        <v>1181</v>
      </c>
      <c r="C33" s="1582" t="s">
        <v>1182</v>
      </c>
      <c r="D33" s="1235">
        <v>100</v>
      </c>
      <c r="E33" s="1582" t="s">
        <v>1182</v>
      </c>
      <c r="F33" s="1577">
        <f>SUMIF(101:101,E33,102:102)-SUMIF(101:101,C33,102:102)+100</f>
        <v>100</v>
      </c>
      <c r="G33" s="1582" t="s">
        <v>1182</v>
      </c>
      <c r="H33" s="1194">
        <f>SUMIF(101:101,G33,102:102)-SUMIF(101:101,C33,102:102)+100</f>
        <v>100</v>
      </c>
      <c r="I33" s="1582" t="s">
        <v>1182</v>
      </c>
      <c r="J33" s="1235">
        <f>SUMIF(101:101,I33,102:102)-SUMIF(101:101,C33,102:102)+100</f>
        <v>100</v>
      </c>
      <c r="K33" s="1337">
        <v>2</v>
      </c>
      <c r="L33" s="1329"/>
      <c r="M33" s="1313"/>
      <c r="N33" s="1313"/>
      <c r="O33" s="1313"/>
      <c r="P33" s="1747" t="s">
        <v>1183</v>
      </c>
      <c r="Q33" s="717" t="str">
        <f t="shared" si="11"/>
        <v>建筑类型</v>
      </c>
      <c r="R33" s="1379" t="s">
        <v>1152</v>
      </c>
      <c r="S33" s="1380">
        <f t="shared" si="12"/>
        <v>100</v>
      </c>
      <c r="T33" s="1379" t="s">
        <v>1152</v>
      </c>
      <c r="U33" s="1380">
        <f t="shared" si="13"/>
        <v>100</v>
      </c>
      <c r="V33" s="1379" t="s">
        <v>1152</v>
      </c>
      <c r="W33" s="1380">
        <f t="shared" si="14"/>
        <v>100</v>
      </c>
      <c r="X33" s="1366"/>
      <c r="Y33" s="1341" t="s">
        <v>1183</v>
      </c>
      <c r="Z33" s="1353" t="str">
        <f t="shared" si="15"/>
        <v>建筑类型</v>
      </c>
      <c r="AA33" s="1395">
        <f t="shared" si="3"/>
        <v>1</v>
      </c>
      <c r="AB33" s="1395">
        <f t="shared" si="4"/>
        <v>1</v>
      </c>
      <c r="AC33" s="2495">
        <f t="shared" si="5"/>
        <v>1</v>
      </c>
    </row>
    <row r="34" s="1134" customFormat="1" ht="15" spans="1:29">
      <c r="A34" s="1241"/>
      <c r="B34" s="1182" t="s">
        <v>1184</v>
      </c>
      <c r="C34" s="1571">
        <f>'数据-基础表'!I13</f>
        <v>112.13</v>
      </c>
      <c r="D34" s="1184">
        <v>100</v>
      </c>
      <c r="E34" s="1187">
        <v>190.14</v>
      </c>
      <c r="F34" s="1570">
        <f>LOOKUP(E34,104:104,105:105)-LOOKUP(C34,104:104,105:105)+100</f>
        <v>100</v>
      </c>
      <c r="G34" s="1186">
        <v>155</v>
      </c>
      <c r="H34" s="1184">
        <f>LOOKUP(G34,104:104,105:105)-LOOKUP(C34,104:104,105:105)+100</f>
        <v>100</v>
      </c>
      <c r="I34" s="1186">
        <v>351</v>
      </c>
      <c r="J34" s="1184">
        <f>LOOKUP(I34,104:104,105:105)-LOOKUP(C34,104:104,105:105)+100</f>
        <v>99</v>
      </c>
      <c r="K34" s="1336"/>
      <c r="L34" s="1327"/>
      <c r="M34" s="1339"/>
      <c r="N34" s="1339"/>
      <c r="O34" s="1339"/>
      <c r="P34" s="1748"/>
      <c r="Q34" s="1616" t="str">
        <f t="shared" si="11"/>
        <v>项目建筑规模</v>
      </c>
      <c r="R34" s="1381" t="s">
        <v>1152</v>
      </c>
      <c r="S34" s="1382">
        <f t="shared" si="12"/>
        <v>100</v>
      </c>
      <c r="T34" s="1381" t="s">
        <v>1152</v>
      </c>
      <c r="U34" s="1382">
        <f t="shared" si="13"/>
        <v>100</v>
      </c>
      <c r="V34" s="1381" t="s">
        <v>1152</v>
      </c>
      <c r="W34" s="1382">
        <f t="shared" si="14"/>
        <v>99</v>
      </c>
      <c r="X34" s="1383"/>
      <c r="Y34" s="1341"/>
      <c r="Z34" s="1396" t="str">
        <f t="shared" si="15"/>
        <v>项目建筑规模</v>
      </c>
      <c r="AA34" s="1395">
        <f t="shared" si="3"/>
        <v>1</v>
      </c>
      <c r="AB34" s="1395">
        <f t="shared" si="4"/>
        <v>1</v>
      </c>
      <c r="AC34" s="2495">
        <f t="shared" si="5"/>
        <v>1.01010101010101</v>
      </c>
    </row>
    <row r="35" ht="15" spans="1:29">
      <c r="A35" s="1236"/>
      <c r="B35" s="1182" t="s">
        <v>1185</v>
      </c>
      <c r="C35" s="1587" t="s">
        <v>1186</v>
      </c>
      <c r="D35" s="1194">
        <v>100</v>
      </c>
      <c r="E35" s="1587" t="s">
        <v>1186</v>
      </c>
      <c r="F35" s="1577">
        <f>SUMIF(106:106,E35,107:107)-SUMIF(106:106,C35,107:107)+100</f>
        <v>100</v>
      </c>
      <c r="G35" s="1587" t="s">
        <v>1186</v>
      </c>
      <c r="H35" s="1194">
        <f>SUMIF(106:106,G35,107:107)-SUMIF(106:106,C35,107:107)+100</f>
        <v>100</v>
      </c>
      <c r="I35" s="1587" t="s">
        <v>1186</v>
      </c>
      <c r="J35" s="1194">
        <f>SUMIF(106:106,I35,107:107)-SUMIF(106:106,C35,107:107)+100</f>
        <v>100</v>
      </c>
      <c r="K35" s="1337">
        <v>2</v>
      </c>
      <c r="L35" s="1329"/>
      <c r="M35" s="1313"/>
      <c r="N35" s="1313"/>
      <c r="O35" s="1313"/>
      <c r="P35" s="1748"/>
      <c r="Q35" s="717" t="str">
        <f t="shared" si="11"/>
        <v>建筑结构</v>
      </c>
      <c r="R35" s="1379" t="s">
        <v>1152</v>
      </c>
      <c r="S35" s="1380">
        <f t="shared" si="12"/>
        <v>100</v>
      </c>
      <c r="T35" s="1379" t="s">
        <v>1152</v>
      </c>
      <c r="U35" s="1380">
        <f t="shared" si="13"/>
        <v>100</v>
      </c>
      <c r="V35" s="1379" t="s">
        <v>1152</v>
      </c>
      <c r="W35" s="1380">
        <f t="shared" si="14"/>
        <v>100</v>
      </c>
      <c r="X35" s="1366"/>
      <c r="Y35" s="1341"/>
      <c r="Z35" s="1353" t="str">
        <f t="shared" si="15"/>
        <v>建筑结构</v>
      </c>
      <c r="AA35" s="1395">
        <f t="shared" si="3"/>
        <v>1</v>
      </c>
      <c r="AB35" s="1395">
        <f t="shared" si="4"/>
        <v>1</v>
      </c>
      <c r="AC35" s="2495">
        <f t="shared" si="5"/>
        <v>1</v>
      </c>
    </row>
    <row r="36" ht="15" spans="1:29">
      <c r="A36" s="1236"/>
      <c r="B36" s="1182" t="s">
        <v>1187</v>
      </c>
      <c r="C36" s="1587" t="s">
        <v>1188</v>
      </c>
      <c r="D36" s="1194">
        <v>100</v>
      </c>
      <c r="E36" s="1587" t="s">
        <v>1188</v>
      </c>
      <c r="F36" s="1577">
        <f>SUMIF(108:108,E36,109:109)-SUMIF(108:108,C36,109:109)+100</f>
        <v>100</v>
      </c>
      <c r="G36" s="1587" t="s">
        <v>1188</v>
      </c>
      <c r="H36" s="1194">
        <f>SUMIF(108:108,G36,109:109)-SUMIF(108:108,C36,109:109)+100</f>
        <v>100</v>
      </c>
      <c r="I36" s="1587" t="s">
        <v>1188</v>
      </c>
      <c r="J36" s="1194">
        <f>SUMIF(108:108,I36,109:109)-SUMIF(108:108,C36,109:109)+100</f>
        <v>100</v>
      </c>
      <c r="K36" s="1337">
        <v>2</v>
      </c>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5"/>
        <v>公共部分装修</v>
      </c>
      <c r="AA36" s="1395">
        <f t="shared" si="3"/>
        <v>1</v>
      </c>
      <c r="AB36" s="1395">
        <f t="shared" si="4"/>
        <v>1</v>
      </c>
      <c r="AC36" s="2495">
        <f t="shared" si="5"/>
        <v>1</v>
      </c>
    </row>
    <row r="37" ht="15" spans="1:29">
      <c r="A37" s="1236"/>
      <c r="B37" s="1182" t="s">
        <v>681</v>
      </c>
      <c r="C37" s="1584">
        <v>0.7</v>
      </c>
      <c r="D37" s="1194">
        <v>100</v>
      </c>
      <c r="E37" s="1584">
        <v>0.7</v>
      </c>
      <c r="F37" s="1577">
        <f>LOOKUP(E37,111:111,112:112)-LOOKUP(C37,111:111,112:112)+100</f>
        <v>100</v>
      </c>
      <c r="G37" s="1584">
        <v>0.7</v>
      </c>
      <c r="H37" s="1577">
        <f>LOOKUP(G37,111:111,112:112)-LOOKUP(C37,111:111,112:112)+100</f>
        <v>100</v>
      </c>
      <c r="I37" s="1584">
        <v>0.7</v>
      </c>
      <c r="J37" s="1194">
        <f>LOOKUP(I37,111:111,112:112)-LOOKUP(C37,111:111,112:112)+100</f>
        <v>100</v>
      </c>
      <c r="K37" s="1337"/>
      <c r="L37" s="1329"/>
      <c r="M37" s="1313"/>
      <c r="N37" s="1313"/>
      <c r="O37" s="1313"/>
      <c r="P37" s="1748"/>
      <c r="Q37" s="717" t="str">
        <f t="shared" si="11"/>
        <v>成新度</v>
      </c>
      <c r="R37" s="1379" t="s">
        <v>1152</v>
      </c>
      <c r="S37" s="1380">
        <f t="shared" si="12"/>
        <v>100</v>
      </c>
      <c r="T37" s="1379" t="s">
        <v>1152</v>
      </c>
      <c r="U37" s="1380">
        <f t="shared" si="13"/>
        <v>100</v>
      </c>
      <c r="V37" s="1379" t="s">
        <v>1152</v>
      </c>
      <c r="W37" s="1380">
        <f t="shared" si="14"/>
        <v>100</v>
      </c>
      <c r="X37" s="1366"/>
      <c r="Y37" s="1341"/>
      <c r="Z37" s="1353" t="str">
        <f t="shared" si="15"/>
        <v>成新度</v>
      </c>
      <c r="AA37" s="1395">
        <f t="shared" si="3"/>
        <v>1</v>
      </c>
      <c r="AB37" s="1395">
        <f t="shared" si="4"/>
        <v>1</v>
      </c>
      <c r="AC37" s="2495">
        <f t="shared" si="5"/>
        <v>1</v>
      </c>
    </row>
    <row r="38" s="1132" customFormat="1" ht="15" spans="1:29">
      <c r="A38" s="1238"/>
      <c r="B38" s="1182" t="s">
        <v>1189</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48"/>
      <c r="Q38" s="1378" t="str">
        <f t="shared" si="11"/>
        <v>写字楼等级</v>
      </c>
      <c r="R38" s="1374" t="s">
        <v>1152</v>
      </c>
      <c r="S38" s="1375">
        <f t="shared" si="12"/>
        <v>100</v>
      </c>
      <c r="T38" s="1374" t="s">
        <v>1152</v>
      </c>
      <c r="U38" s="1375">
        <f t="shared" si="13"/>
        <v>100</v>
      </c>
      <c r="V38" s="1374" t="s">
        <v>1152</v>
      </c>
      <c r="W38" s="1375">
        <f t="shared" si="14"/>
        <v>100</v>
      </c>
      <c r="X38" s="1376"/>
      <c r="Y38" s="1341"/>
      <c r="Z38" s="1394" t="str">
        <f t="shared" si="15"/>
        <v>写字楼等级</v>
      </c>
      <c r="AA38" s="1393">
        <f t="shared" si="3"/>
        <v>1</v>
      </c>
      <c r="AB38" s="1393">
        <f t="shared" si="4"/>
        <v>1</v>
      </c>
      <c r="AC38" s="2494">
        <f t="shared" si="5"/>
        <v>1</v>
      </c>
    </row>
    <row r="39" ht="15" spans="1:29">
      <c r="A39" s="1236"/>
      <c r="B39" s="1182" t="s">
        <v>1190</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48" t="s">
        <v>1183</v>
      </c>
      <c r="Q39" s="717" t="str">
        <f t="shared" si="11"/>
        <v>物业管理</v>
      </c>
      <c r="R39" s="1379" t="s">
        <v>1152</v>
      </c>
      <c r="S39" s="1380">
        <f t="shared" si="12"/>
        <v>100</v>
      </c>
      <c r="T39" s="1379" t="s">
        <v>1152</v>
      </c>
      <c r="U39" s="1380">
        <f t="shared" si="13"/>
        <v>100</v>
      </c>
      <c r="V39" s="1379" t="s">
        <v>1152</v>
      </c>
      <c r="W39" s="1380">
        <f t="shared" si="14"/>
        <v>100</v>
      </c>
      <c r="X39" s="1366"/>
      <c r="Y39" s="1341" t="s">
        <v>1183</v>
      </c>
      <c r="Z39" s="1353" t="str">
        <f t="shared" si="15"/>
        <v>物业管理</v>
      </c>
      <c r="AA39" s="1395">
        <f t="shared" si="3"/>
        <v>1</v>
      </c>
      <c r="AB39" s="1395">
        <f t="shared" si="4"/>
        <v>1</v>
      </c>
      <c r="AC39" s="2495">
        <f t="shared" si="5"/>
        <v>1</v>
      </c>
    </row>
    <row r="40" ht="15" spans="1:29">
      <c r="A40" s="1236"/>
      <c r="B40" s="1182" t="s">
        <v>1191</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48"/>
      <c r="Q40" s="717" t="str">
        <f t="shared" si="11"/>
        <v>市政基础设施</v>
      </c>
      <c r="R40" s="1379" t="s">
        <v>1152</v>
      </c>
      <c r="S40" s="1380">
        <f t="shared" si="12"/>
        <v>100</v>
      </c>
      <c r="T40" s="1379" t="s">
        <v>1152</v>
      </c>
      <c r="U40" s="1380">
        <f t="shared" si="13"/>
        <v>100</v>
      </c>
      <c r="V40" s="1379" t="s">
        <v>1152</v>
      </c>
      <c r="W40" s="1380">
        <f t="shared" si="14"/>
        <v>100</v>
      </c>
      <c r="X40" s="1366"/>
      <c r="Y40" s="1341"/>
      <c r="Z40" s="1353" t="str">
        <f t="shared" si="15"/>
        <v>市政基础设施</v>
      </c>
      <c r="AA40" s="1395">
        <f t="shared" si="3"/>
        <v>1</v>
      </c>
      <c r="AB40" s="1395">
        <f t="shared" si="4"/>
        <v>1</v>
      </c>
      <c r="AC40" s="2495">
        <f t="shared" si="5"/>
        <v>1</v>
      </c>
    </row>
    <row r="41" ht="15" spans="1:29">
      <c r="A41" s="1236"/>
      <c r="B41" s="1182" t="s">
        <v>1192</v>
      </c>
      <c r="C41" s="1219" t="s">
        <v>1193</v>
      </c>
      <c r="D41" s="1194">
        <v>100</v>
      </c>
      <c r="E41" s="1219" t="s">
        <v>1193</v>
      </c>
      <c r="F41" s="1577">
        <f>SUMIF(119:119,E41,120:120)-SUMIF(119:119,C41,120:120)+100</f>
        <v>100</v>
      </c>
      <c r="G41" s="1219" t="s">
        <v>1193</v>
      </c>
      <c r="H41" s="1194">
        <f>SUMIF(119:119,G41,120:120)-SUMIF(119:119,C41,120:120)+100</f>
        <v>100</v>
      </c>
      <c r="I41" s="1219" t="s">
        <v>1193</v>
      </c>
      <c r="J41" s="1194">
        <f>SUMIF(119:119,I41,120:120)-SUMIF(119:119,C41,120:120)+100</f>
        <v>100</v>
      </c>
      <c r="K41" s="1337">
        <v>10</v>
      </c>
      <c r="L41" s="1329"/>
      <c r="M41" s="1313"/>
      <c r="N41" s="1313"/>
      <c r="O41" s="1313"/>
      <c r="P41" s="1748"/>
      <c r="Q41" s="717" t="str">
        <f t="shared" si="11"/>
        <v>层高</v>
      </c>
      <c r="R41" s="1379" t="s">
        <v>1152</v>
      </c>
      <c r="S41" s="1380">
        <f t="shared" si="12"/>
        <v>100</v>
      </c>
      <c r="T41" s="1379" t="s">
        <v>1152</v>
      </c>
      <c r="U41" s="1380">
        <f t="shared" si="13"/>
        <v>100</v>
      </c>
      <c r="V41" s="1379" t="s">
        <v>1152</v>
      </c>
      <c r="W41" s="1380">
        <f t="shared" si="14"/>
        <v>100</v>
      </c>
      <c r="X41" s="1366"/>
      <c r="Y41" s="1341"/>
      <c r="Z41" s="1353" t="str">
        <f t="shared" si="15"/>
        <v>层高</v>
      </c>
      <c r="AA41" s="1395">
        <f t="shared" si="3"/>
        <v>1</v>
      </c>
      <c r="AB41" s="1395">
        <f t="shared" si="4"/>
        <v>1</v>
      </c>
      <c r="AC41" s="2495">
        <f t="shared" si="5"/>
        <v>1</v>
      </c>
    </row>
    <row r="42" s="1134" customFormat="1" ht="15" spans="1:29">
      <c r="A42" s="1241"/>
      <c r="B42" s="1348" t="s">
        <v>1194</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48"/>
      <c r="Q42" s="1616" t="str">
        <f t="shared" si="11"/>
        <v>单套建筑面积</v>
      </c>
      <c r="R42" s="1381" t="s">
        <v>1152</v>
      </c>
      <c r="S42" s="1382">
        <f t="shared" si="12"/>
        <v>100</v>
      </c>
      <c r="T42" s="1381" t="s">
        <v>1152</v>
      </c>
      <c r="U42" s="1382">
        <f t="shared" si="13"/>
        <v>100</v>
      </c>
      <c r="V42" s="1381" t="s">
        <v>1152</v>
      </c>
      <c r="W42" s="1382">
        <f t="shared" si="14"/>
        <v>100</v>
      </c>
      <c r="X42" s="1383"/>
      <c r="Y42" s="1341"/>
      <c r="Z42" s="1396" t="str">
        <f t="shared" si="15"/>
        <v>单套建筑面积</v>
      </c>
      <c r="AA42" s="1395">
        <f t="shared" si="3"/>
        <v>1</v>
      </c>
      <c r="AB42" s="1395">
        <f t="shared" si="4"/>
        <v>1</v>
      </c>
      <c r="AC42" s="2495">
        <f t="shared" si="5"/>
        <v>1</v>
      </c>
    </row>
    <row r="43" ht="15" spans="1:29">
      <c r="A43" s="1236"/>
      <c r="B43" s="1182" t="s">
        <v>1195</v>
      </c>
      <c r="C43" s="1587" t="s">
        <v>1196</v>
      </c>
      <c r="D43" s="1194">
        <v>100</v>
      </c>
      <c r="E43" s="1587" t="s">
        <v>1196</v>
      </c>
      <c r="F43" s="1577">
        <f>SUMIF(123:123,E43,124:124)-SUMIF(123:123,C43,124:124)+100</f>
        <v>100</v>
      </c>
      <c r="G43" s="1587" t="s">
        <v>1196</v>
      </c>
      <c r="H43" s="1194">
        <f>SUMIF(123:123,G43,124:124)-SUMIF(123:123,C43,124:124)+100</f>
        <v>100</v>
      </c>
      <c r="I43" s="1587" t="s">
        <v>1196</v>
      </c>
      <c r="J43" s="1194">
        <f>SUMIF(123:123,I43,124:124)-SUMIF(123:123,C43,124:124)+100</f>
        <v>100</v>
      </c>
      <c r="K43" s="1337">
        <v>2</v>
      </c>
      <c r="L43" s="1329"/>
      <c r="M43" s="1313"/>
      <c r="N43" s="1313"/>
      <c r="O43" s="1313"/>
      <c r="P43" s="1748"/>
      <c r="Q43" s="717" t="str">
        <f t="shared" si="11"/>
        <v>内部装修</v>
      </c>
      <c r="R43" s="1379" t="s">
        <v>1152</v>
      </c>
      <c r="S43" s="1380">
        <f t="shared" si="12"/>
        <v>100</v>
      </c>
      <c r="T43" s="1379" t="s">
        <v>1152</v>
      </c>
      <c r="U43" s="1380">
        <f t="shared" si="13"/>
        <v>100</v>
      </c>
      <c r="V43" s="1379" t="s">
        <v>1152</v>
      </c>
      <c r="W43" s="1380">
        <f t="shared" si="14"/>
        <v>100</v>
      </c>
      <c r="X43" s="1366"/>
      <c r="Y43" s="1341"/>
      <c r="Z43" s="1353" t="str">
        <f t="shared" si="15"/>
        <v>内部装修</v>
      </c>
      <c r="AA43" s="1395">
        <f t="shared" si="3"/>
        <v>1</v>
      </c>
      <c r="AB43" s="1395">
        <f t="shared" si="4"/>
        <v>1</v>
      </c>
      <c r="AC43" s="2495">
        <f t="shared" si="5"/>
        <v>1</v>
      </c>
    </row>
    <row r="44" ht="15" spans="1:29">
      <c r="A44" s="1236"/>
      <c r="B44" s="1182" t="s">
        <v>1197</v>
      </c>
      <c r="C44" s="1587"/>
      <c r="D44" s="1194">
        <v>100</v>
      </c>
      <c r="E44" s="1237"/>
      <c r="F44" s="1577">
        <f>SUMIF(125:125,E44,126:126)-SUMIF(125:125,C44,126:126)+100</f>
        <v>100</v>
      </c>
      <c r="G44" s="1237"/>
      <c r="H44" s="1194">
        <f>SUMIF(125:125,G44,126:126)-SUMIF(125:125,C44,126:126)+100</f>
        <v>100</v>
      </c>
      <c r="I44" s="1237"/>
      <c r="J44" s="1194">
        <f>SUMIF(125:125,I44,126:126)-SUMIF(125:125,C44,126:126)+100</f>
        <v>100</v>
      </c>
      <c r="K44" s="1337"/>
      <c r="L44" s="1329"/>
      <c r="M44" s="1313"/>
      <c r="N44" s="1313"/>
      <c r="O44" s="1313"/>
      <c r="P44" s="1748"/>
      <c r="Q44" s="717" t="str">
        <f t="shared" si="11"/>
        <v>内部装修维护情况</v>
      </c>
      <c r="R44" s="1379" t="s">
        <v>1152</v>
      </c>
      <c r="S44" s="1380">
        <f t="shared" si="12"/>
        <v>100</v>
      </c>
      <c r="T44" s="1379" t="s">
        <v>1152</v>
      </c>
      <c r="U44" s="1380">
        <f t="shared" si="13"/>
        <v>100</v>
      </c>
      <c r="V44" s="1379" t="s">
        <v>1152</v>
      </c>
      <c r="W44" s="1380">
        <f t="shared" si="14"/>
        <v>100</v>
      </c>
      <c r="X44" s="1366"/>
      <c r="Y44" s="1341"/>
      <c r="Z44" s="1353" t="str">
        <f t="shared" si="15"/>
        <v>内部装修维护情况</v>
      </c>
      <c r="AA44" s="1395">
        <f t="shared" si="3"/>
        <v>1</v>
      </c>
      <c r="AB44" s="1395">
        <f t="shared" si="4"/>
        <v>1</v>
      </c>
      <c r="AC44" s="2495">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48"/>
      <c r="Q45" s="1378">
        <f t="shared" si="11"/>
        <v>111</v>
      </c>
      <c r="R45" s="1374" t="s">
        <v>1152</v>
      </c>
      <c r="S45" s="1375">
        <f t="shared" si="12"/>
        <v>100</v>
      </c>
      <c r="T45" s="1374" t="s">
        <v>1152</v>
      </c>
      <c r="U45" s="1375">
        <f t="shared" si="13"/>
        <v>100</v>
      </c>
      <c r="V45" s="1374" t="s">
        <v>1152</v>
      </c>
      <c r="W45" s="1375">
        <f t="shared" si="14"/>
        <v>100</v>
      </c>
      <c r="X45" s="1376"/>
      <c r="Y45" s="1341"/>
      <c r="Z45" s="1394">
        <f t="shared" si="15"/>
        <v>111</v>
      </c>
      <c r="AA45" s="1393">
        <f t="shared" si="3"/>
        <v>1</v>
      </c>
      <c r="AB45" s="1393">
        <f t="shared" si="4"/>
        <v>1</v>
      </c>
      <c r="AC45" s="2494">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48"/>
      <c r="Q46" s="717">
        <f t="shared" si="11"/>
        <v>111</v>
      </c>
      <c r="R46" s="1379" t="s">
        <v>1152</v>
      </c>
      <c r="S46" s="1380">
        <f t="shared" si="12"/>
        <v>100</v>
      </c>
      <c r="T46" s="1379" t="s">
        <v>1152</v>
      </c>
      <c r="U46" s="1380">
        <f t="shared" si="13"/>
        <v>100</v>
      </c>
      <c r="V46" s="1379" t="s">
        <v>1152</v>
      </c>
      <c r="W46" s="1380">
        <f t="shared" si="14"/>
        <v>100</v>
      </c>
      <c r="X46" s="1366"/>
      <c r="Y46" s="1341"/>
      <c r="Z46" s="1353">
        <f t="shared" si="15"/>
        <v>111</v>
      </c>
      <c r="AA46" s="1395">
        <f t="shared" si="3"/>
        <v>1</v>
      </c>
      <c r="AB46" s="1395">
        <f t="shared" si="4"/>
        <v>1</v>
      </c>
      <c r="AC46" s="2495">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49"/>
      <c r="Q47" s="717">
        <f t="shared" si="11"/>
        <v>111</v>
      </c>
      <c r="R47" s="1379" t="s">
        <v>1152</v>
      </c>
      <c r="S47" s="1380">
        <f t="shared" si="12"/>
        <v>100</v>
      </c>
      <c r="T47" s="1379" t="s">
        <v>1152</v>
      </c>
      <c r="U47" s="1380">
        <f t="shared" si="13"/>
        <v>100</v>
      </c>
      <c r="V47" s="1379" t="s">
        <v>1152</v>
      </c>
      <c r="W47" s="1380">
        <f t="shared" si="14"/>
        <v>100</v>
      </c>
      <c r="X47" s="1366"/>
      <c r="Y47" s="1707"/>
      <c r="Z47" s="1353">
        <f t="shared" si="15"/>
        <v>111</v>
      </c>
      <c r="AA47" s="1395">
        <f t="shared" si="3"/>
        <v>1</v>
      </c>
      <c r="AB47" s="1395">
        <f t="shared" si="4"/>
        <v>1</v>
      </c>
      <c r="AC47" s="2495">
        <f t="shared" si="5"/>
        <v>1</v>
      </c>
    </row>
    <row r="48" ht="15" spans="1:29">
      <c r="A48" s="1243" t="s">
        <v>1198</v>
      </c>
      <c r="B48" s="1591"/>
      <c r="C48" s="1592" t="s">
        <v>124</v>
      </c>
      <c r="D48" s="1593"/>
      <c r="E48" s="1594">
        <v>32608</v>
      </c>
      <c r="F48" s="1595"/>
      <c r="G48" s="1596">
        <v>32904</v>
      </c>
      <c r="H48" s="1597"/>
      <c r="I48" s="1594">
        <v>29915</v>
      </c>
      <c r="J48" s="1250"/>
      <c r="K48" s="1344"/>
      <c r="L48" s="1345"/>
      <c r="M48" s="1313"/>
      <c r="N48" s="1313"/>
      <c r="O48" s="1313"/>
      <c r="P48" s="1280" t="str">
        <f>A48</f>
        <v>成交单价（元/平方米）</v>
      </c>
      <c r="Q48" s="717"/>
      <c r="R48" s="1395">
        <f>E48</f>
        <v>32608</v>
      </c>
      <c r="S48" s="1395"/>
      <c r="T48" s="1395">
        <f>G48</f>
        <v>32904</v>
      </c>
      <c r="U48" s="1395"/>
      <c r="V48" s="1395">
        <f>I48</f>
        <v>29915</v>
      </c>
      <c r="W48" s="1395"/>
      <c r="X48" s="1522"/>
      <c r="Y48" s="1397"/>
      <c r="Z48" s="1522"/>
      <c r="AA48" s="1522"/>
      <c r="AB48" s="1522"/>
      <c r="AC48" s="1204"/>
    </row>
    <row r="49" ht="15.75" spans="1:29">
      <c r="A49" s="1251" t="s">
        <v>1199</v>
      </c>
      <c r="B49" s="1598"/>
      <c r="C49" s="1599">
        <f>R50</f>
        <v>28245</v>
      </c>
      <c r="D49" s="1254" t="s">
        <v>1200</v>
      </c>
      <c r="E49" s="1600">
        <f>R49</f>
        <v>27386</v>
      </c>
      <c r="F49" s="1255"/>
      <c r="G49" s="1599">
        <f>T49</f>
        <v>29016</v>
      </c>
      <c r="H49" s="1255"/>
      <c r="I49" s="1600">
        <f>V49</f>
        <v>28332</v>
      </c>
      <c r="J49" s="1255"/>
      <c r="K49" s="1346">
        <f>F49+H49+J49</f>
        <v>0</v>
      </c>
      <c r="L49" s="1345"/>
      <c r="M49" s="1313"/>
      <c r="N49" s="1313"/>
      <c r="O49" s="1313"/>
      <c r="P49" s="1280" t="str">
        <f>A49</f>
        <v>比较价值（元/平方米）</v>
      </c>
      <c r="Q49" s="717"/>
      <c r="R49" s="1395">
        <f>IF(F1="售价",ROUND(PRODUCT(R48,AA7:AA47),0),ROUND(PRODUCT(R48,AA7:AA47),1))</f>
        <v>27386</v>
      </c>
      <c r="S49" s="1395"/>
      <c r="T49" s="1395">
        <f>IF(F1="售价",ROUND(PRODUCT(T48,AB7:AB47),0),ROUND(PRODUCT(T48,AB7:AB47),1))</f>
        <v>29016</v>
      </c>
      <c r="U49" s="1395"/>
      <c r="V49" s="1395">
        <f>IF(F1="售价",ROUND(PRODUCT(V48,AC7:AC47),0),ROUND(PRODUCT(V48,AC7:AC47),1))</f>
        <v>28332</v>
      </c>
      <c r="W49" s="1395"/>
      <c r="X49" s="1522"/>
      <c r="Y49" s="1522"/>
      <c r="Z49" s="1522"/>
      <c r="AA49" s="1522"/>
      <c r="AB49" s="1522"/>
      <c r="AC49" s="1204"/>
    </row>
    <row r="50" ht="15.75" spans="1:29">
      <c r="A50" s="1257" t="s">
        <v>1201</v>
      </c>
      <c r="B50" s="1258"/>
      <c r="C50" s="1601">
        <f>R50</f>
        <v>28245</v>
      </c>
      <c r="D50" s="1601"/>
      <c r="E50" s="1601"/>
      <c r="F50" s="1601"/>
      <c r="G50" s="1601"/>
      <c r="H50" s="1601"/>
      <c r="I50" s="1601"/>
      <c r="J50" s="1259"/>
      <c r="K50" s="1347"/>
      <c r="L50" s="1345"/>
      <c r="M50" s="1313"/>
      <c r="N50" s="1313"/>
      <c r="O50" s="1313"/>
      <c r="P50" s="2485" t="str">
        <f>A50</f>
        <v>估价对象XX用房的比较价值（楼面单价，元/平方米）</v>
      </c>
      <c r="Q50" s="2490"/>
      <c r="R50" s="2491">
        <f>IF(F1="售价",ROUND(IF(D49="简单平均",AVERAGE(R49:V49),R49*F49+T49*H49+V49*J49),0),ROUND(IF(D49="简单平均",AVERAGE(R49:V49),R49*F49+T49*H49+V49*J49),1))</f>
        <v>28245</v>
      </c>
      <c r="S50" s="2491"/>
      <c r="T50" s="2491"/>
      <c r="U50" s="2491"/>
      <c r="V50" s="2491"/>
      <c r="W50" s="2491"/>
      <c r="X50" s="1837"/>
      <c r="Y50" s="1837"/>
      <c r="Z50" s="1837"/>
      <c r="AA50" s="1837"/>
      <c r="AB50" s="1837"/>
      <c r="AC50" s="1838"/>
    </row>
    <row r="51" spans="1:29">
      <c r="A51" s="1260"/>
      <c r="B51" s="1260"/>
      <c r="C51" s="1260"/>
      <c r="D51" s="1260"/>
      <c r="E51" s="1260">
        <v>2003</v>
      </c>
      <c r="F51" s="1260"/>
      <c r="G51" s="2479">
        <v>2004</v>
      </c>
      <c r="H51" s="1260"/>
      <c r="I51" s="1260">
        <v>2000</v>
      </c>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1202</v>
      </c>
      <c r="D53" s="761"/>
      <c r="E53" s="1263">
        <f>IF(E48&lt;E49,E49/E48-1,E48/E49-1)</f>
        <v>0.190681370043088</v>
      </c>
      <c r="F53" s="1264" t="str">
        <f>IF(OR(E53&gt;=0.3,E53&lt;=-0.3),"超过30%","")</f>
        <v/>
      </c>
      <c r="G53" s="1263">
        <f>IF(G48&lt;G49,G49/G48-1,G48/G49-1)</f>
        <v>0.133995037220844</v>
      </c>
      <c r="H53" s="1264" t="str">
        <f>IF(OR(G53&gt;=0.3,G53&lt;=-0.3),"超过30%","")</f>
        <v/>
      </c>
      <c r="I53" s="1263">
        <f>IF(I48&lt;I49,I49/I48-1,I48/I49-1)</f>
        <v>0.0558732175631795</v>
      </c>
      <c r="J53" s="1264" t="str">
        <f>IF(OR(I53&gt;=0.3,I53&lt;=-0.3),"超过30%","")</f>
        <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1203</v>
      </c>
      <c r="D54" s="760"/>
      <c r="E54" s="1263">
        <f>IF(E49&lt;G49,G49/E49-1,E49/G49-1)</f>
        <v>0.0595194624990871</v>
      </c>
      <c r="F54" s="1264" t="str">
        <f>IF(OR(E54&gt;=0.2,E54&lt;=-0.2),"超过20%","")</f>
        <v/>
      </c>
      <c r="G54" s="1263">
        <f>IF(G49&lt;I49,I49/G49-1,G49/I49-1)</f>
        <v>0.0241423125794156</v>
      </c>
      <c r="H54" s="1264" t="str">
        <f>IF(OR(G54&gt;=0.2,G54&lt;=-0.2),"超过20%","")</f>
        <v/>
      </c>
      <c r="I54" s="1263">
        <f>IF(I49&lt;E49,E49/I49-1,I49/E49-1)</f>
        <v>0.0345431972540715</v>
      </c>
      <c r="J54" s="1264" t="str">
        <f>IF(OR(I54&gt;=0.2,I54&lt;=-0.2),"超过20%","")</f>
        <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1204</v>
      </c>
      <c r="D55" s="760"/>
      <c r="E55" s="1263">
        <f>IF(E48&lt;G48,G48/E48-1,E48/G48-1)</f>
        <v>0.00907752698724229</v>
      </c>
      <c r="F55" s="1264" t="str">
        <f>IF(OR(E55&gt;=0.3,E55&lt;=-0.3),"超过30%","")</f>
        <v/>
      </c>
      <c r="G55" s="1263">
        <f>IF(G48&lt;I48,I48/G48-1,G48/I48-1)</f>
        <v>0.0999164298846733</v>
      </c>
      <c r="H55" s="1264" t="str">
        <f>IF(OR(G55&gt;=0.3,G55&lt;=-0.3),"超过30%","")</f>
        <v/>
      </c>
      <c r="I55" s="1263">
        <f>IF(I48&lt;E48,E48/I48-1,I48/E48-1)</f>
        <v>0.0900217282299849</v>
      </c>
      <c r="J55" s="1264" t="str">
        <f>IF(OR(I55&gt;=0.3,I55&lt;=-0.3),"超过30%","")</f>
        <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1205</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1150</v>
      </c>
      <c r="B59" s="1604"/>
      <c r="C59" s="1605" t="str">
        <f>YEAR(C7)&amp;"-"&amp;MONTH(C7)</f>
        <v>2025-7</v>
      </c>
      <c r="D59" s="1606">
        <f>EDATE(C59,-1)</f>
        <v>45809</v>
      </c>
      <c r="E59" s="1606">
        <f>EDATE(D59,-1)</f>
        <v>45778</v>
      </c>
      <c r="F59" s="1606">
        <f t="shared" ref="F59:O59" si="16">EDATE(E59,-1)</f>
        <v>45748</v>
      </c>
      <c r="G59" s="1606">
        <f t="shared" si="16"/>
        <v>45717</v>
      </c>
      <c r="H59" s="1606">
        <f t="shared" si="16"/>
        <v>45689</v>
      </c>
      <c r="I59" s="1606">
        <f t="shared" si="16"/>
        <v>45658</v>
      </c>
      <c r="J59" s="1606">
        <f t="shared" si="16"/>
        <v>45627</v>
      </c>
      <c r="K59" s="1606">
        <f t="shared" si="16"/>
        <v>45597</v>
      </c>
      <c r="L59" s="1606">
        <f t="shared" si="16"/>
        <v>45566</v>
      </c>
      <c r="M59" s="1606">
        <f t="shared" si="16"/>
        <v>45536</v>
      </c>
      <c r="N59" s="1606">
        <f t="shared" si="16"/>
        <v>45505</v>
      </c>
      <c r="O59" s="1606">
        <f t="shared" si="16"/>
        <v>45474</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1206</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1153</v>
      </c>
      <c r="B62" s="1409"/>
      <c r="C62" s="1410" t="s">
        <v>1207</v>
      </c>
      <c r="D62" s="2480" t="s">
        <v>1155</v>
      </c>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v>105</v>
      </c>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1208</v>
      </c>
      <c r="B64" s="1415" t="s">
        <v>1158</v>
      </c>
      <c r="C64" s="1437" t="str">
        <f>C9</f>
        <v>办公</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1161</v>
      </c>
      <c r="C66" s="1444" t="s">
        <v>1209</v>
      </c>
      <c r="D66" s="1444" t="s">
        <v>1210</v>
      </c>
      <c r="E66" s="1444" t="s">
        <v>1211</v>
      </c>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v>100</v>
      </c>
      <c r="D67" s="1418">
        <v>99</v>
      </c>
      <c r="E67" s="1418">
        <v>98</v>
      </c>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1164</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2499"/>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1165</v>
      </c>
      <c r="B77" s="1415" t="s">
        <v>1166</v>
      </c>
      <c r="C77" s="1436" t="s">
        <v>1212</v>
      </c>
      <c r="D77" s="1436" t="s">
        <v>1213</v>
      </c>
      <c r="E77" s="1436" t="s">
        <v>1214</v>
      </c>
      <c r="F77" s="1436" t="s">
        <v>1215</v>
      </c>
      <c r="G77" s="1436" t="s">
        <v>1216</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92</v>
      </c>
      <c r="E78" s="1422">
        <f>D78-$K15</f>
        <v>84</v>
      </c>
      <c r="F78" s="1422">
        <f>E78-$K15</f>
        <v>76</v>
      </c>
      <c r="G78" s="1422">
        <f>F78-$K15</f>
        <v>68</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1170</v>
      </c>
      <c r="C79" s="1438" t="s">
        <v>1212</v>
      </c>
      <c r="D79" s="1438" t="s">
        <v>1213</v>
      </c>
      <c r="E79" s="1438" t="s">
        <v>1214</v>
      </c>
      <c r="F79" s="1438" t="s">
        <v>1215</v>
      </c>
      <c r="G79" s="1438" t="s">
        <v>1216</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98</v>
      </c>
      <c r="E80" s="1422">
        <f>D80-$K17</f>
        <v>96</v>
      </c>
      <c r="F80" s="1422">
        <f>E80-$K17</f>
        <v>94</v>
      </c>
      <c r="G80" s="1422">
        <f>F80-$K17</f>
        <v>92</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1171</v>
      </c>
      <c r="C81" s="1438" t="s">
        <v>1212</v>
      </c>
      <c r="D81" s="1438" t="s">
        <v>1213</v>
      </c>
      <c r="E81" s="1438" t="s">
        <v>1214</v>
      </c>
      <c r="F81" s="1438" t="s">
        <v>1215</v>
      </c>
      <c r="G81" s="1438" t="s">
        <v>1216</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98</v>
      </c>
      <c r="E82" s="1422">
        <f>D82-$K19</f>
        <v>96</v>
      </c>
      <c r="F82" s="1422">
        <f>E82-$K19</f>
        <v>94</v>
      </c>
      <c r="G82" s="1422">
        <f>F82-$K19</f>
        <v>92</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1172</v>
      </c>
      <c r="C83" s="1443" t="s">
        <v>1217</v>
      </c>
      <c r="D83" s="1443" t="s">
        <v>1218</v>
      </c>
      <c r="E83" s="1443" t="s">
        <v>1219</v>
      </c>
      <c r="F83" s="1443" t="s">
        <v>1220</v>
      </c>
      <c r="G83" s="1443" t="s">
        <v>1221</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99</v>
      </c>
      <c r="E84" s="1422">
        <f>D84-$K21</f>
        <v>98</v>
      </c>
      <c r="F84" s="1422">
        <f>E84-$K21</f>
        <v>97</v>
      </c>
      <c r="G84" s="1422">
        <f>F84-$K21</f>
        <v>96</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1173</v>
      </c>
      <c r="C85" s="1438" t="s">
        <v>1212</v>
      </c>
      <c r="D85" s="1438" t="s">
        <v>1213</v>
      </c>
      <c r="E85" s="1438" t="s">
        <v>1214</v>
      </c>
      <c r="F85" s="1438" t="s">
        <v>1215</v>
      </c>
      <c r="G85" s="1438" t="s">
        <v>1216</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98</v>
      </c>
      <c r="E86" s="1422">
        <f>D86-$K23</f>
        <v>96</v>
      </c>
      <c r="F86" s="1422">
        <f>E86-$K23</f>
        <v>94</v>
      </c>
      <c r="G86" s="1422">
        <f>F86-$K23</f>
        <v>92</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1174</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2496" t="s">
        <v>1177</v>
      </c>
      <c r="D89" s="2496" t="s">
        <v>1176</v>
      </c>
      <c r="E89" s="2496" t="s">
        <v>1178</v>
      </c>
      <c r="F89" s="1760"/>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95</v>
      </c>
      <c r="E90" s="1422">
        <f t="shared" ref="E90:M90" si="20">D90-$K27</f>
        <v>90</v>
      </c>
      <c r="F90" s="1422">
        <f t="shared" si="20"/>
        <v>85</v>
      </c>
      <c r="G90" s="1422">
        <f t="shared" si="20"/>
        <v>80</v>
      </c>
      <c r="H90" s="1422">
        <f t="shared" si="20"/>
        <v>75</v>
      </c>
      <c r="I90" s="1422">
        <f t="shared" si="20"/>
        <v>70</v>
      </c>
      <c r="J90" s="1422">
        <f t="shared" si="20"/>
        <v>65</v>
      </c>
      <c r="K90" s="1422">
        <f t="shared" si="20"/>
        <v>60</v>
      </c>
      <c r="L90" s="1422">
        <f t="shared" si="20"/>
        <v>55</v>
      </c>
      <c r="M90" s="1422">
        <f t="shared" si="20"/>
        <v>50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1180</v>
      </c>
      <c r="B101" s="1415" t="s">
        <v>1181</v>
      </c>
      <c r="C101" s="2497" t="s">
        <v>1182</v>
      </c>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98</v>
      </c>
      <c r="E102" s="1422">
        <f t="shared" si="22"/>
        <v>96</v>
      </c>
      <c r="F102" s="1422">
        <f t="shared" si="22"/>
        <v>94</v>
      </c>
      <c r="G102" s="1422">
        <f t="shared" si="22"/>
        <v>92</v>
      </c>
      <c r="H102" s="1422">
        <f t="shared" si="22"/>
        <v>90</v>
      </c>
      <c r="I102" s="1422">
        <f t="shared" si="22"/>
        <v>88</v>
      </c>
      <c r="J102" s="1422">
        <f t="shared" si="22"/>
        <v>86</v>
      </c>
      <c r="K102" s="1422">
        <f t="shared" si="22"/>
        <v>84</v>
      </c>
      <c r="L102" s="1422">
        <f t="shared" si="22"/>
        <v>82</v>
      </c>
      <c r="M102" s="1472">
        <f t="shared" si="22"/>
        <v>80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1184</v>
      </c>
      <c r="C103" s="1438" t="str">
        <f>C104&amp;"(含)"&amp;"-"&amp;D104</f>
        <v>0(含)-200</v>
      </c>
      <c r="D103" s="1438" t="str">
        <f t="shared" ref="D103:L103" si="23">D104&amp;"(含)"&amp;"-"&amp;E104</f>
        <v>200(含)-400</v>
      </c>
      <c r="E103" s="1438" t="str">
        <f t="shared" si="23"/>
        <v>400(含)-600</v>
      </c>
      <c r="F103" s="1438" t="str">
        <f t="shared" si="23"/>
        <v>600(含)-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v>0</v>
      </c>
      <c r="D104" s="1403">
        <v>200</v>
      </c>
      <c r="E104" s="1403">
        <v>400</v>
      </c>
      <c r="F104" s="1403">
        <v>600</v>
      </c>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v>100</v>
      </c>
      <c r="D105" s="1418">
        <v>99</v>
      </c>
      <c r="E105" s="1418">
        <v>98</v>
      </c>
      <c r="F105" s="1418">
        <v>97</v>
      </c>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1185</v>
      </c>
      <c r="C106" s="2496" t="s">
        <v>1186</v>
      </c>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98</v>
      </c>
      <c r="E107" s="1422">
        <f t="shared" si="24"/>
        <v>96</v>
      </c>
      <c r="F107" s="1422">
        <f t="shared" si="24"/>
        <v>94</v>
      </c>
      <c r="G107" s="1422">
        <f t="shared" si="24"/>
        <v>92</v>
      </c>
      <c r="H107" s="1422">
        <f t="shared" si="24"/>
        <v>90</v>
      </c>
      <c r="I107" s="1422">
        <f t="shared" si="24"/>
        <v>88</v>
      </c>
      <c r="J107" s="1422">
        <f t="shared" si="24"/>
        <v>86</v>
      </c>
      <c r="K107" s="1422">
        <f t="shared" si="24"/>
        <v>84</v>
      </c>
      <c r="L107" s="1422">
        <f t="shared" si="24"/>
        <v>82</v>
      </c>
      <c r="M107" s="1472">
        <f t="shared" si="24"/>
        <v>80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1187</v>
      </c>
      <c r="C108" s="2496" t="s">
        <v>1188</v>
      </c>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98</v>
      </c>
      <c r="E109" s="1422">
        <f t="shared" si="25"/>
        <v>96</v>
      </c>
      <c r="F109" s="1422">
        <f t="shared" si="25"/>
        <v>94</v>
      </c>
      <c r="G109" s="1422">
        <f t="shared" si="25"/>
        <v>92</v>
      </c>
      <c r="H109" s="1422">
        <f t="shared" si="25"/>
        <v>90</v>
      </c>
      <c r="I109" s="1422">
        <f t="shared" si="25"/>
        <v>88</v>
      </c>
      <c r="J109" s="1422">
        <f t="shared" si="25"/>
        <v>86</v>
      </c>
      <c r="K109" s="1422">
        <f t="shared" si="25"/>
        <v>84</v>
      </c>
      <c r="L109" s="1422">
        <f t="shared" si="25"/>
        <v>82</v>
      </c>
      <c r="M109" s="1472">
        <f t="shared" si="25"/>
        <v>80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681</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100</v>
      </c>
      <c r="E112" s="1422">
        <f t="shared" ref="E112:M112" si="26">D112+$K37</f>
        <v>100</v>
      </c>
      <c r="F112" s="1422">
        <f t="shared" si="26"/>
        <v>100</v>
      </c>
      <c r="G112" s="1422">
        <f t="shared" si="26"/>
        <v>100</v>
      </c>
      <c r="H112" s="1422">
        <f t="shared" si="26"/>
        <v>100</v>
      </c>
      <c r="I112" s="1422">
        <f t="shared" si="26"/>
        <v>100</v>
      </c>
      <c r="J112" s="1422">
        <f t="shared" si="26"/>
        <v>100</v>
      </c>
      <c r="K112" s="1422">
        <f t="shared" si="26"/>
        <v>100</v>
      </c>
      <c r="L112" s="1422">
        <f t="shared" si="26"/>
        <v>100</v>
      </c>
      <c r="M112" s="1422">
        <f t="shared" si="26"/>
        <v>100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1189</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1190</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1191</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1222</v>
      </c>
      <c r="C119" s="2498" t="s">
        <v>1193</v>
      </c>
      <c r="D119" s="1444"/>
      <c r="E119" s="1444"/>
      <c r="F119" s="1444"/>
      <c r="G119" s="1444"/>
      <c r="H119" s="1444"/>
      <c r="I119" s="1444"/>
      <c r="J119" s="1444"/>
      <c r="K119" s="1444"/>
      <c r="L119" s="2500"/>
      <c r="M119" s="2501"/>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90</v>
      </c>
      <c r="E120" s="1422">
        <f t="shared" ref="E120:M120" si="29">D120-$K41</f>
        <v>80</v>
      </c>
      <c r="F120" s="1422">
        <f t="shared" si="29"/>
        <v>70</v>
      </c>
      <c r="G120" s="1422">
        <f t="shared" si="29"/>
        <v>60</v>
      </c>
      <c r="H120" s="1422">
        <f t="shared" si="29"/>
        <v>50</v>
      </c>
      <c r="I120" s="1422">
        <f t="shared" si="29"/>
        <v>40</v>
      </c>
      <c r="J120" s="1422">
        <f t="shared" si="29"/>
        <v>30</v>
      </c>
      <c r="K120" s="1422">
        <f t="shared" si="29"/>
        <v>20</v>
      </c>
      <c r="L120" s="1422">
        <f t="shared" si="29"/>
        <v>10</v>
      </c>
      <c r="M120" s="1422">
        <f t="shared" si="29"/>
        <v>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1223</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1195</v>
      </c>
      <c r="C123" s="2496" t="s">
        <v>1188</v>
      </c>
      <c r="D123" s="2496" t="s">
        <v>1196</v>
      </c>
      <c r="E123" s="2496" t="s">
        <v>1224</v>
      </c>
      <c r="F123" s="2498" t="s">
        <v>1225</v>
      </c>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98</v>
      </c>
      <c r="E124" s="1422">
        <f t="shared" si="30"/>
        <v>96</v>
      </c>
      <c r="F124" s="1422">
        <f t="shared" si="30"/>
        <v>94</v>
      </c>
      <c r="G124" s="1422">
        <f t="shared" si="30"/>
        <v>92</v>
      </c>
      <c r="H124" s="1422">
        <f t="shared" si="30"/>
        <v>90</v>
      </c>
      <c r="I124" s="1422">
        <f t="shared" si="30"/>
        <v>88</v>
      </c>
      <c r="J124" s="1422">
        <f t="shared" si="30"/>
        <v>86</v>
      </c>
      <c r="K124" s="1422">
        <f t="shared" si="30"/>
        <v>84</v>
      </c>
      <c r="L124" s="1422">
        <f t="shared" si="30"/>
        <v>82</v>
      </c>
      <c r="M124" s="1472">
        <f t="shared" si="30"/>
        <v>80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1197</v>
      </c>
      <c r="C125" s="1438" t="s">
        <v>1212</v>
      </c>
      <c r="D125" s="1438" t="s">
        <v>1213</v>
      </c>
      <c r="E125" s="1438" t="s">
        <v>1214</v>
      </c>
      <c r="F125" s="1438" t="s">
        <v>1215</v>
      </c>
      <c r="G125" s="1438" t="s">
        <v>1216</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100</v>
      </c>
      <c r="E126" s="1422">
        <f>D126-$K44</f>
        <v>100</v>
      </c>
      <c r="F126" s="1422">
        <f>E126-$K44</f>
        <v>100</v>
      </c>
      <c r="G126" s="1422">
        <f>F126-$K44</f>
        <v>100</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42" sqref="I42"/>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1226</v>
      </c>
      <c r="B1" s="1390"/>
      <c r="C1" s="2071">
        <v>1607</v>
      </c>
      <c r="D1" s="2072" t="s">
        <v>124</v>
      </c>
      <c r="E1" s="2073" t="s">
        <v>1227</v>
      </c>
      <c r="F1" s="2074">
        <f ca="1">J53</f>
        <v>29.16</v>
      </c>
      <c r="G1" s="2075">
        <f>MATCH(C1,'数据-取费表'!A6:A16,0)+5</f>
        <v>6</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1228</v>
      </c>
      <c r="B2" s="2460">
        <f ca="1">ROUND(D2/10000,4)</f>
        <v>188.3998</v>
      </c>
      <c r="C2" s="2078" t="s">
        <v>1229</v>
      </c>
      <c r="D2" s="2461">
        <f ca="1">C40+J29+L46</f>
        <v>1883998</v>
      </c>
      <c r="E2" s="2079" t="s">
        <v>1230</v>
      </c>
      <c r="F2" s="2080"/>
      <c r="G2" s="2081"/>
      <c r="H2" s="2082"/>
      <c r="I2" s="2082"/>
      <c r="J2" s="2082"/>
      <c r="K2" s="2245"/>
      <c r="L2" s="2082"/>
      <c r="M2" s="2082"/>
    </row>
    <row r="3" ht="18" customHeight="1" spans="1:13">
      <c r="A3" s="2083" t="s">
        <v>1231</v>
      </c>
      <c r="B3" s="2084">
        <f ca="1">IF(ISERROR(D2/F43),0,ROUND(D2/F43,0))</f>
        <v>16802</v>
      </c>
      <c r="C3" s="2078" t="s">
        <v>1232</v>
      </c>
      <c r="D3" s="2078"/>
      <c r="E3" s="2079"/>
      <c r="F3" s="2080"/>
      <c r="G3" s="2081"/>
      <c r="H3" s="2085" t="s">
        <v>1233</v>
      </c>
      <c r="I3" s="2246"/>
      <c r="J3" s="2246"/>
      <c r="K3" s="2247"/>
      <c r="L3" s="2246"/>
      <c r="M3" s="2246"/>
    </row>
    <row r="4" ht="18" customHeight="1" spans="1:13">
      <c r="A4" s="2086" t="s">
        <v>1234</v>
      </c>
      <c r="B4" s="2087" t="s">
        <v>1235</v>
      </c>
      <c r="C4" s="2087" t="s">
        <v>1236</v>
      </c>
      <c r="D4" s="2087" t="s">
        <v>1237</v>
      </c>
      <c r="E4" s="2088" t="s">
        <v>1238</v>
      </c>
      <c r="F4" s="2089"/>
      <c r="G4" s="816"/>
      <c r="H4" s="2086" t="s">
        <v>1234</v>
      </c>
      <c r="I4" s="2087" t="s">
        <v>1235</v>
      </c>
      <c r="J4" s="2087" t="s">
        <v>1236</v>
      </c>
      <c r="K4" s="2087" t="s">
        <v>1237</v>
      </c>
      <c r="L4" s="2088" t="s">
        <v>1238</v>
      </c>
      <c r="M4" s="2089"/>
    </row>
    <row r="5" ht="18" customHeight="1" spans="1:13">
      <c r="A5" s="2090">
        <v>1</v>
      </c>
      <c r="B5" s="2091" t="s">
        <v>1239</v>
      </c>
      <c r="C5" s="2092">
        <f ca="1">C6+C10+C12</f>
        <v>129082</v>
      </c>
      <c r="D5" s="2093" t="s">
        <v>1240</v>
      </c>
      <c r="E5" s="2094"/>
      <c r="F5" s="2095"/>
      <c r="G5" s="816"/>
      <c r="H5" s="2090">
        <v>1</v>
      </c>
      <c r="I5" s="2091" t="s">
        <v>1239</v>
      </c>
      <c r="J5" s="2092">
        <f ca="1">J6+J10+J12</f>
        <v>0</v>
      </c>
      <c r="K5" s="2093" t="s">
        <v>1240</v>
      </c>
      <c r="L5" s="2094"/>
      <c r="M5" s="2095"/>
    </row>
    <row r="6" ht="18" customHeight="1" spans="1:13">
      <c r="A6" s="2096" t="s">
        <v>944</v>
      </c>
      <c r="B6" s="2097" t="s">
        <v>1241</v>
      </c>
      <c r="C6" s="2098">
        <f ca="1">ROUND(F6*F8*F7*(1-F9),0)</f>
        <v>128921</v>
      </c>
      <c r="D6" s="2099" t="s">
        <v>1242</v>
      </c>
      <c r="E6" s="2100" t="s">
        <v>1243</v>
      </c>
      <c r="F6" s="2101">
        <f ca="1">INDIRECT("'数据-取费表'!u"&amp;$G$1)</f>
        <v>3.5</v>
      </c>
      <c r="G6" s="816"/>
      <c r="H6" s="2096" t="s">
        <v>944</v>
      </c>
      <c r="I6" s="2097" t="s">
        <v>1241</v>
      </c>
      <c r="J6" s="2175">
        <f ca="1">ROUND(M6*M8*M7*(1-M9),0)</f>
        <v>0</v>
      </c>
      <c r="K6" s="2467" t="s">
        <v>1244</v>
      </c>
      <c r="L6" s="2100" t="s">
        <v>1243</v>
      </c>
      <c r="M6" s="2101">
        <f ca="1">INDIRECT("'数据-取费表'!z"&amp;$G$1)</f>
        <v>0</v>
      </c>
    </row>
    <row r="7" ht="18" customHeight="1" spans="1:13">
      <c r="A7" s="2102"/>
      <c r="B7" s="2103"/>
      <c r="C7" s="2104"/>
      <c r="D7" s="2105"/>
      <c r="E7" s="2106" t="s">
        <v>1245</v>
      </c>
      <c r="F7" s="2101">
        <f ca="1">IF(INDIRECT("'数据-取费表'!ah"&amp;$G$1)="",INDIRECT("'数据-取费表'!k"&amp;$G$1),INDIRECT("'数据-取费表'!ah"&amp;$G$1))</f>
        <v>112.13</v>
      </c>
      <c r="G7" s="816"/>
      <c r="H7" s="2107"/>
      <c r="I7" s="2103"/>
      <c r="J7" s="2108"/>
      <c r="K7" s="2105"/>
      <c r="L7" s="2100" t="s">
        <v>1245</v>
      </c>
      <c r="M7" s="2101">
        <f ca="1">F7</f>
        <v>112.13</v>
      </c>
    </row>
    <row r="8" ht="18" customHeight="1" spans="1:13">
      <c r="A8" s="2107"/>
      <c r="B8" s="2103"/>
      <c r="C8" s="2108"/>
      <c r="D8" s="2105"/>
      <c r="E8" s="2100" t="s">
        <v>1246</v>
      </c>
      <c r="F8" s="2101">
        <f ca="1">INDIRECT("'数据-取费表'!ai"&amp;$G$1)</f>
        <v>365</v>
      </c>
      <c r="G8" s="816"/>
      <c r="H8" s="2107"/>
      <c r="I8" s="2103"/>
      <c r="J8" s="2108"/>
      <c r="K8" s="2105"/>
      <c r="L8" s="2100" t="s">
        <v>1246</v>
      </c>
      <c r="M8" s="2101">
        <f ca="1">INDIRECT("'数据-取费表'!ai"&amp;$G$1)</f>
        <v>365</v>
      </c>
    </row>
    <row r="9" ht="18" customHeight="1" spans="1:13">
      <c r="A9" s="2107"/>
      <c r="B9" s="2109"/>
      <c r="C9" s="2108"/>
      <c r="D9" s="2105"/>
      <c r="E9" s="2100" t="s">
        <v>1247</v>
      </c>
      <c r="F9" s="2110">
        <f ca="1">INDIRECT("'数据-取费表'!w"&amp;$G$1)</f>
        <v>0.1</v>
      </c>
      <c r="G9" s="816"/>
      <c r="H9" s="2107"/>
      <c r="I9" s="2109"/>
      <c r="J9" s="2108"/>
      <c r="K9" s="2105"/>
      <c r="L9" s="2113" t="s">
        <v>1247</v>
      </c>
      <c r="M9" s="2119">
        <f ca="1">INDIRECT("'数据-取费表'!ab"&amp;$G$1)</f>
        <v>0</v>
      </c>
    </row>
    <row r="10" ht="18" customHeight="1" spans="1:13">
      <c r="A10" s="2096" t="s">
        <v>948</v>
      </c>
      <c r="B10" s="2111" t="s">
        <v>1248</v>
      </c>
      <c r="C10" s="1064">
        <f ca="1">ROUND(IF(F10="押一",C6/12*F11,IF(F10="押二",C6/12*2*F11,IF(F10="押三",C6/12*3*F11,C11*F11))),0)</f>
        <v>161</v>
      </c>
      <c r="D10" s="2112" t="s">
        <v>1249</v>
      </c>
      <c r="E10" s="2113" t="s">
        <v>1250</v>
      </c>
      <c r="F10" s="2114" t="s">
        <v>1251</v>
      </c>
      <c r="G10" s="816"/>
      <c r="H10" s="2096" t="s">
        <v>948</v>
      </c>
      <c r="I10" s="2111" t="s">
        <v>1248</v>
      </c>
      <c r="J10" s="2175">
        <f ca="1">ROUND(IF(M10="押一",J6/12*M11,IF(M10="押二",J6/12*2*M11,IF(M10="押三",J6/12*3*M11,J11*M11))),0)</f>
        <v>0</v>
      </c>
      <c r="K10" s="2468" t="s">
        <v>1252</v>
      </c>
      <c r="L10" s="2113" t="s">
        <v>1250</v>
      </c>
      <c r="M10" s="2114"/>
    </row>
    <row r="11" ht="18" customHeight="1" spans="1:13">
      <c r="A11" s="2115"/>
      <c r="B11" s="2116" t="s">
        <v>1253</v>
      </c>
      <c r="C11" s="2117"/>
      <c r="D11" s="2105"/>
      <c r="E11" s="2113" t="s">
        <v>1254</v>
      </c>
      <c r="F11" s="2119">
        <f ca="1">'数据-取费表'!B39</f>
        <v>0.015</v>
      </c>
      <c r="G11" s="816"/>
      <c r="H11" s="2120"/>
      <c r="I11" s="2116" t="s">
        <v>1255</v>
      </c>
      <c r="J11" s="2117"/>
      <c r="K11" s="2248"/>
      <c r="L11" s="2113" t="s">
        <v>1254</v>
      </c>
      <c r="M11" s="2249">
        <f ca="1">'数据-取费表'!B39</f>
        <v>0.015</v>
      </c>
    </row>
    <row r="12" ht="18" customHeight="1" spans="1:13">
      <c r="A12" s="2121" t="s">
        <v>993</v>
      </c>
      <c r="B12" s="2122" t="s">
        <v>1256</v>
      </c>
      <c r="C12" s="2123"/>
      <c r="D12" s="2124"/>
      <c r="E12" s="2125"/>
      <c r="F12" s="2126"/>
      <c r="G12" s="816"/>
      <c r="H12" s="2121" t="s">
        <v>993</v>
      </c>
      <c r="I12" s="2122" t="s">
        <v>1256</v>
      </c>
      <c r="J12" s="2123"/>
      <c r="K12" s="2250"/>
      <c r="L12" s="2125"/>
      <c r="M12" s="2251"/>
    </row>
    <row r="13" ht="18" customHeight="1" spans="1:13">
      <c r="A13" s="2127">
        <v>2</v>
      </c>
      <c r="B13" s="2128" t="s">
        <v>1257</v>
      </c>
      <c r="C13" s="2129">
        <f ca="1">ROUND(C29*F13,0)</f>
        <v>632912</v>
      </c>
      <c r="D13" s="2130" t="s">
        <v>1258</v>
      </c>
      <c r="E13" s="2130" t="s">
        <v>1259</v>
      </c>
      <c r="F13" s="2131">
        <f ca="1">INDIRECT("'数据-取费表'!y"&amp;$G$1)</f>
        <v>0.78</v>
      </c>
      <c r="G13" s="816"/>
      <c r="H13" s="2127">
        <v>2</v>
      </c>
      <c r="I13" s="2128" t="s">
        <v>1257</v>
      </c>
      <c r="J13" s="2252">
        <f ca="1">ROUND(J14*J15,0)</f>
        <v>0</v>
      </c>
      <c r="K13" s="2153" t="s">
        <v>1258</v>
      </c>
      <c r="L13" s="2253"/>
      <c r="M13" s="2254"/>
    </row>
    <row r="14" ht="18" customHeight="1" spans="1:13">
      <c r="A14" s="2132" t="s">
        <v>967</v>
      </c>
      <c r="B14" s="2100" t="s">
        <v>1260</v>
      </c>
      <c r="C14" s="2133">
        <f ca="1">ROUND(INDIRECT("'数据-取费表'!l"&amp;$G$1)*F43+'数据-取费表'!L14*INDIRECT("'数据-取费表'!S"&amp;$G$1),0)</f>
        <v>560650</v>
      </c>
      <c r="D14" s="2134" t="s">
        <v>1261</v>
      </c>
      <c r="E14" s="2135"/>
      <c r="F14" s="2136"/>
      <c r="G14" s="816"/>
      <c r="H14" s="2132" t="s">
        <v>944</v>
      </c>
      <c r="I14" s="2100" t="s">
        <v>1262</v>
      </c>
      <c r="J14" s="1065">
        <f ca="1">C29</f>
        <v>811425</v>
      </c>
      <c r="K14" s="2255"/>
      <c r="L14" s="2256"/>
      <c r="M14" s="2257"/>
    </row>
    <row r="15" s="2068" customFormat="1" ht="18" customHeight="1" spans="1:37">
      <c r="A15" s="2132" t="s">
        <v>971</v>
      </c>
      <c r="B15" s="2100" t="s">
        <v>1263</v>
      </c>
      <c r="C15" s="1065">
        <f ca="1">ROUND(C14*F15,0)</f>
        <v>28033</v>
      </c>
      <c r="D15" s="2137" t="s">
        <v>1264</v>
      </c>
      <c r="E15" s="2137" t="s">
        <v>1265</v>
      </c>
      <c r="F15" s="2138">
        <f>'数据-取费表'!B33</f>
        <v>0.05</v>
      </c>
      <c r="G15" s="2139"/>
      <c r="H15" s="2140" t="s">
        <v>948</v>
      </c>
      <c r="I15" s="2125" t="s">
        <v>1259</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1266</v>
      </c>
      <c r="C16" s="1065">
        <f ca="1">ROUND(INDIRECT("'数据-取费表'!l"&amp;$G$1)*F43*F16,0)</f>
        <v>0</v>
      </c>
      <c r="D16" s="2100" t="s">
        <v>1264</v>
      </c>
      <c r="E16" s="2100" t="s">
        <v>1265</v>
      </c>
      <c r="F16" s="2141">
        <f ca="1">IF(INDIRECT("'数据-取费表'!c"&amp;$G$1)="住宅",'数据-取费表'!B34,0)</f>
        <v>0</v>
      </c>
      <c r="G16" s="816"/>
      <c r="H16" s="2127" t="s">
        <v>1267</v>
      </c>
      <c r="I16" s="2128" t="s">
        <v>1268</v>
      </c>
      <c r="J16" s="2129">
        <f ca="1">ROUND(J17+J22+J23+J24,0)</f>
        <v>2434</v>
      </c>
      <c r="K16" s="2153" t="s">
        <v>1269</v>
      </c>
      <c r="L16" s="2154"/>
      <c r="M16" s="2095"/>
    </row>
    <row r="17" s="2068" customFormat="1" ht="18" customHeight="1" spans="1:37">
      <c r="A17" s="2132" t="s">
        <v>1270</v>
      </c>
      <c r="B17" s="2100" t="s">
        <v>1271</v>
      </c>
      <c r="C17" s="1065">
        <f ca="1">ROUND(F17*(F43+INDIRECT("'数据-取费表'!S"&amp;$G$1)),0)</f>
        <v>22426</v>
      </c>
      <c r="D17" s="2100" t="s">
        <v>1272</v>
      </c>
      <c r="E17" s="2100" t="s">
        <v>1273</v>
      </c>
      <c r="F17" s="2142">
        <f>'数据-取费表'!B35</f>
        <v>200</v>
      </c>
      <c r="G17" s="2139"/>
      <c r="H17" s="2132" t="s">
        <v>944</v>
      </c>
      <c r="I17" s="2100" t="s">
        <v>1274</v>
      </c>
      <c r="J17" s="2156">
        <f ca="1">ROUND(IF(AND(项目基本情况!B11="自然人",项目基本情况!B10="北京市"),J6*M17/(1+'数据-取费表'!C42),J18+J19+J20),0)</f>
        <v>0</v>
      </c>
      <c r="K17" s="2134" t="s">
        <v>1275</v>
      </c>
      <c r="L17" s="2157" t="s">
        <v>1276</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1277</v>
      </c>
      <c r="B18" s="2100" t="s">
        <v>1278</v>
      </c>
      <c r="C18" s="1065">
        <f ca="1">ROUND(C14*F18,0)</f>
        <v>11213</v>
      </c>
      <c r="D18" s="2100" t="s">
        <v>1264</v>
      </c>
      <c r="E18" s="2100" t="s">
        <v>1265</v>
      </c>
      <c r="F18" s="2141">
        <f>'数据-取费表'!B36</f>
        <v>0.02</v>
      </c>
      <c r="G18" s="2139"/>
      <c r="H18" s="2132" t="s">
        <v>967</v>
      </c>
      <c r="I18" s="2100" t="s">
        <v>1279</v>
      </c>
      <c r="J18" s="1065">
        <f ca="1">ROUND(J6*M18/(1+'数据-取费表'!C42),0)</f>
        <v>0</v>
      </c>
      <c r="K18" s="2157" t="s">
        <v>1280</v>
      </c>
      <c r="L18" s="2100" t="s">
        <v>1265</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1281</v>
      </c>
      <c r="C19" s="1065">
        <f ca="1">SUM(C14:C18)</f>
        <v>622322</v>
      </c>
      <c r="D19" s="2143" t="s">
        <v>1282</v>
      </c>
      <c r="E19" s="1067"/>
      <c r="F19" s="2142"/>
      <c r="G19" s="816"/>
      <c r="H19" s="2132" t="s">
        <v>971</v>
      </c>
      <c r="I19" s="2100" t="s">
        <v>1283</v>
      </c>
      <c r="J19" s="1065">
        <f ca="1">IF(K19="按租金收入计税",ROUND(J6*M19/(1+'数据-取费表'!C42),0),ROUND(C29*M19*0.7,0))</f>
        <v>0</v>
      </c>
      <c r="K19" s="2160" t="s">
        <v>1284</v>
      </c>
      <c r="L19" s="2100" t="s">
        <v>1265</v>
      </c>
      <c r="M19" s="2141">
        <f>IF(K19="按租金收入计税",'数据-取费表'!B51,'数据-取费表'!B50)</f>
        <v>0.12</v>
      </c>
    </row>
    <row r="20" s="2068" customFormat="1" ht="18" customHeight="1" spans="1:37">
      <c r="A20" s="2132" t="s">
        <v>948</v>
      </c>
      <c r="B20" s="2100" t="s">
        <v>1285</v>
      </c>
      <c r="C20" s="1065">
        <f ca="1">ROUND(C19*F20,0)</f>
        <v>12446</v>
      </c>
      <c r="D20" s="2144" t="s">
        <v>1286</v>
      </c>
      <c r="E20" s="2100" t="s">
        <v>1265</v>
      </c>
      <c r="F20" s="2141">
        <f>'数据-取费表'!B37</f>
        <v>0.02</v>
      </c>
      <c r="G20" s="2139"/>
      <c r="H20" s="2132" t="s">
        <v>974</v>
      </c>
      <c r="I20" s="2099" t="s">
        <v>1287</v>
      </c>
      <c r="J20" s="2162">
        <f ca="1">ROUND(M20*M21,0)</f>
        <v>0</v>
      </c>
      <c r="K20" s="2163" t="s">
        <v>1288</v>
      </c>
      <c r="L20" s="2100" t="s">
        <v>1289</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1290</v>
      </c>
      <c r="C21" s="1065" t="s">
        <v>124</v>
      </c>
      <c r="D21" s="2144" t="s">
        <v>1291</v>
      </c>
      <c r="E21" s="2100" t="s">
        <v>1292</v>
      </c>
      <c r="F21" s="2141">
        <f>'数据-取费表'!B38</f>
        <v>0.02</v>
      </c>
      <c r="G21" s="2139"/>
      <c r="H21" s="2145"/>
      <c r="I21" s="2261"/>
      <c r="J21" s="2166"/>
      <c r="K21" s="2167"/>
      <c r="L21" s="2100" t="s">
        <v>1293</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1294</v>
      </c>
      <c r="C22" s="1065"/>
      <c r="D22" s="2143" t="str">
        <f>IF(F23&lt;=1,"单利计息。","复利计息。")&amp;"建造成本、管理费用、销售费用产生的利息。"</f>
        <v>复利计息。建造成本、管理费用、销售费用产生的利息。</v>
      </c>
      <c r="E22" s="1067"/>
      <c r="F22" s="2142"/>
      <c r="G22" s="816"/>
      <c r="H22" s="2132" t="s">
        <v>948</v>
      </c>
      <c r="I22" s="2100" t="s">
        <v>1295</v>
      </c>
      <c r="J22" s="1065">
        <f ca="1">ROUND(J14*M22,0)</f>
        <v>2434</v>
      </c>
      <c r="K22" s="2157" t="s">
        <v>1296</v>
      </c>
      <c r="L22" s="2100" t="s">
        <v>1265</v>
      </c>
      <c r="M22" s="2169">
        <f ca="1">INDIRECT("'数据-取费表'!Ak"&amp;$G$1)</f>
        <v>0.003</v>
      </c>
    </row>
    <row r="23" s="2068" customFormat="1" ht="18" customHeight="1" spans="1:37">
      <c r="A23" s="2132" t="s">
        <v>967</v>
      </c>
      <c r="B23" s="2100" t="s">
        <v>1297</v>
      </c>
      <c r="C23" s="1065">
        <f ca="1">IF('数据-取费表'!B22&lt;=1,ROUND(C19*F24*F23/2,0)+ROUND(C20*F24*F23/2,0),ROUND(C19*(POWER((1+F24),F23/2)-1),0)+ROUND(C20*(POWER((1+F24),F23/2)-1),0))</f>
        <v>19043</v>
      </c>
      <c r="D23" s="2146" t="str">
        <f>IF(F23&lt;=1,"(建造成本+管理费用)×利率×(建设周期÷2)","(建造成本+管理费用)×((1+利率)^(建设周期÷2)-1)")</f>
        <v>(建造成本+管理费用)×((1+利率)^(建设周期÷2)-1)</v>
      </c>
      <c r="E23" s="2100" t="s">
        <v>1298</v>
      </c>
      <c r="F23" s="2147">
        <f>'数据-取费表'!B20</f>
        <v>2</v>
      </c>
      <c r="G23" s="2139"/>
      <c r="H23" s="2132" t="s">
        <v>993</v>
      </c>
      <c r="I23" s="2100" t="s">
        <v>1299</v>
      </c>
      <c r="J23" s="1065">
        <f ca="1">ROUND(J13*M23,0)</f>
        <v>0</v>
      </c>
      <c r="K23" s="2157" t="s">
        <v>1300</v>
      </c>
      <c r="L23" s="2100" t="s">
        <v>1265</v>
      </c>
      <c r="M23" s="2170">
        <f ca="1">INDIRECT("'数据-取费表'!Al"&amp;$G$1)</f>
        <v>0.001</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1301</v>
      </c>
      <c r="C24" s="1065">
        <f ca="1">ROUND(IF('数据-取费表'!B22&lt;=1,F21*F24*F23/2,F21*(POWER((1+F24),F23/2)-1)),4)</f>
        <v>0.0006</v>
      </c>
      <c r="D24" s="2146" t="str">
        <f>IF(F23&lt;=1,"销售费用×利率×(建设周期÷2)","销售费用×((1+利率)^(建设周期÷2)-1)")</f>
        <v>销售费用×((1+利率)^(建设周期÷2)-1)</v>
      </c>
      <c r="E24" s="2100" t="s">
        <v>1302</v>
      </c>
      <c r="F24" s="2148">
        <f ca="1">'数据-取费表'!B40</f>
        <v>0.03</v>
      </c>
      <c r="G24" s="2139"/>
      <c r="H24" s="2140" t="s">
        <v>996</v>
      </c>
      <c r="I24" s="2125" t="s">
        <v>1285</v>
      </c>
      <c r="J24" s="2149">
        <f ca="1">ROUND(J5*M24,0)</f>
        <v>0</v>
      </c>
      <c r="K24" s="2150" t="s">
        <v>1303</v>
      </c>
      <c r="L24" s="2125" t="s">
        <v>1265</v>
      </c>
      <c r="M24" s="2126">
        <f ca="1">INDIRECT("'数据-取费表'!Am"&amp;$G$1)</f>
        <v>0.01</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18" customHeight="1" spans="1:13">
      <c r="A25" s="2132" t="s">
        <v>1000</v>
      </c>
      <c r="B25" s="2100" t="s">
        <v>1304</v>
      </c>
      <c r="C25" s="1065"/>
      <c r="D25" s="2143" t="s">
        <v>1305</v>
      </c>
      <c r="E25" s="1067"/>
      <c r="F25" s="2142"/>
      <c r="G25" s="816"/>
      <c r="H25" s="2127" t="s">
        <v>1306</v>
      </c>
      <c r="I25" s="2171" t="s">
        <v>1307</v>
      </c>
      <c r="J25" s="2129">
        <f ca="1">J5-J16</f>
        <v>-2434</v>
      </c>
      <c r="K25" s="2172" t="s">
        <v>1308</v>
      </c>
      <c r="L25" s="2173"/>
      <c r="M25" s="2174"/>
    </row>
    <row r="26" ht="18" customHeight="1" spans="1:13">
      <c r="A26" s="2132" t="s">
        <v>967</v>
      </c>
      <c r="B26" s="2100" t="s">
        <v>1309</v>
      </c>
      <c r="C26" s="1065">
        <f ca="1">ROUND((C19+C20)*F26,0)</f>
        <v>95215</v>
      </c>
      <c r="D26" s="2144" t="s">
        <v>1310</v>
      </c>
      <c r="E26" s="2113" t="s">
        <v>1311</v>
      </c>
      <c r="F26" s="2110">
        <f ca="1">INDIRECT("'数据-取费表'!q"&amp;$G$1)</f>
        <v>0.15</v>
      </c>
      <c r="G26" s="816"/>
      <c r="H26" s="2090" t="s">
        <v>1312</v>
      </c>
      <c r="I26" s="2091" t="s">
        <v>1313</v>
      </c>
      <c r="J26" s="2175">
        <f ca="1">IF(J5&lt;&gt;0,ROUND(J25*(1-((1+M28)/(1+M26))^M27)/(M26-M28),0),0)</f>
        <v>0</v>
      </c>
      <c r="K26" s="2163" t="s">
        <v>1314</v>
      </c>
      <c r="L26" s="2100" t="s">
        <v>1315</v>
      </c>
      <c r="M26" s="2110">
        <f ca="1">INDIRECT("'数据-取费表'!I"&amp;$G$1)</f>
        <v>0.055</v>
      </c>
    </row>
    <row r="27" ht="18" customHeight="1" spans="1:13">
      <c r="A27" s="2132" t="s">
        <v>971</v>
      </c>
      <c r="B27" s="2100" t="s">
        <v>1316</v>
      </c>
      <c r="C27" s="1065">
        <f ca="1">ROUND(F21*F26,4)</f>
        <v>0.003</v>
      </c>
      <c r="D27" s="2144" t="s">
        <v>1317</v>
      </c>
      <c r="E27" s="2137"/>
      <c r="F27" s="2138"/>
      <c r="G27" s="816"/>
      <c r="H27" s="2107"/>
      <c r="I27" s="2177"/>
      <c r="J27" s="2108"/>
      <c r="K27" s="2178" t="s">
        <v>1318</v>
      </c>
      <c r="L27" s="2100" t="s">
        <v>1319</v>
      </c>
      <c r="M27" s="2179">
        <f ca="1">INDIRECT("'数据-取费表'!ag"&amp;$G$1)</f>
        <v>0</v>
      </c>
    </row>
    <row r="28" s="2068" customFormat="1" ht="18" customHeight="1" spans="1:37">
      <c r="A28" s="2132" t="s">
        <v>1001</v>
      </c>
      <c r="B28" s="2100" t="s">
        <v>1320</v>
      </c>
      <c r="C28" s="1065">
        <f>ROUND(F28/(1+'数据-取费表'!C42),4)</f>
        <v>0.0533</v>
      </c>
      <c r="D28" s="2144" t="s">
        <v>1321</v>
      </c>
      <c r="E28" s="2100" t="s">
        <v>1265</v>
      </c>
      <c r="F28" s="2141">
        <f>'数据-取费表'!B41</f>
        <v>0.056</v>
      </c>
      <c r="G28" s="2139"/>
      <c r="H28" s="2115"/>
      <c r="I28" s="2181"/>
      <c r="J28" s="2129"/>
      <c r="K28" s="2167"/>
      <c r="L28" s="2100" t="s">
        <v>1322</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1323</v>
      </c>
      <c r="B29" s="2125" t="s">
        <v>1324</v>
      </c>
      <c r="C29" s="2149">
        <f ca="1">ROUND((C19+C20+C23+C26)/(1-F21-C24-C27-C28),0)</f>
        <v>811425</v>
      </c>
      <c r="D29" s="2150"/>
      <c r="E29" s="2125"/>
      <c r="F29" s="2151"/>
      <c r="G29" s="2139"/>
      <c r="H29" s="2152" t="s">
        <v>1325</v>
      </c>
      <c r="I29" s="2182" t="s">
        <v>1326</v>
      </c>
      <c r="J29" s="2183">
        <f ca="1">ROUND(J26/(1+F40)^F41,0)</f>
        <v>0</v>
      </c>
      <c r="K29" s="2184" t="s">
        <v>1327</v>
      </c>
      <c r="L29" s="2185"/>
      <c r="M29" s="2186">
        <f ca="1">INDIRECT("'数据-取费表'!k"&amp;$G$1)</f>
        <v>112.13</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1267</v>
      </c>
      <c r="B30" s="2128" t="s">
        <v>1268</v>
      </c>
      <c r="C30" s="2129">
        <f ca="1">ROUND(C31+C36+C37+C38,0)</f>
        <v>25968</v>
      </c>
      <c r="D30" s="2153" t="s">
        <v>1269</v>
      </c>
      <c r="E30" s="2154"/>
      <c r="F30" s="2095"/>
      <c r="G30" s="816"/>
      <c r="H30" s="2155"/>
      <c r="I30" s="2262"/>
      <c r="J30" s="2263"/>
      <c r="K30" s="2264"/>
      <c r="L30" s="2265"/>
      <c r="M30" s="2266"/>
    </row>
    <row r="31" ht="18" customHeight="1" spans="1:13">
      <c r="A31" s="2132" t="s">
        <v>944</v>
      </c>
      <c r="B31" s="2100" t="s">
        <v>1274</v>
      </c>
      <c r="C31" s="2156">
        <f ca="1">ROUND(IF(AND(项目基本情况!B11="自然人",项目基本情况!B10="北京市"),C6*F31/(1+'数据-取费表'!C42),C32+C33+C34),0)</f>
        <v>21610</v>
      </c>
      <c r="D31" s="2134" t="s">
        <v>1275</v>
      </c>
      <c r="E31" s="2157" t="s">
        <v>1276</v>
      </c>
      <c r="F31" s="2158" t="str">
        <f ca="1">IF(项目基本情况!B11="企业","——",IF(M47="住宅",IF(F6*F7*F8/12/(1+'数据-取费表'!F30)&gt;100000,4%,2.5%),IF(F6*F7*F8/12/(1+'数据-取费表'!F30)&gt;100000,12%,7%)))</f>
        <v>——</v>
      </c>
      <c r="G31" s="816"/>
      <c r="H31" s="2159" t="s">
        <v>1328</v>
      </c>
      <c r="I31" s="2262"/>
      <c r="J31" s="2263"/>
      <c r="K31" s="2264"/>
      <c r="L31" s="2265"/>
      <c r="M31" s="2266"/>
    </row>
    <row r="32" ht="18" customHeight="1" spans="1:13">
      <c r="A32" s="2132" t="s">
        <v>967</v>
      </c>
      <c r="B32" s="2100" t="s">
        <v>1279</v>
      </c>
      <c r="C32" s="1065">
        <f ca="1">IF(项目基本情况!B11="自然人","——",ROUND(C6*F32/(1+'数据-取费表'!C42),0))</f>
        <v>6876</v>
      </c>
      <c r="D32" s="2157" t="s">
        <v>1280</v>
      </c>
      <c r="E32" s="2100" t="s">
        <v>1265</v>
      </c>
      <c r="F32" s="2148">
        <f>'数据-取费表'!B41</f>
        <v>0.056</v>
      </c>
      <c r="G32" s="816"/>
      <c r="H32" s="2155"/>
      <c r="I32" s="2262"/>
      <c r="J32" s="2263"/>
      <c r="K32" s="2264"/>
      <c r="L32" s="2265"/>
      <c r="M32" s="2266"/>
    </row>
    <row r="33" ht="18" customHeight="1" spans="1:13">
      <c r="A33" s="2132" t="s">
        <v>971</v>
      </c>
      <c r="B33" s="2100" t="s">
        <v>1283</v>
      </c>
      <c r="C33" s="1065">
        <f ca="1">IF(项目基本情况!B11="自然人","——",IF(D33="按租金收入计税",ROUND(C6*F33/(1+'数据-取费表'!C42),0),IF(D33="按房产原值计税",ROUND(C29*F33*0.7,0),INDIRECT("'数据-取费表'!Aj"&amp;$G$1))))</f>
        <v>14734</v>
      </c>
      <c r="D33" s="2160" t="s">
        <v>1284</v>
      </c>
      <c r="E33" s="2100" t="s">
        <v>1265</v>
      </c>
      <c r="F33" s="2141">
        <f>IF(D33="按票据","——",IF(D33="按租金收入计税",'数据-取费表'!B51,'数据-取费表'!B50))</f>
        <v>0.12</v>
      </c>
      <c r="G33" s="816"/>
      <c r="H33" s="2161"/>
      <c r="I33" s="2262"/>
      <c r="J33" s="2263"/>
      <c r="K33" s="2267"/>
      <c r="L33" s="2161"/>
      <c r="M33" s="2161"/>
    </row>
    <row r="34" ht="18" customHeight="1" spans="1:13">
      <c r="A34" s="2096" t="s">
        <v>974</v>
      </c>
      <c r="B34" s="2099" t="s">
        <v>1287</v>
      </c>
      <c r="C34" s="2162">
        <f ca="1">IF(项目基本情况!B11="自然人","——",ROUND(F34*F35,0))</f>
        <v>0</v>
      </c>
      <c r="D34" s="2163" t="s">
        <v>1288</v>
      </c>
      <c r="E34" s="2100" t="s">
        <v>1289</v>
      </c>
      <c r="F34" s="2147">
        <f>'数据-取费表'!B52</f>
        <v>0</v>
      </c>
      <c r="G34" s="816"/>
      <c r="H34" s="2155"/>
      <c r="I34" s="2262"/>
      <c r="J34" s="2263"/>
      <c r="K34" s="2268"/>
      <c r="L34" s="2269"/>
      <c r="M34" s="2269"/>
    </row>
    <row r="35" ht="18" customHeight="1" spans="1:13">
      <c r="A35" s="2164"/>
      <c r="B35" s="2165"/>
      <c r="C35" s="2166"/>
      <c r="D35" s="2167"/>
      <c r="E35" s="2100" t="s">
        <v>1293</v>
      </c>
      <c r="F35" s="2101">
        <f ca="1">INDIRECT("'数据-取费表'!r"&amp;$G$1)</f>
        <v>0</v>
      </c>
      <c r="G35" s="816"/>
      <c r="H35" s="2155"/>
      <c r="I35" s="2262"/>
      <c r="J35" s="2263"/>
      <c r="K35" s="2267"/>
      <c r="L35" s="2161"/>
      <c r="M35" s="2161"/>
    </row>
    <row r="36" ht="18" customHeight="1" spans="1:13">
      <c r="A36" s="2168" t="s">
        <v>948</v>
      </c>
      <c r="B36" s="2100" t="s">
        <v>1295</v>
      </c>
      <c r="C36" s="1065">
        <f ca="1">ROUND(C29*F36,0)</f>
        <v>2434</v>
      </c>
      <c r="D36" s="2157" t="s">
        <v>1329</v>
      </c>
      <c r="E36" s="2100" t="s">
        <v>1265</v>
      </c>
      <c r="F36" s="2169">
        <f ca="1">INDIRECT("'数据-取费表'!Ak"&amp;$G$1)</f>
        <v>0.003</v>
      </c>
      <c r="G36" s="816"/>
      <c r="H36" s="2161"/>
      <c r="I36" s="2262"/>
      <c r="J36" s="2263"/>
      <c r="K36" s="2270"/>
      <c r="L36" s="2161"/>
      <c r="M36" s="2161"/>
    </row>
    <row r="37" ht="18" customHeight="1" spans="1:13">
      <c r="A37" s="2132" t="s">
        <v>993</v>
      </c>
      <c r="B37" s="2100" t="s">
        <v>1299</v>
      </c>
      <c r="C37" s="1065">
        <f ca="1">ROUND(C13*F37,0)</f>
        <v>633</v>
      </c>
      <c r="D37" s="2157" t="s">
        <v>1300</v>
      </c>
      <c r="E37" s="2100" t="s">
        <v>1265</v>
      </c>
      <c r="F37" s="2170">
        <f ca="1">INDIRECT("'数据-取费表'!Al"&amp;$G$1)</f>
        <v>0.001</v>
      </c>
      <c r="G37" s="816"/>
      <c r="H37" s="2161"/>
      <c r="I37" s="2262"/>
      <c r="J37" s="2263"/>
      <c r="K37" s="2270"/>
      <c r="L37" s="2161"/>
      <c r="M37" s="2161"/>
    </row>
    <row r="38" ht="18" customHeight="1" spans="1:13">
      <c r="A38" s="2140" t="s">
        <v>996</v>
      </c>
      <c r="B38" s="2125" t="s">
        <v>1285</v>
      </c>
      <c r="C38" s="2149">
        <f ca="1">ROUND(C5*F38,0)</f>
        <v>1291</v>
      </c>
      <c r="D38" s="2150" t="s">
        <v>1303</v>
      </c>
      <c r="E38" s="2125" t="s">
        <v>1265</v>
      </c>
      <c r="F38" s="2126">
        <f ca="1">INDIRECT("'数据-取费表'!Am"&amp;$G$1)</f>
        <v>0.01</v>
      </c>
      <c r="G38" s="816"/>
      <c r="H38" s="2161"/>
      <c r="I38" s="2262"/>
      <c r="J38" s="2263"/>
      <c r="K38" s="2271"/>
      <c r="L38" s="2161"/>
      <c r="M38" s="2161"/>
    </row>
    <row r="39" ht="24.6" customHeight="1" spans="1:13">
      <c r="A39" s="2127" t="s">
        <v>1306</v>
      </c>
      <c r="B39" s="2171" t="s">
        <v>1307</v>
      </c>
      <c r="C39" s="2129">
        <f ca="1">C5-C30</f>
        <v>103114</v>
      </c>
      <c r="D39" s="2172" t="s">
        <v>1308</v>
      </c>
      <c r="E39" s="2173"/>
      <c r="F39" s="2174"/>
      <c r="G39" s="816"/>
      <c r="H39" s="2161"/>
      <c r="I39" s="2262"/>
      <c r="J39" s="2263"/>
      <c r="K39" s="2271"/>
      <c r="L39" s="2161"/>
      <c r="M39" s="2161"/>
    </row>
    <row r="40" ht="18" customHeight="1" spans="1:13">
      <c r="A40" s="2090" t="s">
        <v>1312</v>
      </c>
      <c r="B40" s="2091" t="s">
        <v>1330</v>
      </c>
      <c r="C40" s="2175">
        <f ca="1">ROUND(C39*(1-((1+F42)/(1+F40))^F41)/(F40-F42),0)</f>
        <v>1844603</v>
      </c>
      <c r="D40" s="2163" t="s">
        <v>1314</v>
      </c>
      <c r="E40" s="2100" t="s">
        <v>1315</v>
      </c>
      <c r="F40" s="2110">
        <f ca="1">INDIRECT("'数据-取费表'!I"&amp;$G$1)</f>
        <v>0.055</v>
      </c>
      <c r="G40" s="816"/>
      <c r="H40" s="2176"/>
      <c r="I40" s="2262"/>
      <c r="J40" s="2263"/>
      <c r="K40" s="2271"/>
      <c r="L40" s="2176"/>
      <c r="M40" s="2176"/>
    </row>
    <row r="41" ht="18" customHeight="1" spans="1:13">
      <c r="A41" s="2107"/>
      <c r="B41" s="2177"/>
      <c r="C41" s="2108"/>
      <c r="D41" s="2178" t="s">
        <v>1318</v>
      </c>
      <c r="E41" s="2100" t="s">
        <v>1319</v>
      </c>
      <c r="F41" s="2179">
        <f ca="1">IF(INDIRECT("'数据-取费表'!af"&amp;$G$1)=0,INDIRECT("'数据-取费表'!ae"&amp;$G$1),INDIRECT("'数据-取费表'!af"&amp;$G$1))</f>
        <v>29.16</v>
      </c>
      <c r="G41" s="816"/>
      <c r="H41" s="2180"/>
      <c r="I41" s="2262"/>
      <c r="J41" s="2263"/>
      <c r="K41" s="2270"/>
      <c r="L41" s="2180"/>
      <c r="M41" s="2180"/>
    </row>
    <row r="42" ht="18" customHeight="1" spans="1:13">
      <c r="A42" s="2115"/>
      <c r="B42" s="2181"/>
      <c r="C42" s="2129"/>
      <c r="D42" s="2167"/>
      <c r="E42" s="2100" t="s">
        <v>1322</v>
      </c>
      <c r="F42" s="2110">
        <f ca="1">INDIRECT("'数据-取费表'!v"&amp;$G$1)</f>
        <v>0.02</v>
      </c>
      <c r="G42" s="816"/>
      <c r="H42" s="2180"/>
      <c r="I42" s="2262"/>
      <c r="J42" s="2263"/>
      <c r="K42" s="2270"/>
      <c r="L42" s="2180"/>
      <c r="M42" s="2180"/>
    </row>
    <row r="43" ht="18" customHeight="1" spans="1:13">
      <c r="A43" s="2152" t="s">
        <v>1325</v>
      </c>
      <c r="B43" s="2182" t="s">
        <v>1331</v>
      </c>
      <c r="C43" s="2183">
        <f ca="1">ROUND(C40/F43,0)</f>
        <v>16451</v>
      </c>
      <c r="D43" s="2184" t="s">
        <v>1332</v>
      </c>
      <c r="E43" s="2185" t="s">
        <v>1333</v>
      </c>
      <c r="F43" s="2186">
        <f ca="1">INDIRECT("'数据-取费表'!k"&amp;$G$1)</f>
        <v>112.13</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462" t="s">
        <v>1334</v>
      </c>
      <c r="B45" s="2187"/>
      <c r="C45" s="2463">
        <f ca="1">ROUND((C68-C40)/10000,4)</f>
        <v>-188.8663</v>
      </c>
      <c r="D45" s="2464" t="s">
        <v>1335</v>
      </c>
      <c r="E45" s="2187"/>
      <c r="F45" s="2187"/>
      <c r="O45" s="2309" t="s">
        <v>1336</v>
      </c>
      <c r="P45" s="2176"/>
      <c r="Q45" s="2176"/>
      <c r="R45" s="2176"/>
    </row>
    <row r="46" s="816" customFormat="1" ht="13.5" spans="1:18">
      <c r="A46" s="2189" t="s">
        <v>1337</v>
      </c>
      <c r="C46" s="2190">
        <f ca="1">ROUND(C45,0)</f>
        <v>-189</v>
      </c>
      <c r="D46" s="2191" t="str">
        <f>C2</f>
        <v>万元</v>
      </c>
      <c r="I46" s="2274" t="s">
        <v>1338</v>
      </c>
      <c r="J46" s="2275"/>
      <c r="K46" s="2276"/>
      <c r="L46" s="2277">
        <f ca="1">IF(M47="住宅",0,IF(L48&gt;J51,L60,J60))</f>
        <v>39395</v>
      </c>
      <c r="O46" s="2278" t="s">
        <v>1339</v>
      </c>
      <c r="P46" s="2279" t="s">
        <v>1340</v>
      </c>
      <c r="Q46" s="2327" t="s">
        <v>1341</v>
      </c>
      <c r="R46" s="2327" t="s">
        <v>1342</v>
      </c>
    </row>
    <row r="47" s="816" customFormat="1" ht="13.5" spans="1:18">
      <c r="A47" s="2192" t="s">
        <v>1234</v>
      </c>
      <c r="B47" s="2193" t="s">
        <v>1235</v>
      </c>
      <c r="C47" s="2193" t="s">
        <v>1236</v>
      </c>
      <c r="D47" s="2193" t="s">
        <v>1237</v>
      </c>
      <c r="E47" s="2195" t="s">
        <v>1238</v>
      </c>
      <c r="F47" s="1058"/>
      <c r="G47" s="2196"/>
      <c r="I47" s="2280" t="s">
        <v>1343</v>
      </c>
      <c r="J47" s="2281" t="s">
        <v>1186</v>
      </c>
      <c r="K47" s="2282" t="s">
        <v>1344</v>
      </c>
      <c r="L47" s="2283">
        <f ca="1">INDIRECT("'数据-取费表'!d"&amp;$G$1)</f>
        <v>50</v>
      </c>
      <c r="M47" s="2284" t="str">
        <f>IF(ISNUMBER(FIND("住宅",C1)),"住宅","非住宅")</f>
        <v>非住宅</v>
      </c>
      <c r="O47" s="2285" t="s">
        <v>1049</v>
      </c>
      <c r="P47" s="2286" t="s">
        <v>1345</v>
      </c>
      <c r="Q47" s="2328">
        <f ca="1">C40+J29</f>
        <v>1844603</v>
      </c>
      <c r="R47" s="2328" t="s">
        <v>1346</v>
      </c>
    </row>
    <row r="48" s="816" customFormat="1" ht="26.25" spans="1:18">
      <c r="A48" s="2197" t="s">
        <v>1347</v>
      </c>
      <c r="B48" s="2091" t="s">
        <v>1239</v>
      </c>
      <c r="C48" s="1066">
        <f ca="1">C49+C53+C55</f>
        <v>0</v>
      </c>
      <c r="D48" s="2198"/>
      <c r="E48" s="2199"/>
      <c r="F48" s="2200"/>
      <c r="G48" s="2196"/>
      <c r="H48" s="2201"/>
      <c r="I48" s="2287" t="s">
        <v>1348</v>
      </c>
      <c r="J48" s="2288" t="s">
        <v>1349</v>
      </c>
      <c r="K48" s="2289" t="s">
        <v>1350</v>
      </c>
      <c r="L48" s="2290">
        <f ca="1">INDIRECT("'数据-取费表'!f"&amp;$G$1)</f>
        <v>29.16</v>
      </c>
      <c r="O48" s="2285" t="s">
        <v>1052</v>
      </c>
      <c r="P48" s="2286" t="s">
        <v>1351</v>
      </c>
      <c r="Q48" s="2328">
        <f ca="1">J60</f>
        <v>39395</v>
      </c>
      <c r="R48" s="2328" t="s">
        <v>1352</v>
      </c>
    </row>
    <row r="49" s="816" customFormat="1" ht="13.5" spans="1:18">
      <c r="A49" s="2202" t="s">
        <v>1353</v>
      </c>
      <c r="B49" s="2203" t="s">
        <v>1354</v>
      </c>
      <c r="C49" s="2204">
        <f ca="1">ROUND(F49*F51*F50*(1-F52),0)</f>
        <v>0</v>
      </c>
      <c r="D49" s="2205" t="s">
        <v>1355</v>
      </c>
      <c r="E49" s="2206" t="s">
        <v>1356</v>
      </c>
      <c r="F49" s="2207"/>
      <c r="G49" s="2208"/>
      <c r="H49" s="2201"/>
      <c r="I49" s="2287" t="s">
        <v>1357</v>
      </c>
      <c r="J49" s="2291">
        <f>'数据-取费表'!N18</f>
        <v>2007</v>
      </c>
      <c r="K49" s="2289" t="s">
        <v>1358</v>
      </c>
      <c r="L49" s="2292"/>
      <c r="O49" s="2293" t="s">
        <v>1359</v>
      </c>
      <c r="P49" s="2286" t="s">
        <v>1360</v>
      </c>
      <c r="Q49" s="2328">
        <f ca="1">C29</f>
        <v>811425</v>
      </c>
      <c r="R49" s="2328" t="s">
        <v>1346</v>
      </c>
    </row>
    <row r="50" s="816" customFormat="1" ht="13.5" spans="1:18">
      <c r="A50" s="2209"/>
      <c r="B50" s="2210"/>
      <c r="C50" s="2216"/>
      <c r="D50" s="2212"/>
      <c r="E50" s="2213" t="s">
        <v>1245</v>
      </c>
      <c r="F50" s="2214">
        <f ca="1">F7</f>
        <v>112.13</v>
      </c>
      <c r="H50" s="2201"/>
      <c r="I50" s="2287" t="s">
        <v>1361</v>
      </c>
      <c r="J50" s="2294">
        <f>SUMPRODUCT((I63:I65=J47)*(J62:L62=J48)*(J63:L65))</f>
        <v>60</v>
      </c>
      <c r="K50" s="2289" t="s">
        <v>1362</v>
      </c>
      <c r="L50" s="2292"/>
      <c r="M50" s="2295"/>
      <c r="O50" s="2293" t="s">
        <v>1363</v>
      </c>
      <c r="P50" s="2286" t="s">
        <v>1364</v>
      </c>
      <c r="Q50" s="2329">
        <f ca="1">J58</f>
        <v>0.4</v>
      </c>
      <c r="R50" s="2328"/>
    </row>
    <row r="51" s="816" customFormat="1" ht="13.5" spans="1:18">
      <c r="A51" s="2215"/>
      <c r="B51" s="2210"/>
      <c r="C51" s="2216"/>
      <c r="D51" s="2212"/>
      <c r="E51" s="2217" t="s">
        <v>1246</v>
      </c>
      <c r="F51" s="2101">
        <f ca="1">F8</f>
        <v>365</v>
      </c>
      <c r="I51" s="2296" t="s">
        <v>1365</v>
      </c>
      <c r="J51" s="2297">
        <f>IF(J49="",J50,J49+J50-YEAR('数据-取费表'!B2))</f>
        <v>42</v>
      </c>
      <c r="K51" s="2298" t="s">
        <v>1366</v>
      </c>
      <c r="L51" s="2299">
        <f ca="1">ROUND(-PV(INDIRECT("'数据-取费表'!h"&amp;$G$1),J51,(C39-C13*C76),0),0)</f>
        <v>1024662</v>
      </c>
      <c r="M51" s="2300"/>
      <c r="O51" s="2293" t="s">
        <v>1367</v>
      </c>
      <c r="P51" s="2286" t="s">
        <v>1368</v>
      </c>
      <c r="Q51" s="2329">
        <f>J52</f>
        <v>0.075</v>
      </c>
      <c r="R51" s="2328"/>
    </row>
    <row r="52" s="816" customFormat="1" ht="13.5" spans="1:18">
      <c r="A52" s="2215"/>
      <c r="B52" s="2210"/>
      <c r="C52" s="2216"/>
      <c r="D52" s="2212"/>
      <c r="E52" s="2217" t="s">
        <v>1247</v>
      </c>
      <c r="F52" s="2218"/>
      <c r="I52" s="2301" t="s">
        <v>1369</v>
      </c>
      <c r="J52" s="2302">
        <f>'数据-取费表'!J6+0.005</f>
        <v>0.075</v>
      </c>
      <c r="K52" s="2301" t="s">
        <v>1370</v>
      </c>
      <c r="L52" s="2302"/>
      <c r="O52" s="2293" t="s">
        <v>1371</v>
      </c>
      <c r="P52" s="2286" t="s">
        <v>1372</v>
      </c>
      <c r="Q52" s="2328">
        <f ca="1">J53</f>
        <v>29.16</v>
      </c>
      <c r="R52" s="2328" t="s">
        <v>1373</v>
      </c>
    </row>
    <row r="53" s="816" customFormat="1" ht="30.75" customHeight="1" spans="1:18">
      <c r="A53" s="2465" t="s">
        <v>1374</v>
      </c>
      <c r="B53" s="2144" t="s">
        <v>1248</v>
      </c>
      <c r="C53" s="1064">
        <f ca="1">ROUND(IF(F53="押一",C49/12*F11,IF(F53="押二",C49/12*2*F11,IF(F53="押三",C49/12*3*F11,C54*F11))),0)</f>
        <v>0</v>
      </c>
      <c r="D53" s="2112" t="s">
        <v>1375</v>
      </c>
      <c r="E53" s="2113" t="s">
        <v>1250</v>
      </c>
      <c r="F53" s="2114"/>
      <c r="I53" s="2303" t="s">
        <v>1376</v>
      </c>
      <c r="J53" s="2304">
        <f ca="1">IF(M47="住宅",IF(D1="——",MAX(J51,L48),MAX(J51,L48-'数据-取费表'!B24)),IF(D1="——",MIN(J51,L48),MIN(J51,L48-'数据-取费表'!B24)))</f>
        <v>29.16</v>
      </c>
      <c r="K53" s="2305" t="s">
        <v>1377</v>
      </c>
      <c r="L53" s="2306"/>
      <c r="O53" s="2285" t="s">
        <v>1378</v>
      </c>
      <c r="P53" s="2286" t="s">
        <v>1379</v>
      </c>
      <c r="Q53" s="2328">
        <f ca="1">Q47+Q48</f>
        <v>1883998</v>
      </c>
      <c r="R53" s="2328" t="s">
        <v>1380</v>
      </c>
    </row>
    <row r="54" s="816" customFormat="1" ht="13.5" spans="1:18">
      <c r="A54" s="2202"/>
      <c r="B54" s="2466" t="s">
        <v>1255</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8"/>
      <c r="K54" s="2308"/>
      <c r="L54" s="2308"/>
      <c r="M54" s="2208"/>
      <c r="O54" s="2309" t="s">
        <v>1381</v>
      </c>
      <c r="P54" s="2310"/>
      <c r="Q54" s="2310"/>
      <c r="R54" s="2310"/>
    </row>
    <row r="55" s="816" customFormat="1" ht="13.5" spans="1:18">
      <c r="A55" s="2121" t="s">
        <v>993</v>
      </c>
      <c r="B55" s="2122" t="s">
        <v>1256</v>
      </c>
      <c r="C55" s="2123"/>
      <c r="D55" s="2112"/>
      <c r="E55" s="2222"/>
      <c r="F55" s="2223"/>
      <c r="I55" s="2311" t="s">
        <v>1382</v>
      </c>
      <c r="J55" s="2312">
        <f ca="1">ROUND(IF(J47="钢混",J57/J50,1-(1-2%)*(J50-J57)/J50),3)</f>
        <v>0.214</v>
      </c>
      <c r="K55" s="2313" t="s">
        <v>1383</v>
      </c>
      <c r="L55" s="2314"/>
      <c r="O55" s="2278" t="s">
        <v>1339</v>
      </c>
      <c r="P55" s="2279" t="s">
        <v>1340</v>
      </c>
      <c r="Q55" s="2327" t="s">
        <v>1341</v>
      </c>
      <c r="R55" s="2327" t="s">
        <v>1342</v>
      </c>
    </row>
    <row r="56" s="816" customFormat="1" ht="36" customHeight="1" spans="1:18">
      <c r="A56" s="2224">
        <v>2</v>
      </c>
      <c r="B56" s="2225" t="s">
        <v>1257</v>
      </c>
      <c r="C56" s="438">
        <f ca="1">C13</f>
        <v>632912</v>
      </c>
      <c r="D56" s="2226"/>
      <c r="E56" s="2227"/>
      <c r="F56" s="2223"/>
      <c r="I56" s="2315" t="s">
        <v>1384</v>
      </c>
      <c r="J56" s="2316" t="s">
        <v>1385</v>
      </c>
      <c r="K56" s="2287" t="s">
        <v>1386</v>
      </c>
      <c r="L56" s="2290" t="str">
        <f ca="1">IF(L48&lt;J51,"——",L48-J51)</f>
        <v>——</v>
      </c>
      <c r="O56" s="2285" t="s">
        <v>1049</v>
      </c>
      <c r="P56" s="2286" t="s">
        <v>1345</v>
      </c>
      <c r="Q56" s="2328">
        <f ca="1">C40+J29</f>
        <v>1844603</v>
      </c>
      <c r="R56" s="2328" t="s">
        <v>1346</v>
      </c>
    </row>
    <row r="57" s="816" customFormat="1" ht="24.75" spans="1:18">
      <c r="A57" s="2228"/>
      <c r="B57" s="2229" t="s">
        <v>1324</v>
      </c>
      <c r="C57" s="448">
        <f ca="1">C29</f>
        <v>811425</v>
      </c>
      <c r="D57" s="2230"/>
      <c r="E57" s="2231"/>
      <c r="F57" s="2232"/>
      <c r="I57" s="2317" t="s">
        <v>1387</v>
      </c>
      <c r="J57" s="2318">
        <f ca="1">IF(OR(M47="住宅",J51&lt;L48,J56="是"),"——",J51-L48)</f>
        <v>12.84</v>
      </c>
      <c r="K57" s="2287" t="s">
        <v>1388</v>
      </c>
      <c r="L57" s="2290" t="str">
        <f ca="1">IF(L48&lt;J51,"——",IF(L55="比较法",L49,IF(L55="基准地价",L50,L51)))</f>
        <v>——</v>
      </c>
      <c r="O57" s="2285" t="s">
        <v>1052</v>
      </c>
      <c r="P57" s="2286" t="s">
        <v>1389</v>
      </c>
      <c r="Q57" s="2328">
        <f ca="1">L60</f>
        <v>0</v>
      </c>
      <c r="R57" s="2328" t="s">
        <v>1390</v>
      </c>
    </row>
    <row r="58" s="816" customFormat="1" ht="24.75" spans="1:18">
      <c r="A58" s="2233" t="s">
        <v>1267</v>
      </c>
      <c r="B58" s="2225" t="s">
        <v>1268</v>
      </c>
      <c r="C58" s="1064">
        <f ca="1">ROUND(C59+C64+C65+C66,0)</f>
        <v>3067</v>
      </c>
      <c r="D58" s="2234" t="s">
        <v>1269</v>
      </c>
      <c r="E58" s="2235"/>
      <c r="F58" s="2200"/>
      <c r="I58" s="2317" t="s">
        <v>1391</v>
      </c>
      <c r="J58" s="2319">
        <f ca="1">IF(J55&lt;0.4,0.4,J55)</f>
        <v>0.4</v>
      </c>
      <c r="K58" s="2298" t="s">
        <v>1392</v>
      </c>
      <c r="L58" s="2290" t="e">
        <f ca="1">ROUND(POWER(1+L52,L47-L48)*(POWER(1+L52,L48)-1)/(POWER(1+L52,L47)-1),4)</f>
        <v>#DIV/0!</v>
      </c>
      <c r="O58" s="2293" t="s">
        <v>1359</v>
      </c>
      <c r="P58" s="2286" t="s">
        <v>1393</v>
      </c>
      <c r="Q58" s="2328">
        <f>IF(L55="比较法",L49,IF(L55="基准地价",L50,0))</f>
        <v>0</v>
      </c>
      <c r="R58" s="2328" t="s">
        <v>1346</v>
      </c>
    </row>
    <row r="59" s="816" customFormat="1" ht="24.75" spans="1:18">
      <c r="A59" s="2132" t="s">
        <v>944</v>
      </c>
      <c r="B59" s="2229" t="s">
        <v>1274</v>
      </c>
      <c r="C59" s="2156">
        <f ca="1">ROUND(IF(AND(项目基本情况!B11="自然人",项目基本情况!B10="北京市"),C49*F59/(1+'数据-取费表'!C42),C60+C61+C62),0)</f>
        <v>0</v>
      </c>
      <c r="D59" s="2236" t="s">
        <v>1275</v>
      </c>
      <c r="E59" s="2237" t="s">
        <v>1276</v>
      </c>
      <c r="F59" s="2158" t="str">
        <f ca="1">IF(项目基本情况!B11="企业","——",IF('数据-取费表'!B10="住宅",IF(F49*F50*F51/12/(1+'数据-取费表'!F30)&gt;100000,4%,2.5%),IF(F49*F50*F51/12/(1+'数据-取费表'!F30)&gt;100000,12%,7%)))</f>
        <v>——</v>
      </c>
      <c r="I59" s="2317" t="s">
        <v>1394</v>
      </c>
      <c r="J59" s="2318">
        <f ca="1">IF(OR(M47="住宅",J51&lt;L48,J56="是"),"——",ROUND(C29*J58,0))</f>
        <v>324570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293" t="s">
        <v>1363</v>
      </c>
      <c r="P59" s="2286" t="s">
        <v>1395</v>
      </c>
      <c r="Q59" s="2329">
        <f>L52</f>
        <v>0</v>
      </c>
      <c r="R59" s="2328"/>
    </row>
    <row r="60" s="816" customFormat="1" ht="17.25" spans="1:18">
      <c r="A60" s="2132" t="s">
        <v>967</v>
      </c>
      <c r="B60" s="2229" t="s">
        <v>1279</v>
      </c>
      <c r="C60" s="1065">
        <f ca="1">IF(项目基本情况!B11="自然人","——",ROUND(C48*F60/(1+'数据-取费表'!C42),0))</f>
        <v>0</v>
      </c>
      <c r="D60" s="2237" t="s">
        <v>1280</v>
      </c>
      <c r="E60" s="2229" t="s">
        <v>1265</v>
      </c>
      <c r="F60" s="2148">
        <f t="shared" ref="F60:F66" si="0">F32</f>
        <v>0.056</v>
      </c>
      <c r="I60" s="2320" t="s">
        <v>1396</v>
      </c>
      <c r="J60" s="2321">
        <f ca="1">IF(OR(M47="住宅",J51&lt;L48,J56="是"),"0",ROUND(J59/(1+J52)^J53,0))</f>
        <v>39395</v>
      </c>
      <c r="K60" s="2322" t="s">
        <v>1397</v>
      </c>
      <c r="L60" s="2321">
        <f ca="1">IF(OR(M47="住宅",L48&lt;J51),0,ROUND(L57*(L58/L59-1),0))</f>
        <v>0</v>
      </c>
      <c r="O60" s="2293" t="s">
        <v>1367</v>
      </c>
      <c r="P60" s="2286" t="s">
        <v>1398</v>
      </c>
      <c r="Q60" s="2328" t="e">
        <f ca="1">L58</f>
        <v>#DIV/0!</v>
      </c>
      <c r="R60" s="2328" t="s">
        <v>1399</v>
      </c>
    </row>
    <row r="61" s="816" customFormat="1" ht="13.5" spans="1:18">
      <c r="A61" s="2132" t="s">
        <v>971</v>
      </c>
      <c r="B61" s="2229" t="s">
        <v>1283</v>
      </c>
      <c r="C61" s="1065">
        <f ca="1">IF(项目基本情况!B11="自然人","——",IF(D61="按租金收入计税",ROUND(C49*F61/(1+'数据-取费表'!C42),0),IF(D61="按房产原值计税",ROUND(C57*F61*0.7,0),INDIRECT("'数据-取费表'!Aj"&amp;$G$1))))</f>
        <v>0</v>
      </c>
      <c r="D61" s="2160" t="s">
        <v>1284</v>
      </c>
      <c r="E61" s="2229" t="s">
        <v>1265</v>
      </c>
      <c r="F61" s="2141">
        <f t="shared" si="0"/>
        <v>0.12</v>
      </c>
      <c r="I61" s="2176"/>
      <c r="J61" s="2176"/>
      <c r="K61" s="2176"/>
      <c r="L61" s="2176"/>
      <c r="O61" s="2293" t="s">
        <v>1371</v>
      </c>
      <c r="P61" s="2286" t="str">
        <f>K59</f>
        <v>建筑物剩余耐用年限下的土地年期修正系数Kn</v>
      </c>
      <c r="Q61" s="2328" t="e">
        <f ca="1">L59</f>
        <v>#DIV/0!</v>
      </c>
      <c r="R61" s="2328" t="s">
        <v>1400</v>
      </c>
    </row>
    <row r="62" s="816" customFormat="1" ht="13.5" spans="1:18">
      <c r="A62" s="2132" t="s">
        <v>974</v>
      </c>
      <c r="B62" s="2238" t="s">
        <v>1287</v>
      </c>
      <c r="C62" s="2162">
        <f ca="1">IF(项目基本情况!B11="自然人","——",ROUND(F62*F63,0))</f>
        <v>0</v>
      </c>
      <c r="D62" s="2239" t="s">
        <v>1288</v>
      </c>
      <c r="E62" s="2229" t="s">
        <v>1289</v>
      </c>
      <c r="F62" s="2147">
        <f t="shared" si="0"/>
        <v>0</v>
      </c>
      <c r="I62" s="2323" t="s">
        <v>1401</v>
      </c>
      <c r="J62" s="2324" t="s">
        <v>1402</v>
      </c>
      <c r="K62" s="2324" t="s">
        <v>1403</v>
      </c>
      <c r="L62" s="2324" t="s">
        <v>1404</v>
      </c>
      <c r="M62" s="2325" t="s">
        <v>1405</v>
      </c>
      <c r="O62" s="2285" t="s">
        <v>1378</v>
      </c>
      <c r="P62" s="2286" t="s">
        <v>1379</v>
      </c>
      <c r="Q62" s="2328">
        <f ca="1">Q56+Q57</f>
        <v>1844603</v>
      </c>
      <c r="R62" s="2328" t="s">
        <v>1380</v>
      </c>
    </row>
    <row r="63" s="816" customFormat="1" ht="13.5" spans="1:18">
      <c r="A63" s="2145"/>
      <c r="B63" s="2240"/>
      <c r="C63" s="2166"/>
      <c r="D63" s="2241"/>
      <c r="E63" s="2229" t="s">
        <v>1293</v>
      </c>
      <c r="F63" s="2101">
        <f ca="1" t="shared" si="0"/>
        <v>0</v>
      </c>
      <c r="I63" s="2323" t="s">
        <v>1406</v>
      </c>
      <c r="J63" s="2324">
        <v>70</v>
      </c>
      <c r="K63" s="2324">
        <v>50</v>
      </c>
      <c r="L63" s="2324">
        <v>80</v>
      </c>
      <c r="M63" s="2326">
        <v>0.02</v>
      </c>
      <c r="O63" s="2309" t="s">
        <v>1407</v>
      </c>
      <c r="P63" s="2310"/>
      <c r="Q63" s="2310"/>
      <c r="R63" s="2310"/>
    </row>
    <row r="64" s="816" customFormat="1" ht="13.5" spans="1:18">
      <c r="A64" s="2132" t="s">
        <v>948</v>
      </c>
      <c r="B64" s="2229" t="s">
        <v>1295</v>
      </c>
      <c r="C64" s="1065">
        <f ca="1">ROUND(C57*F64,0)</f>
        <v>2434</v>
      </c>
      <c r="D64" s="2237" t="s">
        <v>1329</v>
      </c>
      <c r="E64" s="2229" t="s">
        <v>1265</v>
      </c>
      <c r="F64" s="2169">
        <f ca="1" t="shared" si="0"/>
        <v>0.003</v>
      </c>
      <c r="I64" s="2323" t="s">
        <v>1408</v>
      </c>
      <c r="J64" s="2324">
        <v>50</v>
      </c>
      <c r="K64" s="2324">
        <v>35</v>
      </c>
      <c r="L64" s="2324">
        <v>60</v>
      </c>
      <c r="M64" s="2325">
        <v>0</v>
      </c>
      <c r="O64" s="2278" t="s">
        <v>1339</v>
      </c>
      <c r="P64" s="2279" t="s">
        <v>1340</v>
      </c>
      <c r="Q64" s="2327" t="s">
        <v>1341</v>
      </c>
      <c r="R64" s="2327" t="s">
        <v>1342</v>
      </c>
    </row>
    <row r="65" s="816" customFormat="1" ht="13.5" spans="1:18">
      <c r="A65" s="2132" t="s">
        <v>993</v>
      </c>
      <c r="B65" s="2229" t="s">
        <v>1299</v>
      </c>
      <c r="C65" s="1065">
        <f ca="1">ROUND(C56*F65,0)</f>
        <v>633</v>
      </c>
      <c r="D65" s="2237" t="s">
        <v>1300</v>
      </c>
      <c r="E65" s="2229" t="s">
        <v>1265</v>
      </c>
      <c r="F65" s="2170">
        <f ca="1" t="shared" si="0"/>
        <v>0.001</v>
      </c>
      <c r="I65" s="2323" t="s">
        <v>1409</v>
      </c>
      <c r="J65" s="2324">
        <v>40</v>
      </c>
      <c r="K65" s="2324">
        <v>30</v>
      </c>
      <c r="L65" s="2324">
        <v>50</v>
      </c>
      <c r="M65" s="2326">
        <v>0.02</v>
      </c>
      <c r="O65" s="2285" t="s">
        <v>1049</v>
      </c>
      <c r="P65" s="2286" t="s">
        <v>1345</v>
      </c>
      <c r="Q65" s="2328">
        <f ca="1">C40+J29</f>
        <v>1844603</v>
      </c>
      <c r="R65" s="2328" t="s">
        <v>1346</v>
      </c>
    </row>
    <row r="66" s="816" customFormat="1" ht="17.25" spans="1:18">
      <c r="A66" s="2132" t="s">
        <v>996</v>
      </c>
      <c r="B66" s="2229" t="s">
        <v>1285</v>
      </c>
      <c r="C66" s="1065">
        <f ca="1">ROUND(C48*F66,0)</f>
        <v>0</v>
      </c>
      <c r="D66" s="2237" t="s">
        <v>1303</v>
      </c>
      <c r="E66" s="2229" t="s">
        <v>1265</v>
      </c>
      <c r="F66" s="2110">
        <f ca="1" t="shared" si="0"/>
        <v>0.01</v>
      </c>
      <c r="O66" s="2285" t="s">
        <v>1052</v>
      </c>
      <c r="P66" s="2286" t="s">
        <v>1389</v>
      </c>
      <c r="Q66" s="2328">
        <f ca="1">L60</f>
        <v>0</v>
      </c>
      <c r="R66" s="2328" t="s">
        <v>1390</v>
      </c>
    </row>
    <row r="67" s="816" customFormat="1" ht="17.25" spans="1:18">
      <c r="A67" s="2224" t="s">
        <v>1306</v>
      </c>
      <c r="B67" s="2330" t="s">
        <v>1307</v>
      </c>
      <c r="C67" s="1064">
        <f ca="1">C48-C58</f>
        <v>-3067</v>
      </c>
      <c r="D67" s="2236" t="s">
        <v>1308</v>
      </c>
      <c r="E67" s="2331"/>
      <c r="F67" s="2332"/>
      <c r="O67" s="2293" t="s">
        <v>1359</v>
      </c>
      <c r="P67" s="2286" t="s">
        <v>1393</v>
      </c>
      <c r="Q67" s="2352">
        <f ca="1">L51</f>
        <v>1024662</v>
      </c>
      <c r="R67" s="2328" t="s">
        <v>1410</v>
      </c>
    </row>
    <row r="68" s="816" customFormat="1" ht="17.25" spans="1:18">
      <c r="A68" s="2333" t="s">
        <v>1312</v>
      </c>
      <c r="B68" s="2334" t="s">
        <v>1330</v>
      </c>
      <c r="C68" s="2175">
        <f ca="1">ROUND(C67*(1-((1+F70)/(1+F68))^F69)/(F68-F70),0)</f>
        <v>-44060</v>
      </c>
      <c r="D68" s="2239" t="s">
        <v>1314</v>
      </c>
      <c r="E68" s="2229" t="s">
        <v>1315</v>
      </c>
      <c r="F68" s="2110">
        <f ca="1">F40</f>
        <v>0.055</v>
      </c>
      <c r="O68" s="2293" t="s">
        <v>1363</v>
      </c>
      <c r="P68" s="2351" t="s">
        <v>1411</v>
      </c>
      <c r="Q68" s="2328">
        <f ca="1">ROUND(Q69-Q70*Q71,0)</f>
        <v>58810</v>
      </c>
      <c r="R68" s="2328" t="s">
        <v>1412</v>
      </c>
    </row>
    <row r="69" s="816" customFormat="1" ht="13.5" spans="1:18">
      <c r="A69" s="2335"/>
      <c r="B69" s="2336"/>
      <c r="C69" s="2108"/>
      <c r="D69" s="2337" t="s">
        <v>1318</v>
      </c>
      <c r="E69" s="2229" t="s">
        <v>1319</v>
      </c>
      <c r="F69" s="2179">
        <f ca="1">F41</f>
        <v>29.16</v>
      </c>
      <c r="O69" s="2293" t="s">
        <v>1413</v>
      </c>
      <c r="P69" s="2351" t="s">
        <v>1414</v>
      </c>
      <c r="Q69" s="2328">
        <f ca="1">C39</f>
        <v>103114</v>
      </c>
      <c r="R69" s="2328" t="s">
        <v>1346</v>
      </c>
    </row>
    <row r="70" s="816" customFormat="1" ht="13.5" spans="1:18">
      <c r="A70" s="2338"/>
      <c r="B70" s="2339"/>
      <c r="C70" s="2129"/>
      <c r="D70" s="2241"/>
      <c r="E70" s="2229" t="s">
        <v>1322</v>
      </c>
      <c r="F70" s="2218"/>
      <c r="O70" s="2293" t="s">
        <v>1415</v>
      </c>
      <c r="P70" s="2351" t="s">
        <v>1416</v>
      </c>
      <c r="Q70" s="2328">
        <f ca="1">C13</f>
        <v>632912</v>
      </c>
      <c r="R70" s="2328" t="s">
        <v>1346</v>
      </c>
    </row>
    <row r="71" s="816" customFormat="1" ht="13.5" spans="1:18">
      <c r="A71" s="2340" t="s">
        <v>1325</v>
      </c>
      <c r="B71" s="2341" t="s">
        <v>1331</v>
      </c>
      <c r="C71" s="2183">
        <f ca="1">ROUND(C68/F71,0)</f>
        <v>-393</v>
      </c>
      <c r="D71" s="2342" t="s">
        <v>1332</v>
      </c>
      <c r="E71" s="2343" t="s">
        <v>1333</v>
      </c>
      <c r="F71" s="2186">
        <f ca="1">F43</f>
        <v>112.13</v>
      </c>
      <c r="O71" s="2293" t="s">
        <v>1417</v>
      </c>
      <c r="P71" s="2351" t="s">
        <v>1418</v>
      </c>
      <c r="Q71" s="2329">
        <f ca="1">C76</f>
        <v>0.07</v>
      </c>
      <c r="R71" s="2328"/>
    </row>
    <row r="72" s="816" customFormat="1" ht="13.5" spans="2:18">
      <c r="B72" s="1099"/>
      <c r="C72" s="1099"/>
      <c r="O72" s="2293" t="s">
        <v>1367</v>
      </c>
      <c r="P72" s="2286" t="s">
        <v>1395</v>
      </c>
      <c r="Q72" s="2329">
        <f>L52</f>
        <v>0</v>
      </c>
      <c r="R72" s="2328"/>
    </row>
    <row r="73" ht="17.25" spans="1:18">
      <c r="A73" s="816"/>
      <c r="B73" s="1099"/>
      <c r="C73" s="1099"/>
      <c r="D73" s="816"/>
      <c r="E73" s="816"/>
      <c r="F73" s="816"/>
      <c r="O73" s="2293" t="s">
        <v>1371</v>
      </c>
      <c r="P73" s="2286" t="s">
        <v>1398</v>
      </c>
      <c r="Q73" s="2328" t="e">
        <f ca="1">L58</f>
        <v>#DIV/0!</v>
      </c>
      <c r="R73" s="2328" t="s">
        <v>1399</v>
      </c>
    </row>
    <row r="74" ht="13.5" spans="1:18">
      <c r="A74" s="816"/>
      <c r="B74" s="483" t="s">
        <v>1419</v>
      </c>
      <c r="C74" s="2344"/>
      <c r="D74" s="816"/>
      <c r="E74" s="816"/>
      <c r="F74" s="816"/>
      <c r="O74" s="2293" t="s">
        <v>1420</v>
      </c>
      <c r="P74" s="2286" t="str">
        <f>K59</f>
        <v>建筑物剩余耐用年限下的土地年期修正系数Kn</v>
      </c>
      <c r="Q74" s="2328" t="e">
        <f ca="1">L59</f>
        <v>#DIV/0!</v>
      </c>
      <c r="R74" s="2328" t="s">
        <v>1400</v>
      </c>
    </row>
    <row r="75" ht="13.5" spans="1:18">
      <c r="A75" s="816"/>
      <c r="B75" s="2345" t="s">
        <v>1421</v>
      </c>
      <c r="C75" s="2346">
        <f ca="1">ROUND(C13*C76,0)</f>
        <v>44304</v>
      </c>
      <c r="D75" s="816"/>
      <c r="E75" s="816"/>
      <c r="F75" s="816"/>
      <c r="K75" s="2272"/>
      <c r="L75" s="816"/>
      <c r="O75" s="2285" t="s">
        <v>1378</v>
      </c>
      <c r="P75" s="2286" t="s">
        <v>1379</v>
      </c>
      <c r="Q75" s="2328">
        <f ca="1">Q65+Q66</f>
        <v>1844603</v>
      </c>
      <c r="R75" s="2328" t="s">
        <v>1380</v>
      </c>
    </row>
    <row r="76" spans="2:12">
      <c r="B76" s="592" t="s">
        <v>1422</v>
      </c>
      <c r="C76" s="2347">
        <f ca="1">INDIRECT("'数据-取费表'!j"&amp;$G$1)</f>
        <v>0.07</v>
      </c>
      <c r="I76" s="816"/>
      <c r="J76" s="816"/>
      <c r="K76" s="2272"/>
      <c r="L76" s="816"/>
    </row>
    <row r="77" spans="2:12">
      <c r="B77" s="2348" t="s">
        <v>1423</v>
      </c>
      <c r="C77" s="2349"/>
      <c r="I77" s="816"/>
      <c r="J77" s="816"/>
      <c r="K77" s="2272"/>
      <c r="L77" s="816"/>
    </row>
    <row r="78" spans="2:3">
      <c r="B78" s="481" t="s">
        <v>1424</v>
      </c>
      <c r="C78" s="2350"/>
    </row>
    <row r="79" spans="2:3">
      <c r="B79" s="2345" t="s">
        <v>1425</v>
      </c>
      <c r="C79" s="484">
        <f ca="1">1-C80</f>
        <v>0.57</v>
      </c>
    </row>
    <row r="80" spans="2:3">
      <c r="B80" s="2345" t="s">
        <v>1426</v>
      </c>
      <c r="C80" s="484">
        <f ca="1">ROUND(C75/C39,3)</f>
        <v>0.43</v>
      </c>
    </row>
    <row r="81" spans="2:3">
      <c r="B81" s="481" t="s">
        <v>1427</v>
      </c>
      <c r="C81" s="448"/>
    </row>
    <row r="82" spans="2:3">
      <c r="B82" s="483" t="s">
        <v>1128</v>
      </c>
      <c r="C82" s="485">
        <f ca="1">1-C83</f>
        <v>0.657</v>
      </c>
    </row>
    <row r="83" spans="2:3">
      <c r="B83" s="483" t="s">
        <v>1129</v>
      </c>
      <c r="C83" s="484">
        <f ca="1">ROUND(C13/C40,3)</f>
        <v>0.343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M30" sqref="M30"/>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1033</v>
      </c>
      <c r="B1" s="2448">
        <v>1606</v>
      </c>
      <c r="C1" s="2449" t="s">
        <v>1428</v>
      </c>
      <c r="D1" s="400"/>
      <c r="E1" s="400"/>
      <c r="F1" s="400"/>
      <c r="G1" s="2450" t="e">
        <f>MATCH(B1,'数据-取费表'!A6:A16,0)+5</f>
        <v>#N/A</v>
      </c>
      <c r="H1" s="1802" t="str">
        <f>IF(ISERROR(FIND("住宅",B1)),"非住宅","住宅")</f>
        <v>非住宅</v>
      </c>
    </row>
    <row r="2" s="390" customFormat="1" ht="18" customHeight="1" spans="1:7">
      <c r="A2" s="402" t="s">
        <v>1034</v>
      </c>
      <c r="B2" s="2451" t="e">
        <f ca="1">ROUND(IF(D2="——",C52/10000,C52/10000-E2),4)</f>
        <v>#N/A</v>
      </c>
      <c r="C2" s="401" t="s">
        <v>1035</v>
      </c>
      <c r="D2" s="2452" t="s">
        <v>124</v>
      </c>
      <c r="E2" s="2453" t="e">
        <f ca="1">SUMIF(INDIRECT("'"&amp;G2&amp;"'"&amp;"!A:A"),"承租人权益价值",INDIRECT("'"&amp;G2&amp;"'"&amp;"!c:c"))</f>
        <v>#REF!</v>
      </c>
      <c r="F2" s="2454" t="s">
        <v>1035</v>
      </c>
      <c r="G2" s="2455"/>
    </row>
    <row r="3" s="390" customFormat="1" ht="18" customHeight="1" spans="1:7">
      <c r="A3" s="405" t="s">
        <v>1036</v>
      </c>
      <c r="B3" s="406" t="e">
        <f ca="1">ROUND(B2*10000/(IF(B1="",'数据-汇总表'!E3,INDIRECT("'数据-取费表'!k"&amp;$G$1))),0)</f>
        <v>#N/A</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t="e">
        <f ca="1">C6+C7+C8</f>
        <v>#N/A</v>
      </c>
      <c r="D5" s="412" t="s">
        <v>1041</v>
      </c>
      <c r="E5" s="413" t="s">
        <v>1042</v>
      </c>
      <c r="F5" s="413" t="s">
        <v>939</v>
      </c>
      <c r="G5" s="414"/>
    </row>
    <row r="6" s="392" customFormat="1" ht="13.5" customHeight="1" spans="1:7">
      <c r="A6" s="415" t="s">
        <v>1043</v>
      </c>
      <c r="B6" s="416" t="s">
        <v>1044</v>
      </c>
      <c r="C6" s="417">
        <f>基准地价修正!C33*基准地价修正!D33</f>
        <v>1691929.57</v>
      </c>
      <c r="D6" s="418"/>
      <c r="E6" s="419"/>
      <c r="F6" s="419"/>
      <c r="G6" s="420"/>
    </row>
    <row r="7" s="392" customFormat="1" ht="13.5" customHeight="1" spans="1:7">
      <c r="A7" s="415" t="s">
        <v>1045</v>
      </c>
      <c r="B7" s="416" t="s">
        <v>1046</v>
      </c>
      <c r="C7" s="421">
        <f>ROUND(C6*F7,0)</f>
        <v>51604</v>
      </c>
      <c r="D7" s="421"/>
      <c r="E7" s="419"/>
      <c r="F7" s="422">
        <f>IF(项目基本情况!B8="出让",0,'数据-取费表'!B48+'数据-取费表'!B49)</f>
        <v>0.0305</v>
      </c>
      <c r="G7" s="420"/>
    </row>
    <row r="8" s="393" customFormat="1" spans="1:7">
      <c r="A8" s="415" t="s">
        <v>1047</v>
      </c>
      <c r="B8" s="416" t="s">
        <v>1048</v>
      </c>
      <c r="C8" s="421" t="e">
        <f ca="1">IF(G8="已包含在土地购买价格中",0,C9+C10)</f>
        <v>#N/A</v>
      </c>
      <c r="D8" s="423"/>
      <c r="E8" s="421"/>
      <c r="F8" s="422"/>
      <c r="G8" s="2456" t="s">
        <v>1429</v>
      </c>
    </row>
    <row r="9" s="392" customFormat="1" ht="13.5" customHeight="1" spans="1:7">
      <c r="A9" s="425" t="s">
        <v>1049</v>
      </c>
      <c r="B9" s="426" t="s">
        <v>1050</v>
      </c>
      <c r="C9" s="427" t="e">
        <f ca="1">ROUND(D9*E9,0)</f>
        <v>#N/A</v>
      </c>
      <c r="D9" s="428" t="e">
        <f ca="1">IF(B1="",'数据-汇总表'!E5,IF(INDIRECT("'数据-取费表'!c"&amp;$G$1)="住宅",INDIRECT("'数据-取费表'!k"&amp;$G$1),0))</f>
        <v>#N/A</v>
      </c>
      <c r="E9" s="427">
        <f>'数据-取费表'!B27</f>
        <v>0</v>
      </c>
      <c r="F9" s="422"/>
      <c r="G9" s="429"/>
    </row>
    <row r="10" s="392" customFormat="1" ht="13.5" customHeight="1" spans="1:7">
      <c r="A10" s="425" t="s">
        <v>1052</v>
      </c>
      <c r="B10" s="426" t="s">
        <v>1053</v>
      </c>
      <c r="C10" s="427" t="e">
        <f ca="1">ROUND(D10*E10,0)</f>
        <v>#N/A</v>
      </c>
      <c r="D10" s="428" t="e">
        <f ca="1">IF(B1="",'数据-汇总表'!E6,IF(INDIRECT("'数据-取费表'!c"&amp;$G$1)="住宅",INDIRECT("'数据-取费表'!s"&amp;$G$1),INDIRECT("'数据-取费表'!k"&amp;$G$1)+INDIRECT("'数据-取费表'!s"&amp;$G$1)))</f>
        <v>#N/A</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t="str">
        <f ca="1">IF(G19="已包含在土地取得成本中","0",ROUND(D19*E19,0))</f>
        <v>0</v>
      </c>
      <c r="D19" s="436" t="e">
        <f ca="1">D9+D10</f>
        <v>#N/A</v>
      </c>
      <c r="E19" s="412">
        <f>'数据-取费表'!B31</f>
        <v>200</v>
      </c>
      <c r="F19" s="437"/>
      <c r="G19" s="2456" t="s">
        <v>1430</v>
      </c>
    </row>
    <row r="20" s="392" customFormat="1" ht="13.5" customHeight="1" spans="1:7">
      <c r="A20" s="410" t="s">
        <v>1072</v>
      </c>
      <c r="B20" s="411" t="s">
        <v>1073</v>
      </c>
      <c r="C20" s="438" t="e">
        <f ca="1">ROUND((C5+C19)*F20,0)</f>
        <v>#N/A</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2457" t="e">
        <f ca="1">ROUND(SUM(C23:C25),0)</f>
        <v>#N/A</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2458" t="e">
        <f ca="1">ROUND(IF('数据-取费表'!B22&lt;=1,C5*F22*'数据-取费表'!B22,C5*(POWER((1+F22),'数据-取费表'!B22)-1)),0)</f>
        <v>#N/A</v>
      </c>
      <c r="D23" s="448"/>
      <c r="E23" s="448"/>
      <c r="F23" s="449"/>
      <c r="G23" s="450" t="s">
        <v>1082</v>
      </c>
    </row>
    <row r="24" s="392" customFormat="1" ht="13.5" customHeight="1" spans="1:7">
      <c r="A24" s="446" t="s">
        <v>1045</v>
      </c>
      <c r="B24" s="416" t="s">
        <v>1083</v>
      </c>
      <c r="C24" s="2458">
        <f ca="1">ROUND(IF('数据-取费表'!B22&lt;=1,C19*F22*('数据-取费表'!B19/2+'数据-取费表'!B20),C19*(POWER((1+F22),('数据-取费表'!B19/2+'数据-取费表'!B20))-1)),0)</f>
        <v>0</v>
      </c>
      <c r="D24" s="448"/>
      <c r="E24" s="448"/>
      <c r="F24" s="449"/>
      <c r="G24" s="450" t="s">
        <v>1084</v>
      </c>
    </row>
    <row r="25" s="392" customFormat="1" ht="24" spans="1:7">
      <c r="A25" s="446" t="s">
        <v>1047</v>
      </c>
      <c r="B25" s="416" t="s">
        <v>1085</v>
      </c>
      <c r="C25" s="2458" t="e">
        <f ca="1">ROUND(IF('数据-取费表'!B22&lt;=1,C20*F22*'数据-取费表'!B22/2,C20*(POWER((1+F22),'数据-取费表'!B22/2)-1)),0)</f>
        <v>#N/A</v>
      </c>
      <c r="D25" s="448"/>
      <c r="E25" s="451"/>
      <c r="F25" s="449"/>
      <c r="G25" s="452" t="s">
        <v>1086</v>
      </c>
    </row>
    <row r="26" s="392" customFormat="1" spans="1:7">
      <c r="A26" s="446" t="s">
        <v>1087</v>
      </c>
      <c r="B26" s="416" t="s">
        <v>1088</v>
      </c>
      <c r="C26" s="448">
        <f ca="1">ROUND(IF('数据-取费表'!B22&lt;=1,F21*F22*'数据-取费表'!B22/2,F21*(POWER((1+F22),'数据-取费表'!B22/2)-1)),4)</f>
        <v>0.0006</v>
      </c>
      <c r="D26" s="448"/>
      <c r="E26" s="451"/>
      <c r="F26" s="449"/>
      <c r="G26" s="453"/>
    </row>
    <row r="27" s="392" customFormat="1" ht="24.75" spans="1:7">
      <c r="A27" s="410" t="s">
        <v>1089</v>
      </c>
      <c r="B27" s="454" t="s">
        <v>1090</v>
      </c>
      <c r="C27" s="455" t="e">
        <f ca="1">C28</f>
        <v>#N/A</v>
      </c>
      <c r="D27" s="441" t="e">
        <f ca="1">C29</f>
        <v>#N/A</v>
      </c>
      <c r="E27" s="442" t="s">
        <v>1077</v>
      </c>
      <c r="F27" s="456" t="e">
        <f ca="1">IF(B1="",'数据-取费表'!Q16,INDIRECT("'数据-取费表'!q"&amp;$G$1))</f>
        <v>#N/A</v>
      </c>
      <c r="G27" s="457" t="s">
        <v>1091</v>
      </c>
    </row>
    <row r="28" s="392" customFormat="1" ht="13.5" customHeight="1" spans="1:7">
      <c r="A28" s="446" t="s">
        <v>1043</v>
      </c>
      <c r="B28" s="458" t="s">
        <v>1092</v>
      </c>
      <c r="C28" s="459" t="e">
        <f ca="1">ROUND((C5+C19+C20)*F27,0)</f>
        <v>#N/A</v>
      </c>
      <c r="D28" s="441"/>
      <c r="E28" s="442"/>
      <c r="F28" s="456"/>
      <c r="G28" s="457"/>
    </row>
    <row r="29" s="392" customFormat="1" ht="13.5" customHeight="1" spans="1:7">
      <c r="A29" s="446" t="s">
        <v>1045</v>
      </c>
      <c r="B29" s="458" t="s">
        <v>1093</v>
      </c>
      <c r="C29" s="448" t="e">
        <f ca="1">ROUND(C21*F27,4)</f>
        <v>#N/A</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t="e">
        <f ca="1">ROUND((C5+C19+C20+C22+C27)/(1-C21-D22-D27-C30),0)</f>
        <v>#N/A</v>
      </c>
      <c r="D31" s="461"/>
      <c r="E31" s="412"/>
      <c r="F31" s="462"/>
      <c r="G31" s="443" t="s">
        <v>1098</v>
      </c>
    </row>
    <row r="32" s="391" customFormat="1" ht="15.75" spans="1:7">
      <c r="A32" s="463" t="s">
        <v>1431</v>
      </c>
      <c r="B32" s="464"/>
      <c r="C32" s="464"/>
      <c r="D32" s="464"/>
      <c r="E32" s="464"/>
      <c r="F32" s="464"/>
      <c r="G32" s="465"/>
    </row>
    <row r="33" s="392" customFormat="1" ht="13.5" customHeight="1" spans="1:7">
      <c r="A33" s="410" t="s">
        <v>1039</v>
      </c>
      <c r="B33" s="411" t="s">
        <v>1432</v>
      </c>
      <c r="C33" s="466" t="e">
        <f ca="1">SUM(C34:C38)</f>
        <v>#N/A</v>
      </c>
      <c r="D33" s="438"/>
      <c r="E33" s="413"/>
      <c r="F33" s="451"/>
      <c r="G33" s="443"/>
    </row>
    <row r="34" s="394" customFormat="1" ht="13.5" customHeight="1" spans="1:7">
      <c r="A34" s="446" t="s">
        <v>1043</v>
      </c>
      <c r="B34" s="416" t="s">
        <v>1101</v>
      </c>
      <c r="C34" s="421" t="e">
        <f ca="1">ROUND(IF(B1="",SUMPRODUCT('数据-取费表'!K6:K14,'数据-取费表'!L6:L14),INDIRECT("'数据-取费表'!l"&amp;$G$1)*INDIRECT("'数据-取费表'!k"&amp;$G$1)+'数据-取费表'!L14*INDIRECT("'数据-取费表'!S"&amp;$G$1)),0)</f>
        <v>#N/A</v>
      </c>
      <c r="D34" s="418"/>
      <c r="E34" s="421"/>
      <c r="F34" s="467"/>
      <c r="G34" s="420"/>
    </row>
    <row r="35" ht="13.5" customHeight="1" spans="1:7">
      <c r="A35" s="446" t="s">
        <v>1045</v>
      </c>
      <c r="B35" s="416" t="s">
        <v>1103</v>
      </c>
      <c r="C35" s="421" t="e">
        <f ca="1">ROUND(C34*F35,0)</f>
        <v>#N/A</v>
      </c>
      <c r="D35" s="421"/>
      <c r="E35" s="421"/>
      <c r="F35" s="468">
        <f>'数据-取费表'!B33</f>
        <v>0.05</v>
      </c>
      <c r="G35" s="420" t="s">
        <v>1104</v>
      </c>
    </row>
    <row r="36" ht="24" spans="1:7">
      <c r="A36" s="446" t="s">
        <v>1047</v>
      </c>
      <c r="B36" s="416" t="s">
        <v>1105</v>
      </c>
      <c r="C36" s="421" t="e">
        <f ca="1">ROUND(IF(B1="",SUM('数据-取费表'!AP6:AP13)*F36,IF(INDIRECT("'数据-取费表'!c"&amp;$G$1)="住宅",INDIRECT("'数据-取费表'!k"&amp;$G$1)*INDIRECT("'数据-取费表'!l"&amp;$G$1)*F36,0)),0)</f>
        <v>#N/A</v>
      </c>
      <c r="D36" s="421"/>
      <c r="E36" s="421"/>
      <c r="F36" s="468">
        <f>'数据-取费表'!B34</f>
        <v>0</v>
      </c>
      <c r="G36" s="469" t="s">
        <v>1106</v>
      </c>
    </row>
    <row r="37" s="394" customFormat="1" ht="13.5" customHeight="1" spans="1:7">
      <c r="A37" s="446" t="s">
        <v>1087</v>
      </c>
      <c r="B37" s="416" t="s">
        <v>1107</v>
      </c>
      <c r="C37" s="459" t="e">
        <f ca="1">ROUND(E37*D37,0)</f>
        <v>#N/A</v>
      </c>
      <c r="D37" s="418" t="e">
        <f ca="1">D19</f>
        <v>#N/A</v>
      </c>
      <c r="E37" s="459">
        <f>'数据-取费表'!B35</f>
        <v>200</v>
      </c>
      <c r="F37" s="468"/>
      <c r="G37" s="470"/>
    </row>
    <row r="38" ht="13.5" customHeight="1" spans="1:7">
      <c r="A38" s="446" t="s">
        <v>1109</v>
      </c>
      <c r="B38" s="416" t="s">
        <v>975</v>
      </c>
      <c r="C38" s="421" t="e">
        <f ca="1">ROUND(C34*F38,0)</f>
        <v>#N/A</v>
      </c>
      <c r="D38" s="421"/>
      <c r="E38" s="421"/>
      <c r="F38" s="468">
        <f>'数据-取费表'!B36</f>
        <v>0.02</v>
      </c>
      <c r="G38" s="420" t="s">
        <v>1104</v>
      </c>
    </row>
    <row r="39" s="392" customFormat="1" ht="13.5" customHeight="1" spans="1:7">
      <c r="A39" s="410" t="s">
        <v>1070</v>
      </c>
      <c r="B39" s="411" t="s">
        <v>1073</v>
      </c>
      <c r="C39" s="438" t="e">
        <f ca="1">ROUND(C33*F20,0)</f>
        <v>#N/A</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t="e">
        <f ca="1">ROUND(SUM(C42:C43),0)</f>
        <v>#N/A</v>
      </c>
      <c r="D41" s="441">
        <f ca="1">C44</f>
        <v>0.0006</v>
      </c>
      <c r="E41" s="442" t="s">
        <v>1111</v>
      </c>
      <c r="F41" s="445">
        <f ca="1">F22</f>
        <v>0.03</v>
      </c>
      <c r="G41" s="443" t="str">
        <f>IF('数据-取费表'!B22&lt;=1,"单利计息","复利计息")</f>
        <v>复利计息</v>
      </c>
    </row>
    <row r="42" ht="13.5" customHeight="1" spans="1:7">
      <c r="A42" s="446" t="s">
        <v>1043</v>
      </c>
      <c r="B42" s="416" t="s">
        <v>1081</v>
      </c>
      <c r="C42" s="448" t="e">
        <f ca="1">ROUND(IF('数据-取费表'!B22&lt;=1,C33*F22*'数据-取费表'!B20/2,C33*(POWER((1+F22),'数据-取费表'!B20/2)-1)),0)</f>
        <v>#N/A</v>
      </c>
      <c r="D42" s="448"/>
      <c r="E42" s="448"/>
      <c r="F42" s="449"/>
      <c r="G42" s="472" t="s">
        <v>1433</v>
      </c>
    </row>
    <row r="43" ht="13.5" customHeight="1" spans="1:7">
      <c r="A43" s="446" t="s">
        <v>1045</v>
      </c>
      <c r="B43" s="416" t="s">
        <v>1083</v>
      </c>
      <c r="C43" s="448" t="e">
        <f ca="1">ROUND(IF('数据-取费表'!B22&lt;=1,C39*F22*'数据-取费表'!B20/2,C39*(POWER((1+F22),'数据-取费表'!B20/2)-1)),0)</f>
        <v>#N/A</v>
      </c>
      <c r="D43" s="448"/>
      <c r="E43" s="448"/>
      <c r="F43" s="449"/>
      <c r="G43" s="473"/>
    </row>
    <row r="44" ht="13.5" customHeight="1" spans="1:7">
      <c r="A44" s="446" t="s">
        <v>1047</v>
      </c>
      <c r="B44" s="416" t="s">
        <v>1085</v>
      </c>
      <c r="C44" s="448">
        <f ca="1">ROUND(IF('数据-取费表'!B22&lt;=1,C40*F22*'数据-取费表'!B20/2,C40*(POWER((1+F22),'数据-取费表'!B20/2)-1)),4)</f>
        <v>0.0006</v>
      </c>
      <c r="D44" s="448"/>
      <c r="E44" s="448"/>
      <c r="F44" s="449"/>
      <c r="G44" s="474"/>
    </row>
    <row r="45" s="392" customFormat="1" ht="13.5" customHeight="1" spans="1:7">
      <c r="A45" s="410" t="s">
        <v>1079</v>
      </c>
      <c r="B45" s="454" t="s">
        <v>1090</v>
      </c>
      <c r="C45" s="455" t="e">
        <f ca="1">C46</f>
        <v>#N/A</v>
      </c>
      <c r="D45" s="441" t="e">
        <f ca="1">C47</f>
        <v>#N/A</v>
      </c>
      <c r="E45" s="442" t="s">
        <v>1111</v>
      </c>
      <c r="F45" s="456" t="e">
        <f ca="1">F27</f>
        <v>#N/A</v>
      </c>
      <c r="G45" s="457" t="s">
        <v>1114</v>
      </c>
    </row>
    <row r="46" s="392" customFormat="1" ht="13.5" customHeight="1" spans="1:7">
      <c r="A46" s="446" t="s">
        <v>1043</v>
      </c>
      <c r="B46" s="458" t="s">
        <v>1115</v>
      </c>
      <c r="C46" s="459" t="e">
        <f ca="1">ROUND((C33+C39)*F27,0)</f>
        <v>#N/A</v>
      </c>
      <c r="D46" s="475"/>
      <c r="E46" s="442"/>
      <c r="F46" s="456"/>
      <c r="G46" s="457"/>
    </row>
    <row r="47" s="392" customFormat="1" ht="13.5" customHeight="1" spans="1:7">
      <c r="A47" s="446" t="s">
        <v>1045</v>
      </c>
      <c r="B47" s="458" t="s">
        <v>1116</v>
      </c>
      <c r="C47" s="448" t="e">
        <f ca="1">ROUND(C40*F27,4)</f>
        <v>#N/A</v>
      </c>
      <c r="D47" s="475"/>
      <c r="E47" s="442"/>
      <c r="F47" s="456"/>
      <c r="G47" s="457"/>
    </row>
    <row r="48" s="392" customFormat="1" ht="13.5" customHeight="1" spans="1:7">
      <c r="A48" s="410" t="s">
        <v>1089</v>
      </c>
      <c r="B48" s="411" t="s">
        <v>1095</v>
      </c>
      <c r="C48" s="471">
        <f>ROUND(F30/(1+'数据-取费表'!C42),4)</f>
        <v>0.0533</v>
      </c>
      <c r="D48" s="442" t="s">
        <v>1111</v>
      </c>
      <c r="E48" s="438"/>
      <c r="F48" s="445">
        <f>F30</f>
        <v>0.056</v>
      </c>
      <c r="G48" s="443" t="s">
        <v>1117</v>
      </c>
    </row>
    <row r="49" ht="16.5" customHeight="1" spans="1:7">
      <c r="A49" s="410" t="s">
        <v>1094</v>
      </c>
      <c r="B49" s="411" t="s">
        <v>1434</v>
      </c>
      <c r="C49" s="438" t="e">
        <f ca="1">ROUND((C33+C39+C41+C45)/(1-C40-D41-D45-C48),0)</f>
        <v>#N/A</v>
      </c>
      <c r="D49" s="438"/>
      <c r="E49" s="438"/>
      <c r="F49" s="476"/>
      <c r="G49" s="443" t="s">
        <v>1119</v>
      </c>
    </row>
    <row r="50" s="394" customFormat="1" spans="1:7">
      <c r="A50" s="410" t="s">
        <v>1120</v>
      </c>
      <c r="B50" s="411" t="s">
        <v>1121</v>
      </c>
      <c r="C50" s="438"/>
      <c r="D50" s="438"/>
      <c r="E50" s="438"/>
      <c r="F50" s="476">
        <f>IF('数据-取费表'!B24=0,'数据-取费表'!N16,1)</f>
        <v>0.78</v>
      </c>
      <c r="G50" s="457"/>
    </row>
    <row r="51" ht="16.5" customHeight="1" spans="1:7">
      <c r="A51" s="410" t="s">
        <v>1123</v>
      </c>
      <c r="B51" s="411" t="s">
        <v>1435</v>
      </c>
      <c r="C51" s="438" t="e">
        <f ca="1">ROUND(C49*F50,0)</f>
        <v>#N/A</v>
      </c>
      <c r="D51" s="438"/>
      <c r="E51" s="438"/>
      <c r="F51" s="476"/>
      <c r="G51" s="443" t="s">
        <v>1125</v>
      </c>
    </row>
    <row r="52" s="391" customFormat="1" ht="16.5" spans="1:7">
      <c r="A52" s="477" t="s">
        <v>1126</v>
      </c>
      <c r="B52" s="478"/>
      <c r="C52" s="479" t="e">
        <f ca="1">C31+C51</f>
        <v>#N/A</v>
      </c>
      <c r="D52" s="478"/>
      <c r="E52" s="478"/>
      <c r="F52" s="478"/>
      <c r="G52" s="480"/>
    </row>
    <row r="55" ht="15" spans="2:3">
      <c r="B55" s="481" t="s">
        <v>1127</v>
      </c>
      <c r="C55" s="482"/>
    </row>
    <row r="56" spans="2:3">
      <c r="B56" s="483" t="s">
        <v>1128</v>
      </c>
      <c r="C56" s="485" t="e">
        <f ca="1">1-C57</f>
        <v>#N/A</v>
      </c>
    </row>
    <row r="57" spans="2:3">
      <c r="B57" s="483" t="s">
        <v>1129</v>
      </c>
      <c r="C57" s="484" t="e">
        <f ca="1">ROUND(C51/C52,3)</f>
        <v>#N/A</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107" customWidth="1"/>
    <col min="2" max="2" width="25.75" style="2362" customWidth="1"/>
    <col min="3" max="3" width="10.375" style="2363" customWidth="1"/>
    <col min="4" max="4" width="9.875" style="2362" customWidth="1"/>
    <col min="5" max="5" width="9.5" style="1107" customWidth="1"/>
    <col min="6" max="6" width="10.125" style="2362" customWidth="1"/>
    <col min="7" max="7" width="10.75" style="2362" customWidth="1"/>
    <col min="8" max="8" width="10" style="2362" customWidth="1"/>
    <col min="9" max="11" width="9.5" style="2362" customWidth="1"/>
    <col min="12" max="12" width="9" style="2362" customWidth="1"/>
    <col min="13" max="13" width="10.5" style="2362" customWidth="1"/>
    <col min="14" max="254" width="9" style="2362" customWidth="1"/>
    <col min="255" max="16384" width="6.625" style="2362"/>
  </cols>
  <sheetData>
    <row r="1" ht="20.25" spans="1:11">
      <c r="A1" s="398" t="s">
        <v>1436</v>
      </c>
      <c r="B1" s="2180"/>
      <c r="C1" s="2364"/>
      <c r="D1" s="2365"/>
      <c r="E1" s="2366"/>
      <c r="F1" s="2366"/>
      <c r="G1" s="2367"/>
      <c r="H1" s="2366"/>
      <c r="I1" s="2366"/>
      <c r="J1" s="2366"/>
      <c r="K1" s="2435">
        <f>MATCH(C1,'数据-取费表'!A6:A16,0)+5</f>
        <v>7</v>
      </c>
    </row>
    <row r="2" ht="18" customHeight="1" spans="1:11">
      <c r="A2" s="402" t="s">
        <v>1034</v>
      </c>
      <c r="B2" s="406">
        <f ca="1">C32</f>
        <v>-2</v>
      </c>
      <c r="C2" s="2368" t="s">
        <v>1437</v>
      </c>
      <c r="D2" s="2368"/>
      <c r="E2" s="2366"/>
      <c r="F2" s="2366"/>
      <c r="G2" s="2366"/>
      <c r="H2" s="2366"/>
      <c r="I2" s="2366"/>
      <c r="J2" s="2366"/>
      <c r="K2" s="2366"/>
    </row>
    <row r="3" ht="18" customHeight="1" spans="1:11">
      <c r="A3" s="405" t="s">
        <v>1036</v>
      </c>
      <c r="B3" s="406">
        <f ca="1">ROUND(B2*10000/IF(C1="",'数据-汇总表'!E3,INDIRECT("'数据-取费表'!K"&amp;$K$1)),0)</f>
        <v>-178</v>
      </c>
      <c r="C3" s="2368" t="s">
        <v>1438</v>
      </c>
      <c r="D3" s="2368"/>
      <c r="E3" s="2366"/>
      <c r="F3" s="2366"/>
      <c r="G3" s="2366"/>
      <c r="H3" s="2366"/>
      <c r="I3" s="2366"/>
      <c r="J3" s="2366"/>
      <c r="K3" s="2366"/>
    </row>
    <row r="4" s="2353" customFormat="1" ht="16.5" customHeight="1" spans="1:11">
      <c r="A4" s="2369" t="s">
        <v>1439</v>
      </c>
      <c r="B4" s="2370"/>
      <c r="C4" s="2371">
        <f>SUM(C8:K8)</f>
        <v>0</v>
      </c>
      <c r="D4" s="2370"/>
      <c r="E4" s="2370"/>
      <c r="F4" s="2370"/>
      <c r="G4" s="2370"/>
      <c r="H4" s="2370"/>
      <c r="I4" s="2370"/>
      <c r="J4" s="2370"/>
      <c r="K4" s="2436"/>
    </row>
    <row r="5" s="2354" customFormat="1" ht="15" spans="1:33">
      <c r="A5" s="2372" t="s">
        <v>1440</v>
      </c>
      <c r="B5" s="2373" t="s">
        <v>1441</v>
      </c>
      <c r="C5" s="2374"/>
      <c r="D5" s="2374"/>
      <c r="E5" s="2374"/>
      <c r="F5" s="2374"/>
      <c r="G5" s="2374"/>
      <c r="H5" s="2374"/>
      <c r="I5" s="2374"/>
      <c r="J5" s="2374"/>
      <c r="K5" s="2374"/>
      <c r="L5" s="2437"/>
      <c r="M5" s="2437"/>
      <c r="N5" s="2437"/>
      <c r="O5" s="2437"/>
      <c r="P5" s="2437"/>
      <c r="Q5" s="2437"/>
      <c r="R5" s="2437"/>
      <c r="S5" s="2437"/>
      <c r="T5" s="2437"/>
      <c r="U5" s="2437"/>
      <c r="V5" s="2437"/>
      <c r="W5" s="2437"/>
      <c r="X5" s="2437"/>
      <c r="Y5" s="2437"/>
      <c r="Z5" s="2437"/>
      <c r="AA5" s="2437"/>
      <c r="AB5" s="2437"/>
      <c r="AC5" s="2437"/>
      <c r="AD5" s="2437"/>
      <c r="AE5" s="2437"/>
      <c r="AF5" s="2437"/>
      <c r="AG5" s="2437"/>
    </row>
    <row r="6" s="2355" customFormat="1" ht="13.5" customHeight="1" spans="1:33">
      <c r="A6" s="2375" t="s">
        <v>944</v>
      </c>
      <c r="B6" s="2143" t="s">
        <v>1442</v>
      </c>
      <c r="C6" s="2376"/>
      <c r="D6" s="2376"/>
      <c r="E6" s="2376"/>
      <c r="F6" s="2376"/>
      <c r="G6" s="2376"/>
      <c r="H6" s="2376"/>
      <c r="I6" s="2376"/>
      <c r="J6" s="2376"/>
      <c r="K6" s="2438"/>
      <c r="L6" s="2439"/>
      <c r="M6" s="2439"/>
      <c r="N6" s="2439"/>
      <c r="O6" s="2439"/>
      <c r="P6" s="2439"/>
      <c r="Q6" s="2439"/>
      <c r="R6" s="2439"/>
      <c r="S6" s="2439"/>
      <c r="T6" s="2439"/>
      <c r="U6" s="2439"/>
      <c r="V6" s="2439"/>
      <c r="W6" s="2439"/>
      <c r="X6" s="2439"/>
      <c r="Y6" s="2439"/>
      <c r="Z6" s="2439"/>
      <c r="AA6" s="2439"/>
      <c r="AB6" s="2439"/>
      <c r="AC6" s="2439"/>
      <c r="AD6" s="2439"/>
      <c r="AE6" s="2439"/>
      <c r="AF6" s="2439"/>
      <c r="AG6" s="2439"/>
    </row>
    <row r="7" s="2355" customFormat="1" ht="13.5" customHeight="1" spans="1:33">
      <c r="A7" s="2375" t="s">
        <v>948</v>
      </c>
      <c r="B7" s="2143" t="s">
        <v>505</v>
      </c>
      <c r="C7" s="2377">
        <f>SUMIF('数据-汇总表'!$C19:$C33,假设开发法!C5,'数据-汇总表'!$E19:$E33)</f>
        <v>0</v>
      </c>
      <c r="D7" s="2377">
        <f>SUMIF('数据-汇总表'!$C19:$C33,假设开发法!D5,'数据-汇总表'!$E19:$E33)</f>
        <v>0</v>
      </c>
      <c r="E7" s="2377">
        <f>SUMIF('数据-汇总表'!$C19:$C33,假设开发法!E5,'数据-汇总表'!$E19:$E33)</f>
        <v>0</v>
      </c>
      <c r="F7" s="2377">
        <f>SUMIF('数据-汇总表'!$C19:$C33,假设开发法!F5,'数据-汇总表'!$E19:$E33)</f>
        <v>0</v>
      </c>
      <c r="G7" s="2377">
        <f>SUMIF('数据-汇总表'!$C19:$C33,假设开发法!G5,'数据-汇总表'!$E19:$E33)</f>
        <v>0</v>
      </c>
      <c r="H7" s="2377">
        <f>SUMIF('数据-汇总表'!$C19:$C33,假设开发法!H5,'数据-汇总表'!$E19:$E33)</f>
        <v>0</v>
      </c>
      <c r="I7" s="2377">
        <f>SUMIF('数据-汇总表'!$C19:$C33,假设开发法!I5,'数据-汇总表'!$E19:$E33)</f>
        <v>0</v>
      </c>
      <c r="J7" s="2377">
        <f>SUMIF('数据-汇总表'!$C19:$C33,假设开发法!J5,'数据-汇总表'!$E19:$E33)</f>
        <v>0</v>
      </c>
      <c r="K7" s="2440">
        <f>SUMIF('数据-汇总表'!$C19:$C33,假设开发法!K5,'数据-汇总表'!$E19:$E33)</f>
        <v>0</v>
      </c>
      <c r="L7" s="2439"/>
      <c r="M7" s="2439"/>
      <c r="N7" s="2439"/>
      <c r="O7" s="2439"/>
      <c r="P7" s="2439"/>
      <c r="Q7" s="2439"/>
      <c r="R7" s="2439"/>
      <c r="S7" s="2439"/>
      <c r="T7" s="2439"/>
      <c r="U7" s="2439"/>
      <c r="V7" s="2439"/>
      <c r="W7" s="2439"/>
      <c r="X7" s="2439"/>
      <c r="Y7" s="2439"/>
      <c r="Z7" s="2439"/>
      <c r="AA7" s="2439"/>
      <c r="AB7" s="2439"/>
      <c r="AC7" s="2439"/>
      <c r="AD7" s="2439"/>
      <c r="AE7" s="2439"/>
      <c r="AF7" s="2439"/>
      <c r="AG7" s="2439"/>
    </row>
    <row r="8" s="2355" customFormat="1" ht="13.5" customHeight="1" spans="1:33">
      <c r="A8" s="2378" t="s">
        <v>993</v>
      </c>
      <c r="B8" s="2379" t="s">
        <v>1443</v>
      </c>
      <c r="C8" s="2380"/>
      <c r="D8" s="2380"/>
      <c r="E8" s="2380"/>
      <c r="F8" s="2381"/>
      <c r="G8" s="2381"/>
      <c r="H8" s="2381"/>
      <c r="I8" s="2381"/>
      <c r="J8" s="2381"/>
      <c r="K8" s="2441"/>
      <c r="L8" s="2439"/>
      <c r="M8" s="2439"/>
      <c r="N8" s="2439"/>
      <c r="O8" s="2439"/>
      <c r="P8" s="2439"/>
      <c r="Q8" s="2439"/>
      <c r="R8" s="2439"/>
      <c r="S8" s="2439"/>
      <c r="T8" s="2439"/>
      <c r="U8" s="2439"/>
      <c r="V8" s="2439"/>
      <c r="W8" s="2439"/>
      <c r="X8" s="2439"/>
      <c r="Y8" s="2439"/>
      <c r="Z8" s="2439"/>
      <c r="AA8" s="2439"/>
      <c r="AB8" s="2439"/>
      <c r="AC8" s="2439"/>
      <c r="AD8" s="2439"/>
      <c r="AE8" s="2439"/>
      <c r="AF8" s="2439"/>
      <c r="AG8" s="2439"/>
    </row>
    <row r="9" s="2353" customFormat="1" ht="16.5" customHeight="1" spans="1:11">
      <c r="A9" s="2369" t="s">
        <v>1444</v>
      </c>
      <c r="B9" s="2370"/>
      <c r="C9" s="2370"/>
      <c r="D9" s="2370"/>
      <c r="E9" s="2370"/>
      <c r="F9" s="2370"/>
      <c r="G9" s="2370"/>
      <c r="H9" s="2370"/>
      <c r="I9" s="2370"/>
      <c r="J9" s="2370"/>
      <c r="K9" s="2436"/>
    </row>
    <row r="10" s="2356" customFormat="1" ht="13.5" customHeight="1" spans="1:11">
      <c r="A10" s="2372" t="s">
        <v>1440</v>
      </c>
      <c r="B10" s="2382" t="s">
        <v>1441</v>
      </c>
      <c r="C10" s="2383" t="s">
        <v>1445</v>
      </c>
      <c r="D10" s="2384" t="s">
        <v>1446</v>
      </c>
      <c r="E10" s="2384" t="s">
        <v>1447</v>
      </c>
      <c r="F10" s="2384" t="s">
        <v>1448</v>
      </c>
      <c r="G10" s="2382"/>
      <c r="H10" s="2385"/>
      <c r="I10" s="2385"/>
      <c r="J10" s="2385"/>
      <c r="K10" s="2442"/>
    </row>
    <row r="11" s="2357" customFormat="1" ht="13.5" customHeight="1" spans="1:11">
      <c r="A11" s="2386" t="s">
        <v>1049</v>
      </c>
      <c r="B11" s="2387" t="s">
        <v>1449</v>
      </c>
      <c r="C11" s="2388">
        <f ca="1">IF(C1="",'数据-取费表'!P16,INDIRECT("'数据-取费表'!p"&amp;$K$1)+INDIRECT("'数据-取费表'!ar"&amp;$K$1))</f>
        <v>0</v>
      </c>
      <c r="D11" s="2389"/>
      <c r="E11" s="2146"/>
      <c r="F11" s="2390">
        <f ca="1">1-IF('数据-取费表'!B24=0,1,IF(C1="",'数据-取费表'!N16,INDIRECT("'数据-取费表'!n"&amp;$K$1)))</f>
        <v>0</v>
      </c>
      <c r="G11" s="2382"/>
      <c r="H11" s="2385"/>
      <c r="I11" s="2385"/>
      <c r="J11" s="2385"/>
      <c r="K11" s="2442"/>
    </row>
    <row r="12" s="2357" customFormat="1" ht="13.5" customHeight="1" spans="1:11">
      <c r="A12" s="2386" t="s">
        <v>1052</v>
      </c>
      <c r="B12" s="2387" t="s">
        <v>1263</v>
      </c>
      <c r="C12" s="1065">
        <f ca="1">ROUND(C11*F12,0)</f>
        <v>0</v>
      </c>
      <c r="D12" s="2389"/>
      <c r="E12" s="2146"/>
      <c r="F12" s="2390">
        <f>'数据-取费表'!B33</f>
        <v>0.05</v>
      </c>
      <c r="G12" s="2382" t="s">
        <v>1450</v>
      </c>
      <c r="H12" s="2385"/>
      <c r="I12" s="2385"/>
      <c r="J12" s="2385"/>
      <c r="K12" s="2442"/>
    </row>
    <row r="13" s="2357" customFormat="1" ht="13.5" customHeight="1" spans="1:11">
      <c r="A13" s="2386" t="s">
        <v>1378</v>
      </c>
      <c r="B13" s="2387" t="s">
        <v>1266</v>
      </c>
      <c r="C13" s="1065">
        <f ca="1">ROUND(IF(C1="",SUMIF('数据-取费表'!C:C,"住宅",'数据-取费表'!P:P)*F13,IF(INDIRECT("'数据-取费表'!c"&amp;$K$1)="住宅",INDIRECT("'数据-取费表'!P"&amp;$K$1)*F13,0)),0)</f>
        <v>0</v>
      </c>
      <c r="D13" s="2391"/>
      <c r="E13" s="2146"/>
      <c r="F13" s="2390">
        <f>'数据-取费表'!B34</f>
        <v>0</v>
      </c>
      <c r="G13" s="2382" t="s">
        <v>1451</v>
      </c>
      <c r="H13" s="2385"/>
      <c r="I13" s="2385"/>
      <c r="J13" s="2385"/>
      <c r="K13" s="2442"/>
    </row>
    <row r="14" s="2358" customFormat="1" ht="13.5" customHeight="1" spans="1:33">
      <c r="A14" s="2386" t="s">
        <v>1452</v>
      </c>
      <c r="B14" s="2387" t="s">
        <v>1453</v>
      </c>
      <c r="C14" s="1065">
        <f ca="1">ROUND(D14*E14*F11/10000,0)</f>
        <v>0</v>
      </c>
      <c r="D14" s="2391">
        <f ca="1">IF(C1="",'数据-汇总表'!E3,INDIRECT("'数据-取费表'!K"&amp;$K$1)+INDIRECT("'数据-取费表'!S"&amp;$K$1))</f>
        <v>112.13</v>
      </c>
      <c r="E14" s="1065">
        <f>'数据-取费表'!B35</f>
        <v>200</v>
      </c>
      <c r="F14" s="2392"/>
      <c r="G14" s="2382" t="s">
        <v>1454</v>
      </c>
      <c r="H14" s="2385"/>
      <c r="I14" s="2385"/>
      <c r="J14" s="2385"/>
      <c r="K14" s="2442"/>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row>
    <row r="15" s="2358" customFormat="1" ht="13.5" customHeight="1" spans="1:33">
      <c r="A15" s="2386" t="s">
        <v>1455</v>
      </c>
      <c r="B15" s="2387" t="s">
        <v>1278</v>
      </c>
      <c r="C15" s="2393">
        <f ca="1">ROUND(C11*F15,0)</f>
        <v>0</v>
      </c>
      <c r="D15" s="2394"/>
      <c r="E15" s="2393"/>
      <c r="F15" s="2390">
        <f>'数据-取费表'!B36</f>
        <v>0.02</v>
      </c>
      <c r="G15" s="2143" t="s">
        <v>1456</v>
      </c>
      <c r="H15" s="2256"/>
      <c r="I15" s="2256"/>
      <c r="J15" s="2256"/>
      <c r="K15" s="2257"/>
      <c r="L15" s="2357"/>
      <c r="M15" s="2357"/>
      <c r="N15" s="2357"/>
      <c r="O15" s="2357"/>
      <c r="P15" s="2357"/>
      <c r="Q15" s="2357"/>
      <c r="R15" s="2357"/>
      <c r="S15" s="2357"/>
      <c r="T15" s="2357"/>
      <c r="U15" s="2357"/>
      <c r="V15" s="2357"/>
      <c r="W15" s="2357"/>
      <c r="X15" s="2357"/>
      <c r="Y15" s="2357"/>
      <c r="Z15" s="2357"/>
      <c r="AA15" s="2357"/>
      <c r="AB15" s="2357"/>
      <c r="AC15" s="2357"/>
      <c r="AD15" s="2357"/>
      <c r="AE15" s="2357"/>
      <c r="AF15" s="2357"/>
      <c r="AG15" s="2357"/>
    </row>
    <row r="16" s="2358" customFormat="1" ht="13.5" customHeight="1" spans="1:33">
      <c r="A16" s="2386" t="s">
        <v>967</v>
      </c>
      <c r="B16" s="2387" t="s">
        <v>1457</v>
      </c>
      <c r="C16" s="2393">
        <f ca="1">SUM(C11:C15)</f>
        <v>0</v>
      </c>
      <c r="D16" s="2394"/>
      <c r="E16" s="2393"/>
      <c r="F16" s="2390"/>
      <c r="G16" s="2143"/>
      <c r="H16" s="2395"/>
      <c r="I16" s="2256"/>
      <c r="J16" s="2256"/>
      <c r="K16" s="2257"/>
      <c r="L16" s="2357"/>
      <c r="M16" s="2357"/>
      <c r="N16" s="2357"/>
      <c r="O16" s="2357"/>
      <c r="P16" s="2357"/>
      <c r="Q16" s="2357"/>
      <c r="R16" s="2357"/>
      <c r="S16" s="2357"/>
      <c r="T16" s="2357"/>
      <c r="U16" s="2357"/>
      <c r="V16" s="2357"/>
      <c r="W16" s="2357"/>
      <c r="X16" s="2357"/>
      <c r="Y16" s="2357"/>
      <c r="Z16" s="2357"/>
      <c r="AA16" s="2357"/>
      <c r="AB16" s="2357"/>
      <c r="AC16" s="2357"/>
      <c r="AD16" s="2357"/>
      <c r="AE16" s="2357"/>
      <c r="AF16" s="2357"/>
      <c r="AG16" s="2357"/>
    </row>
    <row r="17" s="2358" customFormat="1" ht="13.5" customHeight="1" spans="1:33">
      <c r="A17" s="2386" t="s">
        <v>971</v>
      </c>
      <c r="B17" s="2387" t="s">
        <v>1458</v>
      </c>
      <c r="C17" s="1065">
        <f ca="1">ROUND(D17*E17/10000,0)</f>
        <v>0</v>
      </c>
      <c r="D17" s="2391">
        <f ca="1">D14</f>
        <v>112.13</v>
      </c>
      <c r="E17" s="1065">
        <f>'数据-取费表'!B32</f>
        <v>0</v>
      </c>
      <c r="F17" s="2394"/>
      <c r="G17" s="2143" t="s">
        <v>1459</v>
      </c>
      <c r="H17" s="2395"/>
      <c r="I17" s="2256"/>
      <c r="J17" s="2256"/>
      <c r="K17" s="2257"/>
      <c r="L17" s="2357"/>
      <c r="M17" s="2357"/>
      <c r="N17" s="2357"/>
      <c r="O17" s="2357"/>
      <c r="P17" s="2357"/>
      <c r="Q17" s="2357"/>
      <c r="R17" s="2357"/>
      <c r="S17" s="2357"/>
      <c r="T17" s="2357"/>
      <c r="U17" s="2357"/>
      <c r="V17" s="2357"/>
      <c r="W17" s="2357"/>
      <c r="X17" s="2357"/>
      <c r="Y17" s="2357"/>
      <c r="Z17" s="2357"/>
      <c r="AA17" s="2357"/>
      <c r="AB17" s="2357"/>
      <c r="AC17" s="2357"/>
      <c r="AD17" s="2357"/>
      <c r="AE17" s="2357"/>
      <c r="AF17" s="2357"/>
      <c r="AG17" s="2357"/>
    </row>
    <row r="18" s="2357" customFormat="1" ht="13.5" customHeight="1" spans="1:11">
      <c r="A18" s="2386" t="s">
        <v>1460</v>
      </c>
      <c r="B18" s="2387" t="s">
        <v>1461</v>
      </c>
      <c r="C18" s="1065">
        <f ca="1">C19+C20-IF(C1="",'数据-取费表'!B29,IF(G18="已全部缴纳",C19+C20,H18))</f>
        <v>2</v>
      </c>
      <c r="D18" s="2391"/>
      <c r="E18" s="1065"/>
      <c r="F18" s="2392"/>
      <c r="G18" s="2396"/>
      <c r="H18" s="2397"/>
      <c r="I18" s="2443" t="s">
        <v>1462</v>
      </c>
      <c r="J18" s="2256"/>
      <c r="K18" s="2257"/>
    </row>
    <row r="19" s="2357" customFormat="1" ht="13.5" customHeight="1" spans="1:11">
      <c r="A19" s="2386" t="s">
        <v>1049</v>
      </c>
      <c r="B19" s="2387" t="s">
        <v>492</v>
      </c>
      <c r="C19" s="1065">
        <f ca="1">ROUND(D19*E19/10000,0)</f>
        <v>0</v>
      </c>
      <c r="D19" s="2391">
        <f ca="1">IF(C1="",'数据-汇总表'!E5,IF(INDIRECT("'数据-取费表'!c"&amp;$K$1)="住宅",INDIRECT("'数据-取费表'!k"&amp;$K$1),0))</f>
        <v>0</v>
      </c>
      <c r="E19" s="1065">
        <f>'数据-取费表'!B27</f>
        <v>0</v>
      </c>
      <c r="F19" s="2392"/>
      <c r="G19" s="2255"/>
      <c r="H19" s="2398"/>
      <c r="I19" s="2399"/>
      <c r="J19" s="2399"/>
      <c r="K19" s="2444"/>
    </row>
    <row r="20" s="2357" customFormat="1" ht="13.5" customHeight="1" spans="1:11">
      <c r="A20" s="2386" t="s">
        <v>1052</v>
      </c>
      <c r="B20" s="2387" t="s">
        <v>1463</v>
      </c>
      <c r="C20" s="1065">
        <f ca="1">ROUND(D20*E20/10000,0)</f>
        <v>2</v>
      </c>
      <c r="D20" s="2391">
        <f ca="1">IF(C1="",'数据-汇总表'!E6,IF(INDIRECT("'数据-取费表'!c"&amp;$K$1)="住宅",INDIRECT("'数据-取费表'!s"&amp;$K$1),INDIRECT("'数据-取费表'!k"&amp;$K$1)+INDIRECT("'数据-取费表'!s"&amp;$K$1)))</f>
        <v>112.13</v>
      </c>
      <c r="E20" s="1065">
        <f>'数据-取费表'!B28</f>
        <v>200</v>
      </c>
      <c r="F20" s="2392"/>
      <c r="G20" s="2255"/>
      <c r="H20" s="2399"/>
      <c r="I20" s="2399"/>
      <c r="J20" s="2399"/>
      <c r="K20" s="2444"/>
    </row>
    <row r="21" s="2357" customFormat="1" ht="13.5" customHeight="1" spans="1:11">
      <c r="A21" s="2375" t="s">
        <v>944</v>
      </c>
      <c r="B21" s="2400" t="s">
        <v>1464</v>
      </c>
      <c r="C21" s="2401">
        <f ca="1">C16+C17+C18</f>
        <v>2</v>
      </c>
      <c r="D21" s="2402"/>
      <c r="E21" s="2403"/>
      <c r="F21" s="2403"/>
      <c r="G21" s="2143" t="s">
        <v>1465</v>
      </c>
      <c r="H21" s="2256"/>
      <c r="I21" s="2256"/>
      <c r="J21" s="2256"/>
      <c r="K21" s="2257"/>
    </row>
    <row r="22" s="2357" customFormat="1" ht="13.5" customHeight="1" spans="1:11">
      <c r="A22" s="2375" t="s">
        <v>948</v>
      </c>
      <c r="B22" s="2400" t="s">
        <v>1466</v>
      </c>
      <c r="C22" s="2401">
        <f ca="1">ROUND(C21*F22,0)</f>
        <v>0</v>
      </c>
      <c r="D22" s="2403"/>
      <c r="E22" s="2403"/>
      <c r="F22" s="2404">
        <f>'数据-取费表'!B37</f>
        <v>0.02</v>
      </c>
      <c r="G22" s="2382" t="s">
        <v>1467</v>
      </c>
      <c r="H22" s="2385"/>
      <c r="I22" s="2385"/>
      <c r="J22" s="2385"/>
      <c r="K22" s="2442"/>
    </row>
    <row r="23" s="2357" customFormat="1" ht="13.5" customHeight="1" spans="1:11">
      <c r="A23" s="2375" t="s">
        <v>993</v>
      </c>
      <c r="B23" s="2400" t="s">
        <v>1468</v>
      </c>
      <c r="C23" s="2401">
        <f ca="1">ROUND(C4*F23*F11,0)</f>
        <v>0</v>
      </c>
      <c r="D23" s="2403"/>
      <c r="E23" s="2403"/>
      <c r="F23" s="2404">
        <f>'数据-取费表'!B38</f>
        <v>0.02</v>
      </c>
      <c r="G23" s="2382" t="s">
        <v>1469</v>
      </c>
      <c r="H23" s="2385"/>
      <c r="I23" s="2385"/>
      <c r="J23" s="2385"/>
      <c r="K23" s="2442"/>
    </row>
    <row r="24" s="2357" customFormat="1" ht="13.5" customHeight="1" spans="1:11">
      <c r="A24" s="2375" t="s">
        <v>996</v>
      </c>
      <c r="B24" s="2400" t="s">
        <v>1470</v>
      </c>
      <c r="C24" s="2405">
        <f>ROUND(F24/(1+'数据-取费表'!C42),4)</f>
        <v>0.029</v>
      </c>
      <c r="D24" s="2403" t="s">
        <v>1471</v>
      </c>
      <c r="E24" s="2403"/>
      <c r="F24" s="2404">
        <f>IF(项目基本情况!B8="出让",0,'数据-取费表'!B48+'数据-取费表'!B49)</f>
        <v>0.0305</v>
      </c>
      <c r="G24" s="2382" t="s">
        <v>1472</v>
      </c>
      <c r="H24" s="2406"/>
      <c r="I24" s="2406"/>
      <c r="J24" s="2406"/>
      <c r="K24" s="2445"/>
    </row>
    <row r="25" s="2357" customFormat="1" ht="13.5" customHeight="1" spans="1:11">
      <c r="A25" s="2375" t="s">
        <v>1000</v>
      </c>
      <c r="B25" s="2402" t="s">
        <v>1473</v>
      </c>
      <c r="C25" s="2407">
        <f ca="1">C27</f>
        <v>0</v>
      </c>
      <c r="D25" s="2405">
        <f ca="1">C26</f>
        <v>0</v>
      </c>
      <c r="E25" s="2408" t="s">
        <v>1471</v>
      </c>
      <c r="F25" s="2409">
        <f ca="1">'数据-取费表'!B40</f>
        <v>0.03</v>
      </c>
      <c r="G25" s="2143" t="str">
        <f>IF('数据-取费表'!B22&lt;=1,"单利计息。","复利计息。")&amp;"后续开发成本、管理费用及销售费用产生的利息。"</f>
        <v>复利计息。后续开发成本、管理费用及销售费用产生的利息。</v>
      </c>
      <c r="H25" s="2406"/>
      <c r="I25" s="2406"/>
      <c r="J25" s="2406"/>
      <c r="K25" s="2445"/>
    </row>
    <row r="26" s="2359" customFormat="1" ht="13.5" customHeight="1" spans="1:11">
      <c r="A26" s="2386" t="s">
        <v>967</v>
      </c>
      <c r="B26" s="2410" t="s">
        <v>1474</v>
      </c>
      <c r="C26" s="2411">
        <f ca="1">ROUND(IF('数据-取费表'!B22&lt;=1,(1+C24)*F25*'数据-取费表'!B24,(1+C24)*(POWER((1+F25),'数据-取费表'!B24)-1)),4)</f>
        <v>0</v>
      </c>
      <c r="D26" s="2412"/>
      <c r="E26" s="2413"/>
      <c r="F26" s="2414"/>
      <c r="G26" s="2415" t="str">
        <f>IF('数据-取费表'!B22&lt;=1,"（(1)+取得税费率/(1+5%)）×年利率×建设期","（(1)+取得税费率）/(1+5%)×((1+年利率)^建设期-1)")</f>
        <v>（(1)+取得税费率）/(1+5%)×((1+年利率)^建设期-1)</v>
      </c>
      <c r="H26" s="2256"/>
      <c r="I26" s="2256"/>
      <c r="J26" s="2256"/>
      <c r="K26" s="2257"/>
    </row>
    <row r="27" s="2359" customFormat="1" ht="13.5" customHeight="1" spans="1:11">
      <c r="A27" s="2386" t="s">
        <v>971</v>
      </c>
      <c r="B27" s="2410" t="s">
        <v>1475</v>
      </c>
      <c r="C27" s="2416">
        <f ca="1">ROUND(IF('数据-取费表'!B22&lt;=1,(C21+C22+C23)*F25*'数据-取费表'!B24/2,(C21+C22+C23)*(POWER((1+F25),'数据-取费表'!B24/2)-1)),0)</f>
        <v>0</v>
      </c>
      <c r="D27" s="2412"/>
      <c r="E27" s="2413"/>
      <c r="F27" s="2414"/>
      <c r="G27" s="2415" t="str">
        <f>IF('数据-取费表'!B22&lt;=1,"（1）-（3）项×年利率×建设期÷2","（1）-（3）项×((1+年利率)^(建设期÷2)-1)")</f>
        <v>（1）-（3）项×((1+年利率)^(建设期÷2)-1)</v>
      </c>
      <c r="H27" s="2256"/>
      <c r="I27" s="2256"/>
      <c r="J27" s="2256"/>
      <c r="K27" s="2257"/>
    </row>
    <row r="28" s="2360" customFormat="1" ht="13.5" customHeight="1" spans="1:11">
      <c r="A28" s="2375" t="s">
        <v>1001</v>
      </c>
      <c r="B28" s="2417" t="s">
        <v>1476</v>
      </c>
      <c r="C28" s="2418">
        <f ca="1">C30</f>
        <v>0</v>
      </c>
      <c r="D28" s="2405">
        <f ca="1">C29</f>
        <v>0</v>
      </c>
      <c r="E28" s="2408" t="s">
        <v>1471</v>
      </c>
      <c r="F28" s="1402">
        <f ca="1">IF(C1="",'数据-取费表'!Q16,INDIRECT("'数据-取费表'!q"&amp;$K$1))</f>
        <v>0.15</v>
      </c>
      <c r="G28" s="2419"/>
      <c r="H28" s="2406"/>
      <c r="I28" s="2406"/>
      <c r="J28" s="2406"/>
      <c r="K28" s="2445"/>
    </row>
    <row r="29" s="2361" customFormat="1" ht="13.5" customHeight="1" spans="1:11">
      <c r="A29" s="2386" t="s">
        <v>967</v>
      </c>
      <c r="B29" s="2420" t="s">
        <v>1477</v>
      </c>
      <c r="C29" s="2412">
        <f ca="1">ROUND((1+C24)*F28*'数据-取费表'!B24/'数据-取费表'!B20,4)</f>
        <v>0</v>
      </c>
      <c r="D29" s="2412"/>
      <c r="E29" s="2413"/>
      <c r="F29" s="2421"/>
      <c r="G29" s="2143" t="s">
        <v>1478</v>
      </c>
      <c r="H29" s="2256"/>
      <c r="I29" s="2256"/>
      <c r="J29" s="2256"/>
      <c r="K29" s="2257"/>
    </row>
    <row r="30" s="2361" customFormat="1" ht="13.5" customHeight="1" spans="1:11">
      <c r="A30" s="2386" t="s">
        <v>971</v>
      </c>
      <c r="B30" s="2420" t="s">
        <v>1479</v>
      </c>
      <c r="C30" s="2422">
        <f ca="1">ROUND((C21+C22+C23)*F28,0)</f>
        <v>0</v>
      </c>
      <c r="D30" s="2412"/>
      <c r="E30" s="2413"/>
      <c r="F30" s="2421"/>
      <c r="G30" s="2143"/>
      <c r="H30" s="2256"/>
      <c r="I30" s="2256"/>
      <c r="J30" s="2256"/>
      <c r="K30" s="2257"/>
    </row>
    <row r="31" s="2357" customFormat="1" ht="13.5" customHeight="1" spans="1:11">
      <c r="A31" s="2423" t="s">
        <v>1323</v>
      </c>
      <c r="B31" s="2424" t="s">
        <v>1480</v>
      </c>
      <c r="C31" s="2425">
        <f>ROUND(C4*F31/(1+'数据-取费表'!C42),0)</f>
        <v>0</v>
      </c>
      <c r="D31" s="2426"/>
      <c r="E31" s="2427"/>
      <c r="F31" s="2428">
        <f>'数据-取费表'!B41</f>
        <v>0.056</v>
      </c>
      <c r="G31" s="2429" t="s">
        <v>1481</v>
      </c>
      <c r="H31" s="2430"/>
      <c r="I31" s="2430"/>
      <c r="J31" s="2430"/>
      <c r="K31" s="2446"/>
    </row>
    <row r="32" s="2356" customFormat="1" ht="13.5" customHeight="1" spans="1:11">
      <c r="A32" s="2431" t="s">
        <v>1482</v>
      </c>
      <c r="B32" s="2432"/>
      <c r="C32" s="2433">
        <f ca="1">ROUND((C4-C21-C22-C23-C25-C28-C31)/(1+C24+D25+D28),0)</f>
        <v>-2</v>
      </c>
      <c r="D32" s="2432"/>
      <c r="E32" s="2432"/>
      <c r="F32" s="2432"/>
      <c r="G32" s="2434" t="s">
        <v>1483</v>
      </c>
      <c r="H32" s="2432"/>
      <c r="I32" s="2432"/>
      <c r="J32" s="2432"/>
      <c r="K32" s="244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1226</v>
      </c>
      <c r="B1" s="1390"/>
      <c r="C1" s="2071"/>
      <c r="D1" s="2072" t="s">
        <v>124</v>
      </c>
      <c r="E1" s="2073" t="s">
        <v>1227</v>
      </c>
      <c r="F1" s="2074">
        <f ca="1">J53</f>
        <v>0</v>
      </c>
      <c r="G1" s="2075">
        <f>MATCH(C1,'数据-取费表'!A6:A16,0)+5</f>
        <v>7</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1228</v>
      </c>
      <c r="B2" s="2077" t="e">
        <f ca="1">C40+J29+L46</f>
        <v>#DIV/0!</v>
      </c>
      <c r="C2" s="2078" t="s">
        <v>1229</v>
      </c>
      <c r="D2" s="2078"/>
      <c r="E2" s="2079"/>
      <c r="F2" s="2080"/>
      <c r="G2" s="2081"/>
      <c r="H2" s="2082"/>
      <c r="I2" s="2082"/>
      <c r="J2" s="2082"/>
      <c r="K2" s="2245"/>
      <c r="L2" s="2082"/>
      <c r="M2" s="2082"/>
    </row>
    <row r="3" ht="18" customHeight="1" spans="1:13">
      <c r="A3" s="2083" t="s">
        <v>1231</v>
      </c>
      <c r="B3" s="2084">
        <f ca="1">IF(ISERROR(B2*10000/F43),0,ROUND(B2*10000/F43,0))</f>
        <v>0</v>
      </c>
      <c r="C3" s="2078" t="s">
        <v>1232</v>
      </c>
      <c r="D3" s="2078"/>
      <c r="E3" s="2079"/>
      <c r="F3" s="2080"/>
      <c r="G3" s="2081"/>
      <c r="H3" s="2085" t="s">
        <v>1233</v>
      </c>
      <c r="I3" s="2246"/>
      <c r="J3" s="2246"/>
      <c r="K3" s="2247"/>
      <c r="L3" s="2246"/>
      <c r="M3" s="2246"/>
    </row>
    <row r="4" ht="18" customHeight="1" spans="1:13">
      <c r="A4" s="2086" t="s">
        <v>1234</v>
      </c>
      <c r="B4" s="2087" t="s">
        <v>1235</v>
      </c>
      <c r="C4" s="2087" t="s">
        <v>1236</v>
      </c>
      <c r="D4" s="2087" t="s">
        <v>1237</v>
      </c>
      <c r="E4" s="2088" t="s">
        <v>1238</v>
      </c>
      <c r="F4" s="2089"/>
      <c r="G4" s="816"/>
      <c r="H4" s="2086" t="s">
        <v>1234</v>
      </c>
      <c r="I4" s="2087" t="s">
        <v>1235</v>
      </c>
      <c r="J4" s="2087" t="s">
        <v>1236</v>
      </c>
      <c r="K4" s="2087" t="s">
        <v>1237</v>
      </c>
      <c r="L4" s="2088" t="s">
        <v>1238</v>
      </c>
      <c r="M4" s="2089"/>
    </row>
    <row r="5" ht="18" customHeight="1" spans="1:13">
      <c r="A5" s="2090">
        <v>1</v>
      </c>
      <c r="B5" s="2091" t="s">
        <v>1239</v>
      </c>
      <c r="C5" s="2092">
        <f ca="1">C6+C10+C12</f>
        <v>0</v>
      </c>
      <c r="D5" s="2093" t="s">
        <v>1240</v>
      </c>
      <c r="E5" s="2094"/>
      <c r="F5" s="2095"/>
      <c r="G5" s="816"/>
      <c r="H5" s="2090">
        <v>1</v>
      </c>
      <c r="I5" s="2091" t="s">
        <v>1239</v>
      </c>
      <c r="J5" s="2092">
        <f ca="1">J6+J10+J12</f>
        <v>0</v>
      </c>
      <c r="K5" s="2093" t="s">
        <v>1240</v>
      </c>
      <c r="L5" s="2094"/>
      <c r="M5" s="2095"/>
    </row>
    <row r="6" ht="18" customHeight="1" spans="1:13">
      <c r="A6" s="2096" t="s">
        <v>944</v>
      </c>
      <c r="B6" s="2097" t="s">
        <v>1241</v>
      </c>
      <c r="C6" s="2098">
        <f ca="1">ROUND(F6*F8*F7*(1-F9)/10000,0)</f>
        <v>0</v>
      </c>
      <c r="D6" s="2099" t="s">
        <v>1484</v>
      </c>
      <c r="E6" s="2100" t="s">
        <v>1243</v>
      </c>
      <c r="F6" s="2101">
        <f ca="1">INDIRECT("'数据-取费表'!u"&amp;$G$1)</f>
        <v>0</v>
      </c>
      <c r="G6" s="816"/>
      <c r="H6" s="2096" t="s">
        <v>944</v>
      </c>
      <c r="I6" s="2097" t="s">
        <v>1241</v>
      </c>
      <c r="J6" s="2175">
        <f ca="1">ROUND(M6*M8*M7*(1-M9)/10000,0)</f>
        <v>0</v>
      </c>
      <c r="K6" s="2099" t="s">
        <v>1485</v>
      </c>
      <c r="L6" s="2100" t="s">
        <v>1243</v>
      </c>
      <c r="M6" s="2101">
        <f ca="1">INDIRECT("'数据-取费表'!z"&amp;$G$1)</f>
        <v>0</v>
      </c>
    </row>
    <row r="7" ht="18" customHeight="1" spans="1:13">
      <c r="A7" s="2102"/>
      <c r="B7" s="2103"/>
      <c r="C7" s="2104"/>
      <c r="D7" s="2105"/>
      <c r="E7" s="2106" t="s">
        <v>1245</v>
      </c>
      <c r="F7" s="2101">
        <f ca="1">IF(INDIRECT("'数据-取费表'!ah"&amp;$G$1)="",INDIRECT("'数据-取费表'!k"&amp;$G$1),INDIRECT("'数据-取费表'!ah"&amp;$G$1))</f>
        <v>0</v>
      </c>
      <c r="G7" s="816"/>
      <c r="H7" s="2107"/>
      <c r="I7" s="2103"/>
      <c r="J7" s="2108"/>
      <c r="K7" s="2105"/>
      <c r="L7" s="2100" t="s">
        <v>1245</v>
      </c>
      <c r="M7" s="2101">
        <f ca="1">F7</f>
        <v>0</v>
      </c>
    </row>
    <row r="8" ht="18" customHeight="1" spans="1:13">
      <c r="A8" s="2107"/>
      <c r="B8" s="2103"/>
      <c r="C8" s="2108"/>
      <c r="D8" s="2105"/>
      <c r="E8" s="2100" t="s">
        <v>1246</v>
      </c>
      <c r="F8" s="2101">
        <f ca="1">INDIRECT("'数据-取费表'!ai"&amp;$G$1)</f>
        <v>0</v>
      </c>
      <c r="G8" s="816"/>
      <c r="H8" s="2107"/>
      <c r="I8" s="2103"/>
      <c r="J8" s="2108"/>
      <c r="K8" s="2105"/>
      <c r="L8" s="2100" t="s">
        <v>1246</v>
      </c>
      <c r="M8" s="2101">
        <f ca="1">INDIRECT("'数据-取费表'!ai"&amp;$G$1)</f>
        <v>0</v>
      </c>
    </row>
    <row r="9" ht="18" customHeight="1" spans="1:13">
      <c r="A9" s="2107"/>
      <c r="B9" s="2109"/>
      <c r="C9" s="2108"/>
      <c r="D9" s="2105"/>
      <c r="E9" s="2100" t="s">
        <v>1247</v>
      </c>
      <c r="F9" s="2110">
        <f ca="1">INDIRECT("'数据-取费表'!w"&amp;$G$1)</f>
        <v>0</v>
      </c>
      <c r="G9" s="816"/>
      <c r="H9" s="2107"/>
      <c r="I9" s="2109"/>
      <c r="J9" s="2108"/>
      <c r="K9" s="2105"/>
      <c r="L9" s="2113" t="s">
        <v>1247</v>
      </c>
      <c r="M9" s="2119">
        <f ca="1">INDIRECT("'数据-取费表'!ab"&amp;$G$1)</f>
        <v>0</v>
      </c>
    </row>
    <row r="10" ht="18" customHeight="1" spans="1:13">
      <c r="A10" s="2096" t="s">
        <v>948</v>
      </c>
      <c r="B10" s="2111" t="s">
        <v>1248</v>
      </c>
      <c r="C10" s="1064">
        <f ca="1">ROUND(IF(F10="押一",C6/12*F11,IF(F10="押二",C6/12*2*F11,IF(F10="押三",C6/12*3*F11,C11*F11))),0)</f>
        <v>0</v>
      </c>
      <c r="D10" s="2112" t="s">
        <v>1249</v>
      </c>
      <c r="E10" s="2113" t="s">
        <v>1250</v>
      </c>
      <c r="F10" s="2114"/>
      <c r="G10" s="816"/>
      <c r="H10" s="2096" t="s">
        <v>948</v>
      </c>
      <c r="I10" s="2111" t="s">
        <v>1248</v>
      </c>
      <c r="J10" s="2175">
        <f ca="1">ROUND(IF(M10="押一",J6/12*M11,IF(M10="押二",J6/12*2*M11,IF(M10="押三",J6/12*3*M11,J11*M11))),0)</f>
        <v>0</v>
      </c>
      <c r="K10" s="2112" t="s">
        <v>1249</v>
      </c>
      <c r="L10" s="2113" t="s">
        <v>1250</v>
      </c>
      <c r="M10" s="2114"/>
    </row>
    <row r="11" ht="18" customHeight="1" spans="1:13">
      <c r="A11" s="2115"/>
      <c r="B11" s="2116" t="s">
        <v>1486</v>
      </c>
      <c r="C11" s="2117"/>
      <c r="D11" s="2118"/>
      <c r="E11" s="2113" t="s">
        <v>1254</v>
      </c>
      <c r="F11" s="2119">
        <f ca="1">'数据-取费表'!B39</f>
        <v>0.015</v>
      </c>
      <c r="G11" s="816"/>
      <c r="H11" s="2120"/>
      <c r="I11" s="2116" t="s">
        <v>1486</v>
      </c>
      <c r="J11" s="2117"/>
      <c r="K11" s="2248"/>
      <c r="L11" s="2113" t="s">
        <v>1254</v>
      </c>
      <c r="M11" s="2249">
        <f ca="1">'数据-取费表'!B39</f>
        <v>0.015</v>
      </c>
    </row>
    <row r="12" ht="18" customHeight="1" spans="1:13">
      <c r="A12" s="2121" t="s">
        <v>993</v>
      </c>
      <c r="B12" s="2122" t="s">
        <v>1256</v>
      </c>
      <c r="C12" s="2123"/>
      <c r="D12" s="2124"/>
      <c r="E12" s="2125"/>
      <c r="F12" s="2126"/>
      <c r="G12" s="816"/>
      <c r="H12" s="2121" t="s">
        <v>993</v>
      </c>
      <c r="I12" s="2122" t="s">
        <v>1256</v>
      </c>
      <c r="J12" s="2123"/>
      <c r="K12" s="2250"/>
      <c r="L12" s="2125"/>
      <c r="M12" s="2251"/>
    </row>
    <row r="13" ht="18" customHeight="1" spans="1:13">
      <c r="A13" s="2127">
        <v>2</v>
      </c>
      <c r="B13" s="2128" t="s">
        <v>1257</v>
      </c>
      <c r="C13" s="2129">
        <f ca="1">ROUND(C29*F13,0)</f>
        <v>0</v>
      </c>
      <c r="D13" s="2130" t="s">
        <v>1258</v>
      </c>
      <c r="E13" s="2130" t="s">
        <v>1259</v>
      </c>
      <c r="F13" s="2131">
        <f ca="1">INDIRECT("'数据-取费表'!y"&amp;$G$1)</f>
        <v>0</v>
      </c>
      <c r="G13" s="816"/>
      <c r="H13" s="2127">
        <v>2</v>
      </c>
      <c r="I13" s="2128" t="s">
        <v>1257</v>
      </c>
      <c r="J13" s="2252">
        <f ca="1">ROUND(J14*J15,0)</f>
        <v>0</v>
      </c>
      <c r="K13" s="2153" t="s">
        <v>1258</v>
      </c>
      <c r="L13" s="2253"/>
      <c r="M13" s="2254"/>
    </row>
    <row r="14" ht="18" customHeight="1" spans="1:13">
      <c r="A14" s="2132" t="s">
        <v>967</v>
      </c>
      <c r="B14" s="2100" t="s">
        <v>1260</v>
      </c>
      <c r="C14" s="2133">
        <f ca="1">INDIRECT("'数据-取费表'!m"&amp;$G$1)+INDIRECT("'数据-取费表'!t"&amp;$G$1)</f>
        <v>0</v>
      </c>
      <c r="D14" s="2134" t="s">
        <v>1261</v>
      </c>
      <c r="E14" s="2135"/>
      <c r="F14" s="2136"/>
      <c r="G14" s="816"/>
      <c r="H14" s="2132" t="s">
        <v>944</v>
      </c>
      <c r="I14" s="2100" t="s">
        <v>1262</v>
      </c>
      <c r="J14" s="1065">
        <f ca="1">C29</f>
        <v>0</v>
      </c>
      <c r="K14" s="2255"/>
      <c r="L14" s="2256"/>
      <c r="M14" s="2257"/>
    </row>
    <row r="15" s="2068" customFormat="1" ht="18" customHeight="1" spans="1:37">
      <c r="A15" s="2132" t="s">
        <v>971</v>
      </c>
      <c r="B15" s="2100" t="s">
        <v>1263</v>
      </c>
      <c r="C15" s="1065">
        <f ca="1">ROUND(C14*F15,0)</f>
        <v>0</v>
      </c>
      <c r="D15" s="2137" t="s">
        <v>1264</v>
      </c>
      <c r="E15" s="2137" t="s">
        <v>1265</v>
      </c>
      <c r="F15" s="2138">
        <f>'数据-取费表'!B33</f>
        <v>0.05</v>
      </c>
      <c r="G15" s="2139"/>
      <c r="H15" s="2140" t="s">
        <v>948</v>
      </c>
      <c r="I15" s="2125" t="s">
        <v>1259</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1266</v>
      </c>
      <c r="C16" s="1065">
        <f ca="1">ROUND(INDIRECT("'数据-取费表'!m"&amp;$G$1)*F16,0)</f>
        <v>0</v>
      </c>
      <c r="D16" s="2100" t="s">
        <v>1264</v>
      </c>
      <c r="E16" s="2100" t="s">
        <v>1265</v>
      </c>
      <c r="F16" s="2141">
        <f ca="1">IF(INDIRECT("'数据-取费表'!c"&amp;$G$1)="住宅",'数据-取费表'!B34,0)</f>
        <v>0</v>
      </c>
      <c r="G16" s="816"/>
      <c r="H16" s="2127" t="s">
        <v>1267</v>
      </c>
      <c r="I16" s="2128" t="s">
        <v>1268</v>
      </c>
      <c r="J16" s="2129">
        <f ca="1">ROUND(J17+J22+J23+J24,0)</f>
        <v>0</v>
      </c>
      <c r="K16" s="2153" t="s">
        <v>1269</v>
      </c>
      <c r="L16" s="2154"/>
      <c r="M16" s="2095"/>
    </row>
    <row r="17" s="2068" customFormat="1" ht="18" customHeight="1" spans="1:37">
      <c r="A17" s="2132" t="s">
        <v>1270</v>
      </c>
      <c r="B17" s="2100" t="s">
        <v>1271</v>
      </c>
      <c r="C17" s="1065">
        <f ca="1">ROUND(F17*(F43+INDIRECT("'数据-取费表'!S"&amp;$G$1))/10000,0)</f>
        <v>0</v>
      </c>
      <c r="D17" s="2100" t="s">
        <v>1272</v>
      </c>
      <c r="E17" s="2100" t="s">
        <v>1273</v>
      </c>
      <c r="F17" s="2142">
        <f>'数据-取费表'!B35</f>
        <v>200</v>
      </c>
      <c r="G17" s="2139"/>
      <c r="H17" s="2132" t="s">
        <v>944</v>
      </c>
      <c r="I17" s="2100" t="s">
        <v>1274</v>
      </c>
      <c r="J17" s="2156">
        <f ca="1">ROUND(IF(AND(项目基本情况!B11="自然人",项目基本情况!B10="北京市"),J6*M17/(1+'数据-取费表'!C42),J18+J19+J20),2)</f>
        <v>0</v>
      </c>
      <c r="K17" s="2134" t="s">
        <v>1275</v>
      </c>
      <c r="L17" s="2157" t="s">
        <v>1276</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1277</v>
      </c>
      <c r="B18" s="2100" t="s">
        <v>1278</v>
      </c>
      <c r="C18" s="1065">
        <f ca="1">ROUND(C14*F18,0)</f>
        <v>0</v>
      </c>
      <c r="D18" s="2100" t="s">
        <v>1264</v>
      </c>
      <c r="E18" s="2100" t="s">
        <v>1265</v>
      </c>
      <c r="F18" s="2141">
        <f>'数据-取费表'!B36</f>
        <v>0.02</v>
      </c>
      <c r="G18" s="2139"/>
      <c r="H18" s="2132" t="s">
        <v>967</v>
      </c>
      <c r="I18" s="2100" t="s">
        <v>1279</v>
      </c>
      <c r="J18" s="1065">
        <f ca="1">ROUND(J6*M18/(1+'数据-取费表'!C42),2)</f>
        <v>0</v>
      </c>
      <c r="K18" s="2157" t="s">
        <v>1280</v>
      </c>
      <c r="L18" s="2100" t="s">
        <v>1265</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1281</v>
      </c>
      <c r="C19" s="1065">
        <f ca="1">SUM(C14:C18)</f>
        <v>0</v>
      </c>
      <c r="D19" s="2143" t="s">
        <v>1282</v>
      </c>
      <c r="E19" s="1067"/>
      <c r="F19" s="2142"/>
      <c r="G19" s="816"/>
      <c r="H19" s="2132" t="s">
        <v>971</v>
      </c>
      <c r="I19" s="2100" t="s">
        <v>1283</v>
      </c>
      <c r="J19" s="1065">
        <f ca="1">IF(K19="按租金收入计税",ROUND(J6*M19/(1+'数据-取费表'!C42),2),ROUND(C29*M19*0.7,2))</f>
        <v>0</v>
      </c>
      <c r="K19" s="2160" t="s">
        <v>1284</v>
      </c>
      <c r="L19" s="2100" t="s">
        <v>1265</v>
      </c>
      <c r="M19" s="2141">
        <f>IF(K19="按租金收入计税",'数据-取费表'!B51,'数据-取费表'!B50)</f>
        <v>0.12</v>
      </c>
    </row>
    <row r="20" s="2068" customFormat="1" ht="18" customHeight="1" spans="1:37">
      <c r="A20" s="2132" t="s">
        <v>948</v>
      </c>
      <c r="B20" s="2100" t="s">
        <v>1285</v>
      </c>
      <c r="C20" s="1065">
        <f ca="1">ROUND(C19*F20,0)</f>
        <v>0</v>
      </c>
      <c r="D20" s="2144" t="s">
        <v>1286</v>
      </c>
      <c r="E20" s="2100" t="s">
        <v>1265</v>
      </c>
      <c r="F20" s="2141">
        <f>'数据-取费表'!B37</f>
        <v>0.02</v>
      </c>
      <c r="G20" s="2139"/>
      <c r="H20" s="2132" t="s">
        <v>974</v>
      </c>
      <c r="I20" s="2099" t="s">
        <v>1287</v>
      </c>
      <c r="J20" s="2162">
        <f ca="1">ROUND(M20*M21/10000,2)</f>
        <v>0</v>
      </c>
      <c r="K20" s="2163" t="s">
        <v>1288</v>
      </c>
      <c r="L20" s="2100" t="s">
        <v>1289</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1290</v>
      </c>
      <c r="C21" s="1065" t="s">
        <v>124</v>
      </c>
      <c r="D21" s="2144" t="s">
        <v>1291</v>
      </c>
      <c r="E21" s="2100" t="s">
        <v>1292</v>
      </c>
      <c r="F21" s="2141">
        <f>'数据-取费表'!B38</f>
        <v>0.02</v>
      </c>
      <c r="G21" s="2139"/>
      <c r="H21" s="2145"/>
      <c r="I21" s="2261"/>
      <c r="J21" s="2166"/>
      <c r="K21" s="2167"/>
      <c r="L21" s="2100" t="s">
        <v>1293</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1294</v>
      </c>
      <c r="C22" s="1065"/>
      <c r="D22" s="2143" t="str">
        <f>IF(F23&lt;=1,"单利计息。","复利计息。")&amp;"建造成本、管理费用、销售费用产生的利息。"</f>
        <v>复利计息。建造成本、管理费用、销售费用产生的利息。</v>
      </c>
      <c r="E22" s="1067"/>
      <c r="F22" s="2142"/>
      <c r="G22" s="816"/>
      <c r="H22" s="2132" t="s">
        <v>948</v>
      </c>
      <c r="I22" s="2100" t="s">
        <v>1295</v>
      </c>
      <c r="J22" s="1065">
        <f ca="1">ROUND(J14*M22,2)</f>
        <v>0</v>
      </c>
      <c r="K22" s="2157" t="s">
        <v>1296</v>
      </c>
      <c r="L22" s="2100" t="s">
        <v>1265</v>
      </c>
      <c r="M22" s="2169">
        <f ca="1">INDIRECT("'数据-取费表'!Ak"&amp;$G$1)</f>
        <v>0</v>
      </c>
    </row>
    <row r="23" s="2068" customFormat="1" ht="18" customHeight="1" spans="1:37">
      <c r="A23" s="2132" t="s">
        <v>967</v>
      </c>
      <c r="B23" s="2100" t="s">
        <v>1297</v>
      </c>
      <c r="C23" s="1065">
        <f ca="1">IF('数据-取费表'!B22&lt;=1,ROUND(C19*F24*F23/2,0)+ROUND(C20*F24*F23/2,0),ROUND(C19*(POWER((1+F24),F23/2)-1),0)+ROUND(C20*(POWER((1+F24),F23/2)-1),0))</f>
        <v>0</v>
      </c>
      <c r="D23" s="2146" t="str">
        <f>IF(F23&lt;=1,"(建造成本+管理费用)×利率×(建设周期÷2)","(建造成本+管理费用)×((1+利率)^(建设周期÷2)-1)")</f>
        <v>(建造成本+管理费用)×((1+利率)^(建设周期÷2)-1)</v>
      </c>
      <c r="E23" s="2100" t="s">
        <v>1298</v>
      </c>
      <c r="F23" s="2147">
        <f>'数据-取费表'!B20</f>
        <v>2</v>
      </c>
      <c r="G23" s="2139"/>
      <c r="H23" s="2132" t="s">
        <v>993</v>
      </c>
      <c r="I23" s="2100" t="s">
        <v>1299</v>
      </c>
      <c r="J23" s="1065">
        <f ca="1">ROUND(J13*M23,2)</f>
        <v>0</v>
      </c>
      <c r="K23" s="2157" t="s">
        <v>1300</v>
      </c>
      <c r="L23" s="2100" t="s">
        <v>1265</v>
      </c>
      <c r="M23" s="2170">
        <f ca="1">INDIRECT("'数据-取费表'!Al"&amp;$G$1)</f>
        <v>0</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1301</v>
      </c>
      <c r="C24" s="1065">
        <f ca="1">ROUND(IF('数据-取费表'!B22&lt;=1,F21*F24*F23/2,F21*(POWER((1+F24),F23/2)-1)),4)</f>
        <v>0.0006</v>
      </c>
      <c r="D24" s="2146" t="str">
        <f>IF(F23&lt;=1,"销售费用×利率×(建设周期÷2)","销售费用×((1+利率)^(建设周期÷2)-1)")</f>
        <v>销售费用×((1+利率)^(建设周期÷2)-1)</v>
      </c>
      <c r="E24" s="2100" t="s">
        <v>1302</v>
      </c>
      <c r="F24" s="2148">
        <f ca="1">'数据-取费表'!B40</f>
        <v>0.03</v>
      </c>
      <c r="G24" s="2139"/>
      <c r="H24" s="2140" t="s">
        <v>996</v>
      </c>
      <c r="I24" s="2125" t="s">
        <v>1285</v>
      </c>
      <c r="J24" s="2149">
        <f ca="1">ROUND(J5*M24,2)</f>
        <v>0</v>
      </c>
      <c r="K24" s="2150" t="s">
        <v>1303</v>
      </c>
      <c r="L24" s="2125" t="s">
        <v>1265</v>
      </c>
      <c r="M24" s="2126">
        <f ca="1">INDIRECT("'数据-取费表'!Am"&amp;$G$1)</f>
        <v>0</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24" customHeight="1" spans="1:13">
      <c r="A25" s="2132" t="s">
        <v>1000</v>
      </c>
      <c r="B25" s="2100" t="s">
        <v>1304</v>
      </c>
      <c r="C25" s="1065"/>
      <c r="D25" s="2143" t="s">
        <v>1305</v>
      </c>
      <c r="E25" s="1067"/>
      <c r="F25" s="2142"/>
      <c r="G25" s="816"/>
      <c r="H25" s="2127" t="s">
        <v>1306</v>
      </c>
      <c r="I25" s="2171" t="s">
        <v>1307</v>
      </c>
      <c r="J25" s="2129">
        <f ca="1">J5-J16</f>
        <v>0</v>
      </c>
      <c r="K25" s="2172" t="s">
        <v>1308</v>
      </c>
      <c r="L25" s="2173"/>
      <c r="M25" s="2174"/>
    </row>
    <row r="26" spans="1:13">
      <c r="A26" s="2132" t="s">
        <v>967</v>
      </c>
      <c r="B26" s="2100" t="s">
        <v>1309</v>
      </c>
      <c r="C26" s="1065">
        <f ca="1">ROUND((C19+C20)*F26,0)</f>
        <v>0</v>
      </c>
      <c r="D26" s="2144" t="s">
        <v>1310</v>
      </c>
      <c r="E26" s="2113" t="s">
        <v>1311</v>
      </c>
      <c r="F26" s="2110">
        <f ca="1">INDIRECT("'数据-取费表'!q"&amp;$G$1)</f>
        <v>0</v>
      </c>
      <c r="G26" s="816"/>
      <c r="H26" s="2090" t="s">
        <v>1312</v>
      </c>
      <c r="I26" s="2091" t="s">
        <v>1313</v>
      </c>
      <c r="J26" s="2175">
        <f ca="1">IF(J5&lt;&gt;0,ROUND(J25*(1-((1+M28)/(1+M26))^M27)/(M26-M28),0),0)</f>
        <v>0</v>
      </c>
      <c r="K26" s="2163" t="s">
        <v>1314</v>
      </c>
      <c r="L26" s="2100" t="s">
        <v>1315</v>
      </c>
      <c r="M26" s="2110">
        <f ca="1">INDIRECT("'数据-取费表'!I"&amp;$G$1)</f>
        <v>0</v>
      </c>
    </row>
    <row r="27" ht="18" customHeight="1" spans="1:13">
      <c r="A27" s="2132" t="s">
        <v>971</v>
      </c>
      <c r="B27" s="2100" t="s">
        <v>1316</v>
      </c>
      <c r="C27" s="1065">
        <f ca="1">ROUND(F21*F26,4)</f>
        <v>0</v>
      </c>
      <c r="D27" s="2144" t="s">
        <v>1317</v>
      </c>
      <c r="E27" s="2137"/>
      <c r="F27" s="2138"/>
      <c r="G27" s="816"/>
      <c r="H27" s="2107"/>
      <c r="I27" s="2177"/>
      <c r="J27" s="2108"/>
      <c r="K27" s="2178" t="s">
        <v>1318</v>
      </c>
      <c r="L27" s="2100" t="s">
        <v>1319</v>
      </c>
      <c r="M27" s="2179">
        <f ca="1">INDIRECT("'数据-取费表'!ag"&amp;$G$1)</f>
        <v>0</v>
      </c>
    </row>
    <row r="28" s="2068" customFormat="1" ht="18" customHeight="1" spans="1:37">
      <c r="A28" s="2132" t="s">
        <v>1001</v>
      </c>
      <c r="B28" s="2100" t="s">
        <v>1320</v>
      </c>
      <c r="C28" s="1065">
        <f>ROUND(F28/(1+'数据-取费表'!C42),4)</f>
        <v>0.0533</v>
      </c>
      <c r="D28" s="2144" t="s">
        <v>1321</v>
      </c>
      <c r="E28" s="2100" t="s">
        <v>1265</v>
      </c>
      <c r="F28" s="2141">
        <f>'数据-取费表'!B41</f>
        <v>0.056</v>
      </c>
      <c r="G28" s="2139"/>
      <c r="H28" s="2115"/>
      <c r="I28" s="2181"/>
      <c r="J28" s="2129"/>
      <c r="K28" s="2167"/>
      <c r="L28" s="2100" t="s">
        <v>1322</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1323</v>
      </c>
      <c r="B29" s="2125" t="s">
        <v>1324</v>
      </c>
      <c r="C29" s="2149">
        <f ca="1">ROUND((C19+C20+C23+C26)/(1-F21-C24-C27-C28),0)</f>
        <v>0</v>
      </c>
      <c r="D29" s="2150"/>
      <c r="E29" s="2125"/>
      <c r="F29" s="2151"/>
      <c r="G29" s="2139"/>
      <c r="H29" s="2152" t="s">
        <v>1325</v>
      </c>
      <c r="I29" s="2182" t="s">
        <v>1326</v>
      </c>
      <c r="J29" s="2183">
        <f ca="1">ROUND(J26/(1+F40)^F41,0)</f>
        <v>0</v>
      </c>
      <c r="K29" s="2184" t="s">
        <v>1327</v>
      </c>
      <c r="L29" s="2185"/>
      <c r="M29" s="2186">
        <f ca="1">INDIRECT("'数据-取费表'!k"&amp;$G$1)</f>
        <v>0</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1267</v>
      </c>
      <c r="B30" s="2128" t="s">
        <v>1268</v>
      </c>
      <c r="C30" s="2129">
        <f ca="1">ROUND(C31+C36+C37+C38,0)</f>
        <v>0</v>
      </c>
      <c r="D30" s="2153" t="s">
        <v>1269</v>
      </c>
      <c r="E30" s="2154"/>
      <c r="F30" s="2095"/>
      <c r="G30" s="816"/>
      <c r="H30" s="2155"/>
      <c r="I30" s="2262"/>
      <c r="J30" s="2263"/>
      <c r="K30" s="2264"/>
      <c r="L30" s="2265"/>
      <c r="M30" s="2266"/>
    </row>
    <row r="31" ht="18" customHeight="1" spans="1:13">
      <c r="A31" s="2132" t="s">
        <v>944</v>
      </c>
      <c r="B31" s="2100" t="s">
        <v>1274</v>
      </c>
      <c r="C31" s="2156">
        <f ca="1">ROUND(IF(AND(项目基本情况!B11="自然人",项目基本情况!B10="北京市"),C6*F31/(1+'数据-取费表'!C42),C32+C33+C34),2)</f>
        <v>0</v>
      </c>
      <c r="D31" s="2134" t="s">
        <v>1275</v>
      </c>
      <c r="E31" s="2157" t="s">
        <v>1276</v>
      </c>
      <c r="F31" s="2158" t="str">
        <f ca="1">IF(项目基本情况!B11="企业","——",IF(M47="住宅",IF(F6*F7*F8/12/(1+'数据-取费表'!F30)&gt;100000,4%,2.5%),IF(F6*F7*F8/12/(1+'数据-取费表'!F30)&gt;100000,12%,7%)))</f>
        <v>——</v>
      </c>
      <c r="G31" s="816"/>
      <c r="H31" s="2159" t="s">
        <v>1328</v>
      </c>
      <c r="I31" s="2262"/>
      <c r="J31" s="2263"/>
      <c r="K31" s="2264"/>
      <c r="L31" s="2265"/>
      <c r="M31" s="2266"/>
    </row>
    <row r="32" ht="18" customHeight="1" spans="1:13">
      <c r="A32" s="2132" t="s">
        <v>967</v>
      </c>
      <c r="B32" s="2100" t="s">
        <v>1279</v>
      </c>
      <c r="C32" s="1065">
        <f ca="1">IF(项目基本情况!B11="自然人","——",ROUND(C6*F32/(1+'数据-取费表'!C42),2))</f>
        <v>0</v>
      </c>
      <c r="D32" s="2157" t="s">
        <v>1280</v>
      </c>
      <c r="E32" s="2100" t="s">
        <v>1265</v>
      </c>
      <c r="F32" s="2148">
        <f>'数据-取费表'!B41</f>
        <v>0.056</v>
      </c>
      <c r="G32" s="816"/>
      <c r="H32" s="2155"/>
      <c r="I32" s="2262"/>
      <c r="J32" s="2263"/>
      <c r="K32" s="2264"/>
      <c r="L32" s="2265"/>
      <c r="M32" s="2266"/>
    </row>
    <row r="33" ht="18" customHeight="1" spans="1:13">
      <c r="A33" s="2132" t="s">
        <v>971</v>
      </c>
      <c r="B33" s="2100" t="s">
        <v>1283</v>
      </c>
      <c r="C33" s="1065">
        <f ca="1">IF(项目基本情况!B11="自然人","——",IF(D33="按租金收入计税",ROUND(C6*F33/(1+'数据-取费表'!C42),2),IF(D33="按房产原值计税",ROUND(C29*F33*0.7,2),INDIRECT("'数据-取费表'!Aj"&amp;$G$1))))</f>
        <v>0</v>
      </c>
      <c r="D33" s="2160" t="s">
        <v>1284</v>
      </c>
      <c r="E33" s="2100" t="s">
        <v>1265</v>
      </c>
      <c r="F33" s="2141">
        <f>IF(D33="按票据","——",IF(D33="按租金收入计税",'数据-取费表'!B51,'数据-取费表'!B50))</f>
        <v>0.12</v>
      </c>
      <c r="G33" s="816"/>
      <c r="H33" s="2161"/>
      <c r="I33" s="2262"/>
      <c r="J33" s="2263"/>
      <c r="K33" s="2267"/>
      <c r="L33" s="2161"/>
      <c r="M33" s="2161"/>
    </row>
    <row r="34" ht="18" customHeight="1" spans="1:13">
      <c r="A34" s="2096" t="s">
        <v>974</v>
      </c>
      <c r="B34" s="2099" t="s">
        <v>1287</v>
      </c>
      <c r="C34" s="2162">
        <f ca="1">IF(项目基本情况!B11="自然人","——",ROUND(F34*F35/10000,2))</f>
        <v>0</v>
      </c>
      <c r="D34" s="2163" t="s">
        <v>1288</v>
      </c>
      <c r="E34" s="2100" t="s">
        <v>1289</v>
      </c>
      <c r="F34" s="2147">
        <f>'数据-取费表'!B52</f>
        <v>0</v>
      </c>
      <c r="G34" s="816"/>
      <c r="H34" s="2155"/>
      <c r="I34" s="2262"/>
      <c r="J34" s="2263"/>
      <c r="K34" s="2268"/>
      <c r="L34" s="2269"/>
      <c r="M34" s="2269"/>
    </row>
    <row r="35" ht="18" customHeight="1" spans="1:13">
      <c r="A35" s="2164"/>
      <c r="B35" s="2165"/>
      <c r="C35" s="2166"/>
      <c r="D35" s="2167"/>
      <c r="E35" s="2100" t="s">
        <v>1293</v>
      </c>
      <c r="F35" s="2101">
        <f ca="1">INDIRECT("'数据-取费表'!r"&amp;$G$1)</f>
        <v>0</v>
      </c>
      <c r="G35" s="816"/>
      <c r="H35" s="2155"/>
      <c r="I35" s="2262"/>
      <c r="J35" s="2263"/>
      <c r="K35" s="2267"/>
      <c r="L35" s="2161"/>
      <c r="M35" s="2161"/>
    </row>
    <row r="36" ht="18" customHeight="1" spans="1:13">
      <c r="A36" s="2168" t="s">
        <v>948</v>
      </c>
      <c r="B36" s="2100" t="s">
        <v>1295</v>
      </c>
      <c r="C36" s="1065">
        <f ca="1">ROUND(C29*F36,2)</f>
        <v>0</v>
      </c>
      <c r="D36" s="2157" t="s">
        <v>1329</v>
      </c>
      <c r="E36" s="2100" t="s">
        <v>1265</v>
      </c>
      <c r="F36" s="2169">
        <f ca="1">INDIRECT("'数据-取费表'!Ak"&amp;$G$1)</f>
        <v>0</v>
      </c>
      <c r="G36" s="816"/>
      <c r="H36" s="2161"/>
      <c r="I36" s="2262"/>
      <c r="J36" s="2263"/>
      <c r="K36" s="2270"/>
      <c r="L36" s="2161"/>
      <c r="M36" s="2161"/>
    </row>
    <row r="37" ht="18" customHeight="1" spans="1:13">
      <c r="A37" s="2132" t="s">
        <v>993</v>
      </c>
      <c r="B37" s="2100" t="s">
        <v>1299</v>
      </c>
      <c r="C37" s="1065">
        <f ca="1">ROUND(C13*F37,2)</f>
        <v>0</v>
      </c>
      <c r="D37" s="2157" t="s">
        <v>1300</v>
      </c>
      <c r="E37" s="2100" t="s">
        <v>1265</v>
      </c>
      <c r="F37" s="2170">
        <f ca="1">INDIRECT("'数据-取费表'!Al"&amp;$G$1)</f>
        <v>0</v>
      </c>
      <c r="G37" s="816"/>
      <c r="H37" s="2161"/>
      <c r="I37" s="2262"/>
      <c r="J37" s="2263"/>
      <c r="K37" s="2270"/>
      <c r="L37" s="2161"/>
      <c r="M37" s="2161"/>
    </row>
    <row r="38" ht="18" customHeight="1" spans="1:13">
      <c r="A38" s="2140" t="s">
        <v>996</v>
      </c>
      <c r="B38" s="2125" t="s">
        <v>1285</v>
      </c>
      <c r="C38" s="2149">
        <f ca="1">ROUND(C5*F38,2)</f>
        <v>0</v>
      </c>
      <c r="D38" s="2150" t="s">
        <v>1303</v>
      </c>
      <c r="E38" s="2125" t="s">
        <v>1265</v>
      </c>
      <c r="F38" s="2126">
        <f ca="1">INDIRECT("'数据-取费表'!Am"&amp;$G$1)</f>
        <v>0</v>
      </c>
      <c r="G38" s="816"/>
      <c r="H38" s="2161"/>
      <c r="I38" s="2262"/>
      <c r="J38" s="2263"/>
      <c r="K38" s="2271"/>
      <c r="L38" s="2161"/>
      <c r="M38" s="2161"/>
    </row>
    <row r="39" ht="24.6" customHeight="1" spans="1:13">
      <c r="A39" s="2127" t="s">
        <v>1306</v>
      </c>
      <c r="B39" s="2171" t="s">
        <v>1307</v>
      </c>
      <c r="C39" s="2129">
        <f ca="1">C5-C30</f>
        <v>0</v>
      </c>
      <c r="D39" s="2172" t="s">
        <v>1308</v>
      </c>
      <c r="E39" s="2173"/>
      <c r="F39" s="2174"/>
      <c r="G39" s="816"/>
      <c r="H39" s="2161"/>
      <c r="I39" s="2262"/>
      <c r="J39" s="2263"/>
      <c r="K39" s="2271"/>
      <c r="L39" s="2161"/>
      <c r="M39" s="2161"/>
    </row>
    <row r="40" ht="18" customHeight="1" spans="1:13">
      <c r="A40" s="2090" t="s">
        <v>1312</v>
      </c>
      <c r="B40" s="2091" t="s">
        <v>1330</v>
      </c>
      <c r="C40" s="2175" t="e">
        <f ca="1">ROUND(C39*(1-((1+F42)/(1+F40))^F41)/(F40-F42),0)</f>
        <v>#DIV/0!</v>
      </c>
      <c r="D40" s="2163" t="s">
        <v>1314</v>
      </c>
      <c r="E40" s="2100" t="s">
        <v>1315</v>
      </c>
      <c r="F40" s="2110">
        <f ca="1">INDIRECT("'数据-取费表'!I"&amp;$G$1)</f>
        <v>0</v>
      </c>
      <c r="G40" s="816"/>
      <c r="H40" s="2176"/>
      <c r="I40" s="2262"/>
      <c r="J40" s="2263"/>
      <c r="K40" s="2271"/>
      <c r="L40" s="2176"/>
      <c r="M40" s="2176"/>
    </row>
    <row r="41" ht="18" customHeight="1" spans="1:13">
      <c r="A41" s="2107"/>
      <c r="B41" s="2177"/>
      <c r="C41" s="2108"/>
      <c r="D41" s="2178" t="s">
        <v>1318</v>
      </c>
      <c r="E41" s="2100" t="s">
        <v>1319</v>
      </c>
      <c r="F41" s="2179">
        <f ca="1">IF(INDIRECT("'数据-取费表'!af"&amp;$G$1)=0,INDIRECT("'数据-取费表'!ae"&amp;$G$1),INDIRECT("'数据-取费表'!af"&amp;$G$1))</f>
        <v>0</v>
      </c>
      <c r="G41" s="816"/>
      <c r="H41" s="2180"/>
      <c r="I41" s="2262"/>
      <c r="J41" s="2263"/>
      <c r="K41" s="2270"/>
      <c r="L41" s="2180"/>
      <c r="M41" s="2180"/>
    </row>
    <row r="42" ht="18" customHeight="1" spans="1:13">
      <c r="A42" s="2115"/>
      <c r="B42" s="2181"/>
      <c r="C42" s="2129"/>
      <c r="D42" s="2167"/>
      <c r="E42" s="2100" t="s">
        <v>1322</v>
      </c>
      <c r="F42" s="2110">
        <f ca="1">INDIRECT("'数据-取费表'!v"&amp;$G$1)</f>
        <v>0</v>
      </c>
      <c r="G42" s="816"/>
      <c r="H42" s="2180"/>
      <c r="I42" s="2262"/>
      <c r="J42" s="2263"/>
      <c r="K42" s="2270"/>
      <c r="L42" s="2180"/>
      <c r="M42" s="2180"/>
    </row>
    <row r="43" ht="18" customHeight="1" spans="1:13">
      <c r="A43" s="2152" t="s">
        <v>1325</v>
      </c>
      <c r="B43" s="2182" t="s">
        <v>1331</v>
      </c>
      <c r="C43" s="2183" t="e">
        <f ca="1">ROUND(C40*10000/F43,0)</f>
        <v>#DIV/0!</v>
      </c>
      <c r="D43" s="2184" t="s">
        <v>1332</v>
      </c>
      <c r="E43" s="2185" t="s">
        <v>1333</v>
      </c>
      <c r="F43" s="2186">
        <f ca="1">INDIRECT("'数据-取费表'!k"&amp;$G$1)</f>
        <v>0</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187"/>
      <c r="B45" s="2187"/>
      <c r="C45" s="2188"/>
      <c r="D45" s="2187"/>
      <c r="E45" s="2187"/>
      <c r="F45" s="2187"/>
      <c r="J45" s="1099"/>
      <c r="O45" s="2273" t="s">
        <v>1336</v>
      </c>
      <c r="P45" s="2176"/>
      <c r="Q45" s="2176"/>
      <c r="R45" s="2176"/>
    </row>
    <row r="46" s="816" customFormat="1" ht="13.5" spans="1:18">
      <c r="A46" s="2189" t="s">
        <v>1337</v>
      </c>
      <c r="C46" s="2190" t="e">
        <f ca="1">C68-C40</f>
        <v>#DIV/0!</v>
      </c>
      <c r="D46" s="2191" t="str">
        <f>C2</f>
        <v>万元</v>
      </c>
      <c r="E46" s="2187"/>
      <c r="F46" s="2187"/>
      <c r="I46" s="2274" t="s">
        <v>1338</v>
      </c>
      <c r="J46" s="2275"/>
      <c r="K46" s="2276"/>
      <c r="L46" s="2277" t="e">
        <f ca="1">IF(M47="住宅",0,IF(L48&gt;J51,L60,J60))</f>
        <v>#DIV/0!</v>
      </c>
      <c r="O46" s="2278" t="s">
        <v>1339</v>
      </c>
      <c r="P46" s="2279" t="s">
        <v>1340</v>
      </c>
      <c r="Q46" s="2327" t="s">
        <v>1341</v>
      </c>
      <c r="R46" s="2327" t="s">
        <v>1342</v>
      </c>
    </row>
    <row r="47" s="816" customFormat="1" ht="13.5" spans="1:18">
      <c r="A47" s="2192" t="s">
        <v>1234</v>
      </c>
      <c r="B47" s="2193" t="s">
        <v>1235</v>
      </c>
      <c r="C47" s="2194" t="s">
        <v>1236</v>
      </c>
      <c r="D47" s="2193" t="s">
        <v>1237</v>
      </c>
      <c r="E47" s="2195" t="s">
        <v>1238</v>
      </c>
      <c r="F47" s="1058"/>
      <c r="G47" s="2196"/>
      <c r="I47" s="2280" t="s">
        <v>1343</v>
      </c>
      <c r="J47" s="2281"/>
      <c r="K47" s="2282" t="s">
        <v>1344</v>
      </c>
      <c r="L47" s="2283">
        <f ca="1">INDIRECT("'数据-取费表'!d"&amp;$G$1)</f>
        <v>0</v>
      </c>
      <c r="M47" s="2284" t="str">
        <f>IF(ISNUMBER(FIND("住宅",C1)),"住宅","非住宅")</f>
        <v>非住宅</v>
      </c>
      <c r="O47" s="2285" t="s">
        <v>1049</v>
      </c>
      <c r="P47" s="2286" t="s">
        <v>1345</v>
      </c>
      <c r="Q47" s="2328" t="e">
        <f ca="1">C40+J29</f>
        <v>#DIV/0!</v>
      </c>
      <c r="R47" s="2328" t="s">
        <v>1346</v>
      </c>
    </row>
    <row r="48" s="816" customFormat="1" ht="26.25" spans="1:18">
      <c r="A48" s="2197" t="s">
        <v>1347</v>
      </c>
      <c r="B48" s="2091" t="s">
        <v>1239</v>
      </c>
      <c r="C48" s="1066">
        <f ca="1">C49+C53+C55</f>
        <v>0</v>
      </c>
      <c r="D48" s="2198"/>
      <c r="E48" s="2199"/>
      <c r="F48" s="2200"/>
      <c r="G48" s="2196"/>
      <c r="H48" s="2201"/>
      <c r="I48" s="2287" t="s">
        <v>1348</v>
      </c>
      <c r="J48" s="2288"/>
      <c r="K48" s="2289" t="s">
        <v>1350</v>
      </c>
      <c r="L48" s="2290">
        <f ca="1">INDIRECT("'数据-取费表'!f"&amp;$G$1)</f>
        <v>0</v>
      </c>
      <c r="O48" s="2285" t="s">
        <v>1052</v>
      </c>
      <c r="P48" s="2286" t="s">
        <v>1351</v>
      </c>
      <c r="Q48" s="2328" t="e">
        <f ca="1">J60</f>
        <v>#DIV/0!</v>
      </c>
      <c r="R48" s="2328" t="s">
        <v>1352</v>
      </c>
    </row>
    <row r="49" s="816" customFormat="1" ht="13.5" spans="1:18">
      <c r="A49" s="2202" t="s">
        <v>1353</v>
      </c>
      <c r="B49" s="2203" t="s">
        <v>1354</v>
      </c>
      <c r="C49" s="2204">
        <f ca="1">ROUND(F49*F51*F50*(1-F52)/10000,0)</f>
        <v>0</v>
      </c>
      <c r="D49" s="2205" t="s">
        <v>1485</v>
      </c>
      <c r="E49" s="2206" t="s">
        <v>1356</v>
      </c>
      <c r="F49" s="2207"/>
      <c r="G49" s="2208"/>
      <c r="H49" s="2201"/>
      <c r="I49" s="2287" t="s">
        <v>1357</v>
      </c>
      <c r="J49" s="2291"/>
      <c r="K49" s="2289" t="s">
        <v>1358</v>
      </c>
      <c r="L49" s="2292"/>
      <c r="O49" s="2293" t="s">
        <v>1359</v>
      </c>
      <c r="P49" s="2286" t="s">
        <v>1360</v>
      </c>
      <c r="Q49" s="2328">
        <f ca="1">C29</f>
        <v>0</v>
      </c>
      <c r="R49" s="2328" t="s">
        <v>1346</v>
      </c>
    </row>
    <row r="50" s="816" customFormat="1" ht="13.5" spans="1:18">
      <c r="A50" s="2209"/>
      <c r="B50" s="2210"/>
      <c r="C50" s="2211"/>
      <c r="D50" s="2212"/>
      <c r="E50" s="2213" t="s">
        <v>1245</v>
      </c>
      <c r="F50" s="2214">
        <f ca="1">F7</f>
        <v>0</v>
      </c>
      <c r="H50" s="2201"/>
      <c r="I50" s="2287" t="s">
        <v>1361</v>
      </c>
      <c r="J50" s="2294">
        <f>SUMPRODUCT((I63:I65=J47)*(J62:L62=J48)*(J63:L65))</f>
        <v>0</v>
      </c>
      <c r="K50" s="2289" t="s">
        <v>1362</v>
      </c>
      <c r="L50" s="2292"/>
      <c r="M50" s="2295"/>
      <c r="O50" s="2293" t="s">
        <v>1363</v>
      </c>
      <c r="P50" s="2286" t="s">
        <v>1364</v>
      </c>
      <c r="Q50" s="2329" t="e">
        <f ca="1">J58</f>
        <v>#DIV/0!</v>
      </c>
      <c r="R50" s="2328"/>
    </row>
    <row r="51" s="816" customFormat="1" ht="13.5" spans="1:18">
      <c r="A51" s="2215"/>
      <c r="B51" s="2210"/>
      <c r="C51" s="2216"/>
      <c r="D51" s="2212"/>
      <c r="E51" s="2217" t="s">
        <v>1246</v>
      </c>
      <c r="F51" s="2101">
        <f ca="1">F8</f>
        <v>0</v>
      </c>
      <c r="I51" s="2296" t="s">
        <v>1365</v>
      </c>
      <c r="J51" s="2297">
        <f>IF(J49="",J50,J49+J50-YEAR('数据-取费表'!B2))</f>
        <v>0</v>
      </c>
      <c r="K51" s="2298" t="s">
        <v>1366</v>
      </c>
      <c r="L51" s="2299">
        <f ca="1">ROUND(-PV(INDIRECT("'数据-取费表'!h"&amp;$G$1),J51,(C39-C13*C76),0),0)</f>
        <v>0</v>
      </c>
      <c r="M51" s="2300"/>
      <c r="O51" s="2293" t="s">
        <v>1367</v>
      </c>
      <c r="P51" s="2286" t="s">
        <v>1368</v>
      </c>
      <c r="Q51" s="2329">
        <f>J52</f>
        <v>0</v>
      </c>
      <c r="R51" s="2328"/>
    </row>
    <row r="52" s="816" customFormat="1" ht="13.5" spans="1:18">
      <c r="A52" s="2215"/>
      <c r="B52" s="2210"/>
      <c r="C52" s="2216"/>
      <c r="D52" s="2212"/>
      <c r="E52" s="2217" t="s">
        <v>1247</v>
      </c>
      <c r="F52" s="2218"/>
      <c r="I52" s="2301" t="s">
        <v>1369</v>
      </c>
      <c r="J52" s="2302"/>
      <c r="K52" s="2301" t="s">
        <v>1370</v>
      </c>
      <c r="L52" s="2302"/>
      <c r="O52" s="2293" t="s">
        <v>1371</v>
      </c>
      <c r="P52" s="2286" t="s">
        <v>1372</v>
      </c>
      <c r="Q52" s="2328">
        <f ca="1">J53</f>
        <v>0</v>
      </c>
      <c r="R52" s="2328" t="s">
        <v>1373</v>
      </c>
    </row>
    <row r="53" s="816" customFormat="1" ht="24.75" spans="1:18">
      <c r="A53" s="2219" t="s">
        <v>1374</v>
      </c>
      <c r="B53" s="2220" t="s">
        <v>1248</v>
      </c>
      <c r="C53" s="1064">
        <f ca="1">ROUND(IF(F53="押一",C49/12*F11,IF(F53="押二",C49/12*2*F11,IF(F53="押三",C49/12*3*F11,C54*F11))),0)</f>
        <v>0</v>
      </c>
      <c r="D53" s="2112" t="s">
        <v>1249</v>
      </c>
      <c r="E53" s="2113" t="s">
        <v>1250</v>
      </c>
      <c r="F53" s="2114"/>
      <c r="I53" s="2303" t="s">
        <v>1376</v>
      </c>
      <c r="J53" s="2304">
        <f ca="1">IF(M47="住宅",IF(D1="——",MAX(J51,L48),MAX(J51,L48-'数据-取费表'!B24)),IF(D1="——",MIN(J51,L48),MIN(J51,L48-'数据-取费表'!B24)))</f>
        <v>0</v>
      </c>
      <c r="K53" s="2305" t="s">
        <v>1377</v>
      </c>
      <c r="L53" s="2306"/>
      <c r="O53" s="2285" t="s">
        <v>1378</v>
      </c>
      <c r="P53" s="2286" t="s">
        <v>1379</v>
      </c>
      <c r="Q53" s="2328" t="e">
        <f ca="1">Q47+Q48</f>
        <v>#DIV/0!</v>
      </c>
      <c r="R53" s="2328" t="s">
        <v>1380</v>
      </c>
    </row>
    <row r="54" s="816" customFormat="1" ht="13.5" spans="1:18">
      <c r="A54" s="2221"/>
      <c r="B54" s="2116" t="s">
        <v>1486</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8"/>
      <c r="K54" s="2308"/>
      <c r="L54" s="2308"/>
      <c r="M54" s="2208"/>
      <c r="O54" s="2309" t="s">
        <v>1381</v>
      </c>
      <c r="P54" s="2310"/>
      <c r="Q54" s="2310"/>
      <c r="R54" s="2310"/>
    </row>
    <row r="55" s="816" customFormat="1" ht="13.5" spans="1:18">
      <c r="A55" s="2121" t="s">
        <v>993</v>
      </c>
      <c r="B55" s="2122" t="s">
        <v>1256</v>
      </c>
      <c r="C55" s="2123"/>
      <c r="D55" s="2112"/>
      <c r="E55" s="2222"/>
      <c r="F55" s="2223"/>
      <c r="I55" s="2311" t="s">
        <v>1382</v>
      </c>
      <c r="J55" s="2312" t="e">
        <f ca="1">ROUND(IF(J47="钢混",J57/J50,1-(1-2%)*(J50-J57)/J50),3)</f>
        <v>#DIV/0!</v>
      </c>
      <c r="K55" s="2313" t="s">
        <v>1383</v>
      </c>
      <c r="L55" s="2314"/>
      <c r="O55" s="2278" t="s">
        <v>1339</v>
      </c>
      <c r="P55" s="2279" t="s">
        <v>1340</v>
      </c>
      <c r="Q55" s="2327" t="s">
        <v>1341</v>
      </c>
      <c r="R55" s="2327" t="s">
        <v>1342</v>
      </c>
    </row>
    <row r="56" s="816" customFormat="1" ht="25.5" spans="1:18">
      <c r="A56" s="2224">
        <v>2</v>
      </c>
      <c r="B56" s="2225" t="s">
        <v>1257</v>
      </c>
      <c r="C56" s="438">
        <f ca="1">C13</f>
        <v>0</v>
      </c>
      <c r="D56" s="2226"/>
      <c r="E56" s="2227"/>
      <c r="F56" s="2223"/>
      <c r="I56" s="2315" t="s">
        <v>1384</v>
      </c>
      <c r="J56" s="2316"/>
      <c r="K56" s="2287" t="s">
        <v>1386</v>
      </c>
      <c r="L56" s="2290">
        <f ca="1">IF(L48&lt;J51,"——",L48-J53)</f>
        <v>0</v>
      </c>
      <c r="O56" s="2285" t="s">
        <v>1049</v>
      </c>
      <c r="P56" s="2286" t="s">
        <v>1345</v>
      </c>
      <c r="Q56" s="2328" t="e">
        <f ca="1">C40+J29</f>
        <v>#DIV/0!</v>
      </c>
      <c r="R56" s="2328" t="s">
        <v>1346</v>
      </c>
    </row>
    <row r="57" s="816" customFormat="1" ht="24.75" spans="1:18">
      <c r="A57" s="2228"/>
      <c r="B57" s="2229" t="s">
        <v>1324</v>
      </c>
      <c r="C57" s="448">
        <f ca="1">C29</f>
        <v>0</v>
      </c>
      <c r="D57" s="2230"/>
      <c r="E57" s="2231"/>
      <c r="F57" s="2232"/>
      <c r="I57" s="2317" t="s">
        <v>1387</v>
      </c>
      <c r="J57" s="2318">
        <f ca="1">IF(OR(M47="住宅",J51&lt;L48,J56="是"),"——",J51-L48)</f>
        <v>0</v>
      </c>
      <c r="K57" s="2287" t="s">
        <v>1487</v>
      </c>
      <c r="L57" s="2290">
        <f ca="1">IF(L48&lt;J51,"——",IF(L55="比较法",L49,IF(L55="基准地价",L50,L51)))</f>
        <v>0</v>
      </c>
      <c r="O57" s="2285" t="s">
        <v>1052</v>
      </c>
      <c r="P57" s="2286" t="s">
        <v>1389</v>
      </c>
      <c r="Q57" s="2328" t="e">
        <f ca="1">L60</f>
        <v>#DIV/0!</v>
      </c>
      <c r="R57" s="2328" t="s">
        <v>1390</v>
      </c>
    </row>
    <row r="58" s="816" customFormat="1" ht="24.75" spans="1:18">
      <c r="A58" s="2233" t="s">
        <v>1267</v>
      </c>
      <c r="B58" s="2225" t="s">
        <v>1268</v>
      </c>
      <c r="C58" s="1064">
        <f ca="1">ROUND(C59+C64+C65+C66,0)</f>
        <v>0</v>
      </c>
      <c r="D58" s="2234" t="s">
        <v>1269</v>
      </c>
      <c r="E58" s="2235"/>
      <c r="F58" s="2200"/>
      <c r="I58" s="2317" t="s">
        <v>1391</v>
      </c>
      <c r="J58" s="2319" t="e">
        <f ca="1">IF(J55&lt;0.4,0.4,J55)</f>
        <v>#DIV/0!</v>
      </c>
      <c r="K58" s="2298" t="s">
        <v>1488</v>
      </c>
      <c r="L58" s="2290" t="e">
        <f ca="1">ROUND(POWER(1+L52,L47-L48)*(POWER(1+L52,L48)-1)/(POWER(1+L52,L47)-1),4)</f>
        <v>#DIV/0!</v>
      </c>
      <c r="O58" s="2293" t="s">
        <v>1359</v>
      </c>
      <c r="P58" s="2286" t="s">
        <v>1393</v>
      </c>
      <c r="Q58" s="2328">
        <f>IF(L55="比较法",L49,IF(L55="基准地价",L50,0))</f>
        <v>0</v>
      </c>
      <c r="R58" s="2328" t="s">
        <v>1346</v>
      </c>
    </row>
    <row r="59" s="816" customFormat="1" ht="24.75" spans="1:18">
      <c r="A59" s="2132" t="s">
        <v>944</v>
      </c>
      <c r="B59" s="2229" t="s">
        <v>1274</v>
      </c>
      <c r="C59" s="2156">
        <f ca="1">ROUND(IF(AND(项目基本情况!B11="自然人",项目基本情况!B10="北京市"),C49*F59/(1+'数据-取费表'!C42),C60+C61+C62),0)</f>
        <v>0</v>
      </c>
      <c r="D59" s="2236" t="s">
        <v>1275</v>
      </c>
      <c r="E59" s="2237" t="s">
        <v>1276</v>
      </c>
      <c r="F59" s="2158" t="str">
        <f ca="1">IF(项目基本情况!B11="企业","——",IF('数据-取费表'!B10="住宅",IF(F49*F50*F51/12/(1+'数据-取费表'!F30)&gt;100000,4%,2.5%),IF(F49*F50*F51/12/(1+'数据-取费表'!F30)&gt;100000,12%,7%)))</f>
        <v>——</v>
      </c>
      <c r="I59" s="2317" t="s">
        <v>1394</v>
      </c>
      <c r="J59" s="2318" t="e">
        <f ca="1">IF(OR(M47="住宅",J51&lt;L48,J56="是"),"——",ROUND(C29*J58,0))</f>
        <v>#DIV/0!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284" t="e">
        <f ca="1">ROUND(POWER(1+L52,L47-(J51+'数据-取费表'!B24))*(POWER(1+L52,(J51+'数据-取费表'!B24))-1)/(POWER(1+L52,L47)-1),4)</f>
        <v>#DIV/0!</v>
      </c>
      <c r="N59" s="2284" t="e">
        <f ca="1">ROUND(POWER(1+L52,L47-(J51+'数据-取费表'!B20))*(POWER(1+L52,(J51+'数据-取费表'!B20))-1)/(POWER(1+L52,L47)-1),4)</f>
        <v>#DIV/0!</v>
      </c>
      <c r="O59" s="2293" t="s">
        <v>1363</v>
      </c>
      <c r="P59" s="2286" t="s">
        <v>1395</v>
      </c>
      <c r="Q59" s="2329">
        <f>L52</f>
        <v>0</v>
      </c>
      <c r="R59" s="2328"/>
    </row>
    <row r="60" s="816" customFormat="1" ht="17.25" spans="1:18">
      <c r="A60" s="2132" t="s">
        <v>967</v>
      </c>
      <c r="B60" s="2229" t="s">
        <v>1279</v>
      </c>
      <c r="C60" s="1065">
        <f ca="1">IF(项目基本情况!B11="自然人","——",ROUND(C48*F60/(1+'数据-取费表'!C42),2))</f>
        <v>0</v>
      </c>
      <c r="D60" s="2237" t="s">
        <v>1280</v>
      </c>
      <c r="E60" s="2229" t="s">
        <v>1265</v>
      </c>
      <c r="F60" s="2148">
        <f t="shared" ref="F60:F66" si="0">F32</f>
        <v>0.056</v>
      </c>
      <c r="I60" s="2320" t="s">
        <v>1396</v>
      </c>
      <c r="J60" s="2321" t="e">
        <f ca="1">IF(OR(M47="住宅",J51&lt;L48,J56="是"),"0",ROUND(J59/(1+J52)^J53,0))</f>
        <v>#DIV/0!</v>
      </c>
      <c r="K60" s="2322" t="s">
        <v>1397</v>
      </c>
      <c r="L60" s="2321" t="e">
        <f ca="1">IF(OR(M47="住宅",L48&lt;J51),0,ROUND(L57*(L58/L59-1),0))</f>
        <v>#DIV/0!</v>
      </c>
      <c r="O60" s="2293" t="s">
        <v>1367</v>
      </c>
      <c r="P60" s="2286" t="s">
        <v>1398</v>
      </c>
      <c r="Q60" s="2328" t="e">
        <f ca="1">L58</f>
        <v>#DIV/0!</v>
      </c>
      <c r="R60" s="2328" t="s">
        <v>1399</v>
      </c>
    </row>
    <row r="61" s="816" customFormat="1" ht="13.5" spans="1:18">
      <c r="A61" s="2132" t="s">
        <v>971</v>
      </c>
      <c r="B61" s="2229" t="s">
        <v>1283</v>
      </c>
      <c r="C61" s="1065">
        <f ca="1">IF(项目基本情况!B11="自然人","——",IF(D61="按租金收入计税",ROUND(C49*F61/(1+'数据-取费表'!C42),2),IF(D61="按房产原值计税",ROUND(C57*F61*0.7,2),INDIRECT("'数据-取费表'!Aj"&amp;$G$1))))</f>
        <v>0</v>
      </c>
      <c r="D61" s="2160" t="s">
        <v>1284</v>
      </c>
      <c r="E61" s="2229" t="s">
        <v>1265</v>
      </c>
      <c r="F61" s="2141">
        <f t="shared" si="0"/>
        <v>0.12</v>
      </c>
      <c r="I61" s="2176"/>
      <c r="J61" s="2176"/>
      <c r="K61" s="2176"/>
      <c r="L61" s="2176"/>
      <c r="O61" s="2293" t="s">
        <v>1371</v>
      </c>
      <c r="P61" s="2286" t="str">
        <f>K59</f>
        <v>建筑物剩余耐用年限下的土地年期修正系数Kn</v>
      </c>
      <c r="Q61" s="2328" t="e">
        <f ca="1">L59</f>
        <v>#DIV/0!</v>
      </c>
      <c r="R61" s="2328" t="s">
        <v>1400</v>
      </c>
    </row>
    <row r="62" s="816" customFormat="1" ht="13.5" spans="1:18">
      <c r="A62" s="2132" t="s">
        <v>974</v>
      </c>
      <c r="B62" s="2238" t="s">
        <v>1287</v>
      </c>
      <c r="C62" s="2162">
        <f ca="1">IF(项目基本情况!B11="自然人","——",ROUND(F62*F63/10000,2))</f>
        <v>0</v>
      </c>
      <c r="D62" s="2239" t="s">
        <v>1288</v>
      </c>
      <c r="E62" s="2229" t="s">
        <v>1289</v>
      </c>
      <c r="F62" s="2147">
        <f t="shared" si="0"/>
        <v>0</v>
      </c>
      <c r="I62" s="2323" t="s">
        <v>1401</v>
      </c>
      <c r="J62" s="2324" t="s">
        <v>1402</v>
      </c>
      <c r="K62" s="2324" t="s">
        <v>1403</v>
      </c>
      <c r="L62" s="2324" t="s">
        <v>1404</v>
      </c>
      <c r="M62" s="2325" t="s">
        <v>1405</v>
      </c>
      <c r="O62" s="2285" t="s">
        <v>1378</v>
      </c>
      <c r="P62" s="2286" t="s">
        <v>1379</v>
      </c>
      <c r="Q62" s="2328" t="e">
        <f ca="1">Q56+Q57</f>
        <v>#DIV/0!</v>
      </c>
      <c r="R62" s="2328" t="s">
        <v>1380</v>
      </c>
    </row>
    <row r="63" s="816" customFormat="1" ht="13.5" spans="1:18">
      <c r="A63" s="2145"/>
      <c r="B63" s="2240"/>
      <c r="C63" s="2166"/>
      <c r="D63" s="2241"/>
      <c r="E63" s="2229" t="s">
        <v>1293</v>
      </c>
      <c r="F63" s="2101">
        <f ca="1" t="shared" si="0"/>
        <v>0</v>
      </c>
      <c r="I63" s="2323" t="s">
        <v>1406</v>
      </c>
      <c r="J63" s="2324">
        <v>70</v>
      </c>
      <c r="K63" s="2324">
        <v>50</v>
      </c>
      <c r="L63" s="2324">
        <v>80</v>
      </c>
      <c r="M63" s="2326">
        <v>0.02</v>
      </c>
      <c r="O63" s="2309" t="s">
        <v>1407</v>
      </c>
      <c r="P63" s="2310"/>
      <c r="Q63" s="2310"/>
      <c r="R63" s="2310"/>
    </row>
    <row r="64" s="816" customFormat="1" ht="13.5" spans="1:18">
      <c r="A64" s="2132" t="s">
        <v>948</v>
      </c>
      <c r="B64" s="2229" t="s">
        <v>1295</v>
      </c>
      <c r="C64" s="1065">
        <f ca="1">ROUND(C57*F64,2)</f>
        <v>0</v>
      </c>
      <c r="D64" s="2237" t="s">
        <v>1329</v>
      </c>
      <c r="E64" s="2229" t="s">
        <v>1265</v>
      </c>
      <c r="F64" s="2169">
        <f ca="1" t="shared" si="0"/>
        <v>0</v>
      </c>
      <c r="I64" s="2323" t="s">
        <v>1408</v>
      </c>
      <c r="J64" s="2324">
        <v>50</v>
      </c>
      <c r="K64" s="2324">
        <v>35</v>
      </c>
      <c r="L64" s="2324">
        <v>60</v>
      </c>
      <c r="M64" s="2325">
        <v>0</v>
      </c>
      <c r="O64" s="2278" t="s">
        <v>1339</v>
      </c>
      <c r="P64" s="2279" t="s">
        <v>1340</v>
      </c>
      <c r="Q64" s="2327" t="s">
        <v>1341</v>
      </c>
      <c r="R64" s="2327" t="s">
        <v>1342</v>
      </c>
    </row>
    <row r="65" s="816" customFormat="1" ht="13.5" spans="1:18">
      <c r="A65" s="2132" t="s">
        <v>993</v>
      </c>
      <c r="B65" s="2229" t="s">
        <v>1299</v>
      </c>
      <c r="C65" s="1065">
        <f ca="1">ROUND(C56*F65,2)</f>
        <v>0</v>
      </c>
      <c r="D65" s="2237" t="s">
        <v>1300</v>
      </c>
      <c r="E65" s="2229" t="s">
        <v>1265</v>
      </c>
      <c r="F65" s="2170">
        <f ca="1" t="shared" si="0"/>
        <v>0</v>
      </c>
      <c r="I65" s="2323" t="s">
        <v>1409</v>
      </c>
      <c r="J65" s="2324">
        <v>40</v>
      </c>
      <c r="K65" s="2324">
        <v>30</v>
      </c>
      <c r="L65" s="2324">
        <v>50</v>
      </c>
      <c r="M65" s="2326">
        <v>0.02</v>
      </c>
      <c r="O65" s="2285" t="s">
        <v>1049</v>
      </c>
      <c r="P65" s="2286" t="s">
        <v>1345</v>
      </c>
      <c r="Q65" s="2328" t="e">
        <f ca="1">C40+J29</f>
        <v>#DIV/0!</v>
      </c>
      <c r="R65" s="2328" t="s">
        <v>1346</v>
      </c>
    </row>
    <row r="66" s="816" customFormat="1" ht="17.25" spans="1:18">
      <c r="A66" s="2132" t="s">
        <v>996</v>
      </c>
      <c r="B66" s="2229" t="s">
        <v>1285</v>
      </c>
      <c r="C66" s="1065">
        <f ca="1">ROUND(C48*F66,2)</f>
        <v>0</v>
      </c>
      <c r="D66" s="2237" t="s">
        <v>1303</v>
      </c>
      <c r="E66" s="2229" t="s">
        <v>1265</v>
      </c>
      <c r="F66" s="2110">
        <f ca="1" t="shared" si="0"/>
        <v>0</v>
      </c>
      <c r="O66" s="2285" t="s">
        <v>1052</v>
      </c>
      <c r="P66" s="2286" t="s">
        <v>1389</v>
      </c>
      <c r="Q66" s="2328" t="e">
        <f ca="1">L60</f>
        <v>#DIV/0!</v>
      </c>
      <c r="R66" s="2328" t="s">
        <v>1390</v>
      </c>
    </row>
    <row r="67" s="816" customFormat="1" ht="17.25" spans="1:18">
      <c r="A67" s="2224" t="s">
        <v>1306</v>
      </c>
      <c r="B67" s="2330" t="s">
        <v>1307</v>
      </c>
      <c r="C67" s="1064">
        <f ca="1">C48-C58</f>
        <v>0</v>
      </c>
      <c r="D67" s="2236" t="s">
        <v>1308</v>
      </c>
      <c r="E67" s="2331"/>
      <c r="F67" s="2332"/>
      <c r="O67" s="2293" t="s">
        <v>1359</v>
      </c>
      <c r="P67" s="2286" t="s">
        <v>1393</v>
      </c>
      <c r="Q67" s="2352">
        <f ca="1">L51</f>
        <v>0</v>
      </c>
      <c r="R67" s="2328" t="s">
        <v>1410</v>
      </c>
    </row>
    <row r="68" s="816" customFormat="1" ht="17.25" spans="1:18">
      <c r="A68" s="2333" t="s">
        <v>1312</v>
      </c>
      <c r="B68" s="2334" t="s">
        <v>1330</v>
      </c>
      <c r="C68" s="2175" t="e">
        <f ca="1">ROUND(C67*(1-((1+F70)/(1+F68))^F69)/(F68-F70),0)</f>
        <v>#DIV/0!</v>
      </c>
      <c r="D68" s="2239" t="s">
        <v>1314</v>
      </c>
      <c r="E68" s="2229" t="s">
        <v>1315</v>
      </c>
      <c r="F68" s="2110">
        <f ca="1">F40</f>
        <v>0</v>
      </c>
      <c r="O68" s="2293" t="s">
        <v>1363</v>
      </c>
      <c r="P68" s="2351" t="s">
        <v>1411</v>
      </c>
      <c r="Q68" s="2328">
        <f ca="1">ROUND(Q69-Q70*Q71,0)</f>
        <v>0</v>
      </c>
      <c r="R68" s="2328" t="s">
        <v>1412</v>
      </c>
    </row>
    <row r="69" s="816" customFormat="1" ht="13.5" spans="1:18">
      <c r="A69" s="2335"/>
      <c r="B69" s="2336"/>
      <c r="C69" s="2108"/>
      <c r="D69" s="2337" t="s">
        <v>1318</v>
      </c>
      <c r="E69" s="2229" t="s">
        <v>1319</v>
      </c>
      <c r="F69" s="2179">
        <f ca="1">F41</f>
        <v>0</v>
      </c>
      <c r="O69" s="2293" t="s">
        <v>1413</v>
      </c>
      <c r="P69" s="2351" t="s">
        <v>1414</v>
      </c>
      <c r="Q69" s="2328">
        <f ca="1">C39</f>
        <v>0</v>
      </c>
      <c r="R69" s="2328" t="s">
        <v>1346</v>
      </c>
    </row>
    <row r="70" s="816" customFormat="1" ht="13.5" spans="1:18">
      <c r="A70" s="2338"/>
      <c r="B70" s="2339"/>
      <c r="C70" s="2129"/>
      <c r="D70" s="2241"/>
      <c r="E70" s="2229" t="s">
        <v>1322</v>
      </c>
      <c r="F70" s="2218"/>
      <c r="O70" s="2293" t="s">
        <v>1415</v>
      </c>
      <c r="P70" s="2351" t="s">
        <v>1416</v>
      </c>
      <c r="Q70" s="2328">
        <f ca="1">C13</f>
        <v>0</v>
      </c>
      <c r="R70" s="2328" t="s">
        <v>1346</v>
      </c>
    </row>
    <row r="71" s="816" customFormat="1" ht="13.5" spans="1:18">
      <c r="A71" s="2340" t="s">
        <v>1325</v>
      </c>
      <c r="B71" s="2341" t="s">
        <v>1331</v>
      </c>
      <c r="C71" s="2183" t="e">
        <f ca="1">ROUND(C68*10000/F71,0)</f>
        <v>#DIV/0!</v>
      </c>
      <c r="D71" s="2342" t="s">
        <v>1332</v>
      </c>
      <c r="E71" s="2343" t="s">
        <v>1333</v>
      </c>
      <c r="F71" s="2186">
        <f ca="1">F43</f>
        <v>0</v>
      </c>
      <c r="O71" s="2293" t="s">
        <v>1417</v>
      </c>
      <c r="P71" s="2351" t="s">
        <v>1418</v>
      </c>
      <c r="Q71" s="2329">
        <f ca="1">C76</f>
        <v>0</v>
      </c>
      <c r="R71" s="2328"/>
    </row>
    <row r="72" s="816" customFormat="1" ht="13.5" spans="2:18">
      <c r="B72" s="1099"/>
      <c r="C72" s="1099"/>
      <c r="O72" s="2293" t="s">
        <v>1367</v>
      </c>
      <c r="P72" s="2286" t="s">
        <v>1395</v>
      </c>
      <c r="Q72" s="2329">
        <f>L52</f>
        <v>0</v>
      </c>
      <c r="R72" s="2328"/>
    </row>
    <row r="73" ht="17.25" spans="1:18">
      <c r="A73" s="816"/>
      <c r="B73" s="1099"/>
      <c r="C73" s="1099"/>
      <c r="D73" s="816"/>
      <c r="E73" s="816"/>
      <c r="F73" s="816"/>
      <c r="O73" s="2293" t="s">
        <v>1371</v>
      </c>
      <c r="P73" s="2286" t="s">
        <v>1398</v>
      </c>
      <c r="Q73" s="2328" t="e">
        <f ca="1">L58</f>
        <v>#DIV/0!</v>
      </c>
      <c r="R73" s="2328" t="s">
        <v>1399</v>
      </c>
    </row>
    <row r="74" ht="13.5" spans="1:18">
      <c r="A74" s="816"/>
      <c r="B74" s="483" t="s">
        <v>1419</v>
      </c>
      <c r="C74" s="2344"/>
      <c r="D74" s="816"/>
      <c r="E74" s="816"/>
      <c r="F74" s="816"/>
      <c r="O74" s="2293" t="s">
        <v>1420</v>
      </c>
      <c r="P74" s="2286" t="str">
        <f>K59</f>
        <v>建筑物剩余耐用年限下的土地年期修正系数Kn</v>
      </c>
      <c r="Q74" s="2328" t="e">
        <f ca="1">L59</f>
        <v>#DIV/0!</v>
      </c>
      <c r="R74" s="2328" t="s">
        <v>1400</v>
      </c>
    </row>
    <row r="75" ht="13.5" spans="1:18">
      <c r="A75" s="816"/>
      <c r="B75" s="2345" t="s">
        <v>1421</v>
      </c>
      <c r="C75" s="2346">
        <f ca="1">ROUND(C13*C76,0)</f>
        <v>0</v>
      </c>
      <c r="D75" s="816"/>
      <c r="E75" s="816"/>
      <c r="F75" s="816"/>
      <c r="K75" s="2272"/>
      <c r="L75" s="816"/>
      <c r="O75" s="2285" t="s">
        <v>1378</v>
      </c>
      <c r="P75" s="2286" t="s">
        <v>1379</v>
      </c>
      <c r="Q75" s="2328" t="e">
        <f ca="1">Q65+Q66</f>
        <v>#DIV/0!</v>
      </c>
      <c r="R75" s="2328" t="s">
        <v>1380</v>
      </c>
    </row>
    <row r="76" spans="2:12">
      <c r="B76" s="592" t="s">
        <v>1422</v>
      </c>
      <c r="C76" s="2347">
        <f ca="1">INDIRECT("'数据-取费表'!j"&amp;$G$1)</f>
        <v>0</v>
      </c>
      <c r="I76" s="816"/>
      <c r="J76" s="816"/>
      <c r="K76" s="2272"/>
      <c r="L76" s="816"/>
    </row>
    <row r="77" spans="2:12">
      <c r="B77" s="2348" t="s">
        <v>1423</v>
      </c>
      <c r="C77" s="2349"/>
      <c r="I77" s="816"/>
      <c r="J77" s="816"/>
      <c r="K77" s="2272"/>
      <c r="L77" s="816"/>
    </row>
    <row r="78" spans="2:3">
      <c r="B78" s="481" t="s">
        <v>1424</v>
      </c>
      <c r="C78" s="2350"/>
    </row>
    <row r="79" spans="2:3">
      <c r="B79" s="2345" t="s">
        <v>1425</v>
      </c>
      <c r="C79" s="484" t="e">
        <f ca="1">1-C80</f>
        <v>#DIV/0!</v>
      </c>
    </row>
    <row r="80" spans="2:3">
      <c r="B80" s="2345" t="s">
        <v>1426</v>
      </c>
      <c r="C80" s="484" t="e">
        <f ca="1">ROUND(C75/C39,3)</f>
        <v>#DIV/0!</v>
      </c>
    </row>
    <row r="81" spans="2:3">
      <c r="B81" s="481" t="s">
        <v>1427</v>
      </c>
      <c r="C81" s="448"/>
    </row>
    <row r="82" spans="2:3">
      <c r="B82" s="483" t="s">
        <v>1128</v>
      </c>
      <c r="C82" s="485" t="e">
        <f ca="1">1-C83</f>
        <v>#DIV/0!</v>
      </c>
    </row>
    <row r="83" spans="2:3">
      <c r="B83" s="483" t="s">
        <v>1129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78" customWidth="1"/>
    <col min="2" max="2" width="8.875" style="1878"/>
    <col min="3" max="5" width="12.875" style="1878" customWidth="1"/>
    <col min="6" max="6" width="47.5" style="1878" customWidth="1"/>
    <col min="7" max="7" width="13" style="1879"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8"/>
    <col min="257" max="257" width="9.5" style="1878" customWidth="1"/>
    <col min="258" max="258" width="8.875" style="1878"/>
    <col min="259" max="261" width="12.875" style="1878" customWidth="1"/>
    <col min="262" max="262" width="47.5" style="1878" customWidth="1"/>
    <col min="263" max="263" width="13" style="1878" customWidth="1"/>
    <col min="264" max="265" width="8.875"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25" style="1878" customWidth="1"/>
    <col min="275" max="275" width="10" style="1878" customWidth="1"/>
    <col min="276" max="276" width="26.125" style="1878" customWidth="1"/>
    <col min="277" max="512" width="8.875" style="1878"/>
    <col min="513" max="513" width="9.5" style="1878" customWidth="1"/>
    <col min="514" max="514" width="8.875" style="1878"/>
    <col min="515" max="517" width="12.875" style="1878" customWidth="1"/>
    <col min="518" max="518" width="47.5" style="1878" customWidth="1"/>
    <col min="519" max="519" width="13" style="1878" customWidth="1"/>
    <col min="520" max="521" width="8.875"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25" style="1878" customWidth="1"/>
    <col min="531" max="531" width="10" style="1878" customWidth="1"/>
    <col min="532" max="532" width="26.125" style="1878" customWidth="1"/>
    <col min="533" max="768" width="8.875" style="1878"/>
    <col min="769" max="769" width="9.5" style="1878" customWidth="1"/>
    <col min="770" max="770" width="8.875" style="1878"/>
    <col min="771" max="773" width="12.875" style="1878" customWidth="1"/>
    <col min="774" max="774" width="47.5" style="1878" customWidth="1"/>
    <col min="775" max="775" width="13" style="1878" customWidth="1"/>
    <col min="776" max="777" width="8.875"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25" style="1878" customWidth="1"/>
    <col min="787" max="787" width="10" style="1878" customWidth="1"/>
    <col min="788" max="788" width="26.125" style="1878" customWidth="1"/>
    <col min="789" max="1024" width="8.875" style="1878"/>
    <col min="1025" max="1025" width="9.5" style="1878" customWidth="1"/>
    <col min="1026" max="1026" width="8.875" style="1878"/>
    <col min="1027" max="1029" width="12.875" style="1878" customWidth="1"/>
    <col min="1030" max="1030" width="47.5" style="1878" customWidth="1"/>
    <col min="1031" max="1031" width="13" style="1878" customWidth="1"/>
    <col min="1032" max="1033" width="8.875"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25" style="1878" customWidth="1"/>
    <col min="1043" max="1043" width="10" style="1878" customWidth="1"/>
    <col min="1044" max="1044" width="26.125" style="1878" customWidth="1"/>
    <col min="1045" max="1280" width="8.875" style="1878"/>
    <col min="1281" max="1281" width="9.5" style="1878" customWidth="1"/>
    <col min="1282" max="1282" width="8.875" style="1878"/>
    <col min="1283" max="1285" width="12.875" style="1878" customWidth="1"/>
    <col min="1286" max="1286" width="47.5" style="1878" customWidth="1"/>
    <col min="1287" max="1287" width="13" style="1878" customWidth="1"/>
    <col min="1288" max="1289" width="8.875"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25" style="1878" customWidth="1"/>
    <col min="1299" max="1299" width="10" style="1878" customWidth="1"/>
    <col min="1300" max="1300" width="26.125" style="1878" customWidth="1"/>
    <col min="1301" max="1536" width="8.875" style="1878"/>
    <col min="1537" max="1537" width="9.5" style="1878" customWidth="1"/>
    <col min="1538" max="1538" width="8.875" style="1878"/>
    <col min="1539" max="1541" width="12.875" style="1878" customWidth="1"/>
    <col min="1542" max="1542" width="47.5" style="1878" customWidth="1"/>
    <col min="1543" max="1543" width="13" style="1878" customWidth="1"/>
    <col min="1544" max="1545" width="8.875"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25" style="1878" customWidth="1"/>
    <col min="1555" max="1555" width="10" style="1878" customWidth="1"/>
    <col min="1556" max="1556" width="26.125" style="1878" customWidth="1"/>
    <col min="1557" max="1792" width="8.875" style="1878"/>
    <col min="1793" max="1793" width="9.5" style="1878" customWidth="1"/>
    <col min="1794" max="1794" width="8.875" style="1878"/>
    <col min="1795" max="1797" width="12.875" style="1878" customWidth="1"/>
    <col min="1798" max="1798" width="47.5" style="1878" customWidth="1"/>
    <col min="1799" max="1799" width="13" style="1878" customWidth="1"/>
    <col min="1800" max="1801" width="8.875"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25" style="1878" customWidth="1"/>
    <col min="1811" max="1811" width="10" style="1878" customWidth="1"/>
    <col min="1812" max="1812" width="26.125" style="1878" customWidth="1"/>
    <col min="1813" max="2048" width="8.875" style="1878"/>
    <col min="2049" max="2049" width="9.5" style="1878" customWidth="1"/>
    <col min="2050" max="2050" width="8.875" style="1878"/>
    <col min="2051" max="2053" width="12.875" style="1878" customWidth="1"/>
    <col min="2054" max="2054" width="47.5" style="1878" customWidth="1"/>
    <col min="2055" max="2055" width="13" style="1878" customWidth="1"/>
    <col min="2056" max="2057" width="8.875"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25" style="1878" customWidth="1"/>
    <col min="2067" max="2067" width="10" style="1878" customWidth="1"/>
    <col min="2068" max="2068" width="26.125" style="1878" customWidth="1"/>
    <col min="2069" max="2304" width="8.875" style="1878"/>
    <col min="2305" max="2305" width="9.5" style="1878" customWidth="1"/>
    <col min="2306" max="2306" width="8.875" style="1878"/>
    <col min="2307" max="2309" width="12.875" style="1878" customWidth="1"/>
    <col min="2310" max="2310" width="47.5" style="1878" customWidth="1"/>
    <col min="2311" max="2311" width="13" style="1878" customWidth="1"/>
    <col min="2312" max="2313" width="8.875"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25" style="1878" customWidth="1"/>
    <col min="2323" max="2323" width="10" style="1878" customWidth="1"/>
    <col min="2324" max="2324" width="26.125" style="1878" customWidth="1"/>
    <col min="2325" max="2560" width="8.875" style="1878"/>
    <col min="2561" max="2561" width="9.5" style="1878" customWidth="1"/>
    <col min="2562" max="2562" width="8.875" style="1878"/>
    <col min="2563" max="2565" width="12.875" style="1878" customWidth="1"/>
    <col min="2566" max="2566" width="47.5" style="1878" customWidth="1"/>
    <col min="2567" max="2567" width="13" style="1878" customWidth="1"/>
    <col min="2568" max="2569" width="8.875"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25" style="1878" customWidth="1"/>
    <col min="2579" max="2579" width="10" style="1878" customWidth="1"/>
    <col min="2580" max="2580" width="26.125" style="1878" customWidth="1"/>
    <col min="2581" max="2816" width="8.875" style="1878"/>
    <col min="2817" max="2817" width="9.5" style="1878" customWidth="1"/>
    <col min="2818" max="2818" width="8.875" style="1878"/>
    <col min="2819" max="2821" width="12.875" style="1878" customWidth="1"/>
    <col min="2822" max="2822" width="47.5" style="1878" customWidth="1"/>
    <col min="2823" max="2823" width="13" style="1878" customWidth="1"/>
    <col min="2824" max="2825" width="8.875"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25" style="1878" customWidth="1"/>
    <col min="2835" max="2835" width="10" style="1878" customWidth="1"/>
    <col min="2836" max="2836" width="26.125" style="1878" customWidth="1"/>
    <col min="2837" max="3072" width="8.875" style="1878"/>
    <col min="3073" max="3073" width="9.5" style="1878" customWidth="1"/>
    <col min="3074" max="3074" width="8.875" style="1878"/>
    <col min="3075" max="3077" width="12.875" style="1878" customWidth="1"/>
    <col min="3078" max="3078" width="47.5" style="1878" customWidth="1"/>
    <col min="3079" max="3079" width="13" style="1878" customWidth="1"/>
    <col min="3080" max="3081" width="8.875"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25" style="1878" customWidth="1"/>
    <col min="3091" max="3091" width="10" style="1878" customWidth="1"/>
    <col min="3092" max="3092" width="26.125" style="1878" customWidth="1"/>
    <col min="3093" max="3328" width="8.875" style="1878"/>
    <col min="3329" max="3329" width="9.5" style="1878" customWidth="1"/>
    <col min="3330" max="3330" width="8.875" style="1878"/>
    <col min="3331" max="3333" width="12.875" style="1878" customWidth="1"/>
    <col min="3334" max="3334" width="47.5" style="1878" customWidth="1"/>
    <col min="3335" max="3335" width="13" style="1878" customWidth="1"/>
    <col min="3336" max="3337" width="8.875"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25" style="1878" customWidth="1"/>
    <col min="3347" max="3347" width="10" style="1878" customWidth="1"/>
    <col min="3348" max="3348" width="26.125" style="1878" customWidth="1"/>
    <col min="3349" max="3584" width="8.875" style="1878"/>
    <col min="3585" max="3585" width="9.5" style="1878" customWidth="1"/>
    <col min="3586" max="3586" width="8.875" style="1878"/>
    <col min="3587" max="3589" width="12.875" style="1878" customWidth="1"/>
    <col min="3590" max="3590" width="47.5" style="1878" customWidth="1"/>
    <col min="3591" max="3591" width="13" style="1878" customWidth="1"/>
    <col min="3592" max="3593" width="8.875"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25" style="1878" customWidth="1"/>
    <col min="3603" max="3603" width="10" style="1878" customWidth="1"/>
    <col min="3604" max="3604" width="26.125" style="1878" customWidth="1"/>
    <col min="3605" max="3840" width="8.875" style="1878"/>
    <col min="3841" max="3841" width="9.5" style="1878" customWidth="1"/>
    <col min="3842" max="3842" width="8.875" style="1878"/>
    <col min="3843" max="3845" width="12.875" style="1878" customWidth="1"/>
    <col min="3846" max="3846" width="47.5" style="1878" customWidth="1"/>
    <col min="3847" max="3847" width="13" style="1878" customWidth="1"/>
    <col min="3848" max="3849" width="8.875"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25" style="1878" customWidth="1"/>
    <col min="3859" max="3859" width="10" style="1878" customWidth="1"/>
    <col min="3860" max="3860" width="26.125" style="1878" customWidth="1"/>
    <col min="3861" max="4096" width="8.875" style="1878"/>
    <col min="4097" max="4097" width="9.5" style="1878" customWidth="1"/>
    <col min="4098" max="4098" width="8.875" style="1878"/>
    <col min="4099" max="4101" width="12.875" style="1878" customWidth="1"/>
    <col min="4102" max="4102" width="47.5" style="1878" customWidth="1"/>
    <col min="4103" max="4103" width="13" style="1878" customWidth="1"/>
    <col min="4104" max="4105" width="8.875"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25" style="1878" customWidth="1"/>
    <col min="4115" max="4115" width="10" style="1878" customWidth="1"/>
    <col min="4116" max="4116" width="26.125" style="1878" customWidth="1"/>
    <col min="4117" max="4352" width="8.875" style="1878"/>
    <col min="4353" max="4353" width="9.5" style="1878" customWidth="1"/>
    <col min="4354" max="4354" width="8.875" style="1878"/>
    <col min="4355" max="4357" width="12.875" style="1878" customWidth="1"/>
    <col min="4358" max="4358" width="47.5" style="1878" customWidth="1"/>
    <col min="4359" max="4359" width="13" style="1878" customWidth="1"/>
    <col min="4360" max="4361" width="8.875"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25" style="1878" customWidth="1"/>
    <col min="4371" max="4371" width="10" style="1878" customWidth="1"/>
    <col min="4372" max="4372" width="26.125" style="1878" customWidth="1"/>
    <col min="4373" max="4608" width="8.875" style="1878"/>
    <col min="4609" max="4609" width="9.5" style="1878" customWidth="1"/>
    <col min="4610" max="4610" width="8.875" style="1878"/>
    <col min="4611" max="4613" width="12.875" style="1878" customWidth="1"/>
    <col min="4614" max="4614" width="47.5" style="1878" customWidth="1"/>
    <col min="4615" max="4615" width="13" style="1878" customWidth="1"/>
    <col min="4616" max="4617" width="8.875"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25" style="1878" customWidth="1"/>
    <col min="4627" max="4627" width="10" style="1878" customWidth="1"/>
    <col min="4628" max="4628" width="26.125" style="1878" customWidth="1"/>
    <col min="4629" max="4864" width="8.875" style="1878"/>
    <col min="4865" max="4865" width="9.5" style="1878" customWidth="1"/>
    <col min="4866" max="4866" width="8.875" style="1878"/>
    <col min="4867" max="4869" width="12.875" style="1878" customWidth="1"/>
    <col min="4870" max="4870" width="47.5" style="1878" customWidth="1"/>
    <col min="4871" max="4871" width="13" style="1878" customWidth="1"/>
    <col min="4872" max="4873" width="8.875"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25" style="1878" customWidth="1"/>
    <col min="4883" max="4883" width="10" style="1878" customWidth="1"/>
    <col min="4884" max="4884" width="26.125" style="1878" customWidth="1"/>
    <col min="4885" max="5120" width="8.875" style="1878"/>
    <col min="5121" max="5121" width="9.5" style="1878" customWidth="1"/>
    <col min="5122" max="5122" width="8.875" style="1878"/>
    <col min="5123" max="5125" width="12.875" style="1878" customWidth="1"/>
    <col min="5126" max="5126" width="47.5" style="1878" customWidth="1"/>
    <col min="5127" max="5127" width="13" style="1878" customWidth="1"/>
    <col min="5128" max="5129" width="8.875"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25" style="1878" customWidth="1"/>
    <col min="5139" max="5139" width="10" style="1878" customWidth="1"/>
    <col min="5140" max="5140" width="26.125" style="1878" customWidth="1"/>
    <col min="5141" max="5376" width="8.875" style="1878"/>
    <col min="5377" max="5377" width="9.5" style="1878" customWidth="1"/>
    <col min="5378" max="5378" width="8.875" style="1878"/>
    <col min="5379" max="5381" width="12.875" style="1878" customWidth="1"/>
    <col min="5382" max="5382" width="47.5" style="1878" customWidth="1"/>
    <col min="5383" max="5383" width="13" style="1878" customWidth="1"/>
    <col min="5384" max="5385" width="8.875"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25" style="1878" customWidth="1"/>
    <col min="5395" max="5395" width="10" style="1878" customWidth="1"/>
    <col min="5396" max="5396" width="26.125" style="1878" customWidth="1"/>
    <col min="5397" max="5632" width="8.875" style="1878"/>
    <col min="5633" max="5633" width="9.5" style="1878" customWidth="1"/>
    <col min="5634" max="5634" width="8.875" style="1878"/>
    <col min="5635" max="5637" width="12.875" style="1878" customWidth="1"/>
    <col min="5638" max="5638" width="47.5" style="1878" customWidth="1"/>
    <col min="5639" max="5639" width="13" style="1878" customWidth="1"/>
    <col min="5640" max="5641" width="8.875"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25" style="1878" customWidth="1"/>
    <col min="5651" max="5651" width="10" style="1878" customWidth="1"/>
    <col min="5652" max="5652" width="26.125" style="1878" customWidth="1"/>
    <col min="5653" max="5888" width="8.875" style="1878"/>
    <col min="5889" max="5889" width="9.5" style="1878" customWidth="1"/>
    <col min="5890" max="5890" width="8.875" style="1878"/>
    <col min="5891" max="5893" width="12.875" style="1878" customWidth="1"/>
    <col min="5894" max="5894" width="47.5" style="1878" customWidth="1"/>
    <col min="5895" max="5895" width="13" style="1878" customWidth="1"/>
    <col min="5896" max="5897" width="8.875"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25" style="1878" customWidth="1"/>
    <col min="5907" max="5907" width="10" style="1878" customWidth="1"/>
    <col min="5908" max="5908" width="26.125" style="1878" customWidth="1"/>
    <col min="5909" max="6144" width="8.875" style="1878"/>
    <col min="6145" max="6145" width="9.5" style="1878" customWidth="1"/>
    <col min="6146" max="6146" width="8.875" style="1878"/>
    <col min="6147" max="6149" width="12.875" style="1878" customWidth="1"/>
    <col min="6150" max="6150" width="47.5" style="1878" customWidth="1"/>
    <col min="6151" max="6151" width="13" style="1878" customWidth="1"/>
    <col min="6152" max="6153" width="8.875"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25" style="1878" customWidth="1"/>
    <col min="6163" max="6163" width="10" style="1878" customWidth="1"/>
    <col min="6164" max="6164" width="26.125" style="1878" customWidth="1"/>
    <col min="6165" max="6400" width="8.875" style="1878"/>
    <col min="6401" max="6401" width="9.5" style="1878" customWidth="1"/>
    <col min="6402" max="6402" width="8.875" style="1878"/>
    <col min="6403" max="6405" width="12.875" style="1878" customWidth="1"/>
    <col min="6406" max="6406" width="47.5" style="1878" customWidth="1"/>
    <col min="6407" max="6407" width="13" style="1878" customWidth="1"/>
    <col min="6408" max="6409" width="8.875"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25" style="1878" customWidth="1"/>
    <col min="6419" max="6419" width="10" style="1878" customWidth="1"/>
    <col min="6420" max="6420" width="26.125" style="1878" customWidth="1"/>
    <col min="6421" max="6656" width="8.875" style="1878"/>
    <col min="6657" max="6657" width="9.5" style="1878" customWidth="1"/>
    <col min="6658" max="6658" width="8.875" style="1878"/>
    <col min="6659" max="6661" width="12.875" style="1878" customWidth="1"/>
    <col min="6662" max="6662" width="47.5" style="1878" customWidth="1"/>
    <col min="6663" max="6663" width="13" style="1878" customWidth="1"/>
    <col min="6664" max="6665" width="8.875"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25" style="1878" customWidth="1"/>
    <col min="6675" max="6675" width="10" style="1878" customWidth="1"/>
    <col min="6676" max="6676" width="26.125" style="1878" customWidth="1"/>
    <col min="6677" max="6912" width="8.875" style="1878"/>
    <col min="6913" max="6913" width="9.5" style="1878" customWidth="1"/>
    <col min="6914" max="6914" width="8.875" style="1878"/>
    <col min="6915" max="6917" width="12.875" style="1878" customWidth="1"/>
    <col min="6918" max="6918" width="47.5" style="1878" customWidth="1"/>
    <col min="6919" max="6919" width="13" style="1878" customWidth="1"/>
    <col min="6920" max="6921" width="8.875"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25" style="1878" customWidth="1"/>
    <col min="6931" max="6931" width="10" style="1878" customWidth="1"/>
    <col min="6932" max="6932" width="26.125" style="1878" customWidth="1"/>
    <col min="6933" max="7168" width="8.875" style="1878"/>
    <col min="7169" max="7169" width="9.5" style="1878" customWidth="1"/>
    <col min="7170" max="7170" width="8.875" style="1878"/>
    <col min="7171" max="7173" width="12.875" style="1878" customWidth="1"/>
    <col min="7174" max="7174" width="47.5" style="1878" customWidth="1"/>
    <col min="7175" max="7175" width="13" style="1878" customWidth="1"/>
    <col min="7176" max="7177" width="8.875"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25" style="1878" customWidth="1"/>
    <col min="7187" max="7187" width="10" style="1878" customWidth="1"/>
    <col min="7188" max="7188" width="26.125" style="1878" customWidth="1"/>
    <col min="7189" max="7424" width="8.875" style="1878"/>
    <col min="7425" max="7425" width="9.5" style="1878" customWidth="1"/>
    <col min="7426" max="7426" width="8.875" style="1878"/>
    <col min="7427" max="7429" width="12.875" style="1878" customWidth="1"/>
    <col min="7430" max="7430" width="47.5" style="1878" customWidth="1"/>
    <col min="7431" max="7431" width="13" style="1878" customWidth="1"/>
    <col min="7432" max="7433" width="8.875"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25" style="1878" customWidth="1"/>
    <col min="7443" max="7443" width="10" style="1878" customWidth="1"/>
    <col min="7444" max="7444" width="26.125" style="1878" customWidth="1"/>
    <col min="7445" max="7680" width="8.875" style="1878"/>
    <col min="7681" max="7681" width="9.5" style="1878" customWidth="1"/>
    <col min="7682" max="7682" width="8.875" style="1878"/>
    <col min="7683" max="7685" width="12.875" style="1878" customWidth="1"/>
    <col min="7686" max="7686" width="47.5" style="1878" customWidth="1"/>
    <col min="7687" max="7687" width="13" style="1878" customWidth="1"/>
    <col min="7688" max="7689" width="8.875"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25" style="1878" customWidth="1"/>
    <col min="7699" max="7699" width="10" style="1878" customWidth="1"/>
    <col min="7700" max="7700" width="26.125" style="1878" customWidth="1"/>
    <col min="7701" max="7936" width="8.875" style="1878"/>
    <col min="7937" max="7937" width="9.5" style="1878" customWidth="1"/>
    <col min="7938" max="7938" width="8.875" style="1878"/>
    <col min="7939" max="7941" width="12.875" style="1878" customWidth="1"/>
    <col min="7942" max="7942" width="47.5" style="1878" customWidth="1"/>
    <col min="7943" max="7943" width="13" style="1878" customWidth="1"/>
    <col min="7944" max="7945" width="8.875"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25" style="1878" customWidth="1"/>
    <col min="7955" max="7955" width="10" style="1878" customWidth="1"/>
    <col min="7956" max="7956" width="26.125" style="1878" customWidth="1"/>
    <col min="7957" max="8192" width="8.875" style="1878"/>
    <col min="8193" max="8193" width="9.5" style="1878" customWidth="1"/>
    <col min="8194" max="8194" width="8.875" style="1878"/>
    <col min="8195" max="8197" width="12.875" style="1878" customWidth="1"/>
    <col min="8198" max="8198" width="47.5" style="1878" customWidth="1"/>
    <col min="8199" max="8199" width="13" style="1878" customWidth="1"/>
    <col min="8200" max="8201" width="8.875"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25" style="1878" customWidth="1"/>
    <col min="8211" max="8211" width="10" style="1878" customWidth="1"/>
    <col min="8212" max="8212" width="26.125" style="1878" customWidth="1"/>
    <col min="8213" max="8448" width="8.875" style="1878"/>
    <col min="8449" max="8449" width="9.5" style="1878" customWidth="1"/>
    <col min="8450" max="8450" width="8.875" style="1878"/>
    <col min="8451" max="8453" width="12.875" style="1878" customWidth="1"/>
    <col min="8454" max="8454" width="47.5" style="1878" customWidth="1"/>
    <col min="8455" max="8455" width="13" style="1878" customWidth="1"/>
    <col min="8456" max="8457" width="8.875"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25" style="1878" customWidth="1"/>
    <col min="8467" max="8467" width="10" style="1878" customWidth="1"/>
    <col min="8468" max="8468" width="26.125" style="1878" customWidth="1"/>
    <col min="8469" max="8704" width="8.875" style="1878"/>
    <col min="8705" max="8705" width="9.5" style="1878" customWidth="1"/>
    <col min="8706" max="8706" width="8.875" style="1878"/>
    <col min="8707" max="8709" width="12.875" style="1878" customWidth="1"/>
    <col min="8710" max="8710" width="47.5" style="1878" customWidth="1"/>
    <col min="8711" max="8711" width="13" style="1878" customWidth="1"/>
    <col min="8712" max="8713" width="8.875"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25" style="1878" customWidth="1"/>
    <col min="8723" max="8723" width="10" style="1878" customWidth="1"/>
    <col min="8724" max="8724" width="26.125" style="1878" customWidth="1"/>
    <col min="8725" max="8960" width="8.875" style="1878"/>
    <col min="8961" max="8961" width="9.5" style="1878" customWidth="1"/>
    <col min="8962" max="8962" width="8.875" style="1878"/>
    <col min="8963" max="8965" width="12.875" style="1878" customWidth="1"/>
    <col min="8966" max="8966" width="47.5" style="1878" customWidth="1"/>
    <col min="8967" max="8967" width="13" style="1878" customWidth="1"/>
    <col min="8968" max="8969" width="8.875"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25" style="1878" customWidth="1"/>
    <col min="8979" max="8979" width="10" style="1878" customWidth="1"/>
    <col min="8980" max="8980" width="26.125" style="1878" customWidth="1"/>
    <col min="8981" max="9216" width="8.875" style="1878"/>
    <col min="9217" max="9217" width="9.5" style="1878" customWidth="1"/>
    <col min="9218" max="9218" width="8.875" style="1878"/>
    <col min="9219" max="9221" width="12.875" style="1878" customWidth="1"/>
    <col min="9222" max="9222" width="47.5" style="1878" customWidth="1"/>
    <col min="9223" max="9223" width="13" style="1878" customWidth="1"/>
    <col min="9224" max="9225" width="8.875"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25" style="1878" customWidth="1"/>
    <col min="9235" max="9235" width="10" style="1878" customWidth="1"/>
    <col min="9236" max="9236" width="26.125" style="1878" customWidth="1"/>
    <col min="9237" max="9472" width="8.875" style="1878"/>
    <col min="9473" max="9473" width="9.5" style="1878" customWidth="1"/>
    <col min="9474" max="9474" width="8.875" style="1878"/>
    <col min="9475" max="9477" width="12.875" style="1878" customWidth="1"/>
    <col min="9478" max="9478" width="47.5" style="1878" customWidth="1"/>
    <col min="9479" max="9479" width="13" style="1878" customWidth="1"/>
    <col min="9480" max="9481" width="8.875"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25" style="1878" customWidth="1"/>
    <col min="9491" max="9491" width="10" style="1878" customWidth="1"/>
    <col min="9492" max="9492" width="26.125" style="1878" customWidth="1"/>
    <col min="9493" max="9728" width="8.875" style="1878"/>
    <col min="9729" max="9729" width="9.5" style="1878" customWidth="1"/>
    <col min="9730" max="9730" width="8.875" style="1878"/>
    <col min="9731" max="9733" width="12.875" style="1878" customWidth="1"/>
    <col min="9734" max="9734" width="47.5" style="1878" customWidth="1"/>
    <col min="9735" max="9735" width="13" style="1878" customWidth="1"/>
    <col min="9736" max="9737" width="8.875"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25" style="1878" customWidth="1"/>
    <col min="9747" max="9747" width="10" style="1878" customWidth="1"/>
    <col min="9748" max="9748" width="26.125" style="1878" customWidth="1"/>
    <col min="9749" max="9984" width="8.875" style="1878"/>
    <col min="9985" max="9985" width="9.5" style="1878" customWidth="1"/>
    <col min="9986" max="9986" width="8.875" style="1878"/>
    <col min="9987" max="9989" width="12.875" style="1878" customWidth="1"/>
    <col min="9990" max="9990" width="47.5" style="1878" customWidth="1"/>
    <col min="9991" max="9991" width="13" style="1878" customWidth="1"/>
    <col min="9992" max="9993" width="8.875"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25" style="1878" customWidth="1"/>
    <col min="10003" max="10003" width="10" style="1878" customWidth="1"/>
    <col min="10004" max="10004" width="26.125" style="1878" customWidth="1"/>
    <col min="10005" max="10240" width="8.875" style="1878"/>
    <col min="10241" max="10241" width="9.5" style="1878" customWidth="1"/>
    <col min="10242" max="10242" width="8.875" style="1878"/>
    <col min="10243" max="10245" width="12.875" style="1878" customWidth="1"/>
    <col min="10246" max="10246" width="47.5" style="1878" customWidth="1"/>
    <col min="10247" max="10247" width="13" style="1878" customWidth="1"/>
    <col min="10248" max="10249" width="8.875"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25" style="1878" customWidth="1"/>
    <col min="10259" max="10259" width="10" style="1878" customWidth="1"/>
    <col min="10260" max="10260" width="26.125" style="1878" customWidth="1"/>
    <col min="10261" max="10496" width="8.875" style="1878"/>
    <col min="10497" max="10497" width="9.5" style="1878" customWidth="1"/>
    <col min="10498" max="10498" width="8.875" style="1878"/>
    <col min="10499" max="10501" width="12.875" style="1878" customWidth="1"/>
    <col min="10502" max="10502" width="47.5" style="1878" customWidth="1"/>
    <col min="10503" max="10503" width="13" style="1878" customWidth="1"/>
    <col min="10504" max="10505" width="8.875"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25" style="1878" customWidth="1"/>
    <col min="10515" max="10515" width="10" style="1878" customWidth="1"/>
    <col min="10516" max="10516" width="26.125" style="1878" customWidth="1"/>
    <col min="10517" max="10752" width="8.875" style="1878"/>
    <col min="10753" max="10753" width="9.5" style="1878" customWidth="1"/>
    <col min="10754" max="10754" width="8.875" style="1878"/>
    <col min="10755" max="10757" width="12.875" style="1878" customWidth="1"/>
    <col min="10758" max="10758" width="47.5" style="1878" customWidth="1"/>
    <col min="10759" max="10759" width="13" style="1878" customWidth="1"/>
    <col min="10760" max="10761" width="8.875"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25" style="1878" customWidth="1"/>
    <col min="10771" max="10771" width="10" style="1878" customWidth="1"/>
    <col min="10772" max="10772" width="26.125" style="1878" customWidth="1"/>
    <col min="10773" max="11008" width="8.875" style="1878"/>
    <col min="11009" max="11009" width="9.5" style="1878" customWidth="1"/>
    <col min="11010" max="11010" width="8.875" style="1878"/>
    <col min="11011" max="11013" width="12.875" style="1878" customWidth="1"/>
    <col min="11014" max="11014" width="47.5" style="1878" customWidth="1"/>
    <col min="11015" max="11015" width="13" style="1878" customWidth="1"/>
    <col min="11016" max="11017" width="8.875"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25" style="1878" customWidth="1"/>
    <col min="11027" max="11027" width="10" style="1878" customWidth="1"/>
    <col min="11028" max="11028" width="26.125" style="1878" customWidth="1"/>
    <col min="11029" max="11264" width="8.875" style="1878"/>
    <col min="11265" max="11265" width="9.5" style="1878" customWidth="1"/>
    <col min="11266" max="11266" width="8.875" style="1878"/>
    <col min="11267" max="11269" width="12.875" style="1878" customWidth="1"/>
    <col min="11270" max="11270" width="47.5" style="1878" customWidth="1"/>
    <col min="11271" max="11271" width="13" style="1878" customWidth="1"/>
    <col min="11272" max="11273" width="8.875"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25" style="1878" customWidth="1"/>
    <col min="11283" max="11283" width="10" style="1878" customWidth="1"/>
    <col min="11284" max="11284" width="26.125" style="1878" customWidth="1"/>
    <col min="11285" max="11520" width="8.875" style="1878"/>
    <col min="11521" max="11521" width="9.5" style="1878" customWidth="1"/>
    <col min="11522" max="11522" width="8.875" style="1878"/>
    <col min="11523" max="11525" width="12.875" style="1878" customWidth="1"/>
    <col min="11526" max="11526" width="47.5" style="1878" customWidth="1"/>
    <col min="11527" max="11527" width="13" style="1878" customWidth="1"/>
    <col min="11528" max="11529" width="8.875"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25" style="1878" customWidth="1"/>
    <col min="11539" max="11539" width="10" style="1878" customWidth="1"/>
    <col min="11540" max="11540" width="26.125" style="1878" customWidth="1"/>
    <col min="11541" max="11776" width="8.875" style="1878"/>
    <col min="11777" max="11777" width="9.5" style="1878" customWidth="1"/>
    <col min="11778" max="11778" width="8.875" style="1878"/>
    <col min="11779" max="11781" width="12.875" style="1878" customWidth="1"/>
    <col min="11782" max="11782" width="47.5" style="1878" customWidth="1"/>
    <col min="11783" max="11783" width="13" style="1878" customWidth="1"/>
    <col min="11784" max="11785" width="8.875"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25" style="1878" customWidth="1"/>
    <col min="11795" max="11795" width="10" style="1878" customWidth="1"/>
    <col min="11796" max="11796" width="26.125" style="1878" customWidth="1"/>
    <col min="11797" max="12032" width="8.875" style="1878"/>
    <col min="12033" max="12033" width="9.5" style="1878" customWidth="1"/>
    <col min="12034" max="12034" width="8.875" style="1878"/>
    <col min="12035" max="12037" width="12.875" style="1878" customWidth="1"/>
    <col min="12038" max="12038" width="47.5" style="1878" customWidth="1"/>
    <col min="12039" max="12039" width="13" style="1878" customWidth="1"/>
    <col min="12040" max="12041" width="8.875"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25" style="1878" customWidth="1"/>
    <col min="12051" max="12051" width="10" style="1878" customWidth="1"/>
    <col min="12052" max="12052" width="26.125" style="1878" customWidth="1"/>
    <col min="12053" max="12288" width="8.875" style="1878"/>
    <col min="12289" max="12289" width="9.5" style="1878" customWidth="1"/>
    <col min="12290" max="12290" width="8.875" style="1878"/>
    <col min="12291" max="12293" width="12.875" style="1878" customWidth="1"/>
    <col min="12294" max="12294" width="47.5" style="1878" customWidth="1"/>
    <col min="12295" max="12295" width="13" style="1878" customWidth="1"/>
    <col min="12296" max="12297" width="8.875"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25" style="1878" customWidth="1"/>
    <col min="12307" max="12307" width="10" style="1878" customWidth="1"/>
    <col min="12308" max="12308" width="26.125" style="1878" customWidth="1"/>
    <col min="12309" max="12544" width="8.875" style="1878"/>
    <col min="12545" max="12545" width="9.5" style="1878" customWidth="1"/>
    <col min="12546" max="12546" width="8.875" style="1878"/>
    <col min="12547" max="12549" width="12.875" style="1878" customWidth="1"/>
    <col min="12550" max="12550" width="47.5" style="1878" customWidth="1"/>
    <col min="12551" max="12551" width="13" style="1878" customWidth="1"/>
    <col min="12552" max="12553" width="8.875"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25" style="1878" customWidth="1"/>
    <col min="12563" max="12563" width="10" style="1878" customWidth="1"/>
    <col min="12564" max="12564" width="26.125" style="1878" customWidth="1"/>
    <col min="12565" max="12800" width="8.875" style="1878"/>
    <col min="12801" max="12801" width="9.5" style="1878" customWidth="1"/>
    <col min="12802" max="12802" width="8.875" style="1878"/>
    <col min="12803" max="12805" width="12.875" style="1878" customWidth="1"/>
    <col min="12806" max="12806" width="47.5" style="1878" customWidth="1"/>
    <col min="12807" max="12807" width="13" style="1878" customWidth="1"/>
    <col min="12808" max="12809" width="8.875"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25" style="1878" customWidth="1"/>
    <col min="12819" max="12819" width="10" style="1878" customWidth="1"/>
    <col min="12820" max="12820" width="26.125" style="1878" customWidth="1"/>
    <col min="12821" max="13056" width="8.875" style="1878"/>
    <col min="13057" max="13057" width="9.5" style="1878" customWidth="1"/>
    <col min="13058" max="13058" width="8.875" style="1878"/>
    <col min="13059" max="13061" width="12.875" style="1878" customWidth="1"/>
    <col min="13062" max="13062" width="47.5" style="1878" customWidth="1"/>
    <col min="13063" max="13063" width="13" style="1878" customWidth="1"/>
    <col min="13064" max="13065" width="8.875"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25" style="1878" customWidth="1"/>
    <col min="13075" max="13075" width="10" style="1878" customWidth="1"/>
    <col min="13076" max="13076" width="26.125" style="1878" customWidth="1"/>
    <col min="13077" max="13312" width="8.875" style="1878"/>
    <col min="13313" max="13313" width="9.5" style="1878" customWidth="1"/>
    <col min="13314" max="13314" width="8.875" style="1878"/>
    <col min="13315" max="13317" width="12.875" style="1878" customWidth="1"/>
    <col min="13318" max="13318" width="47.5" style="1878" customWidth="1"/>
    <col min="13319" max="13319" width="13" style="1878" customWidth="1"/>
    <col min="13320" max="13321" width="8.875"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25" style="1878" customWidth="1"/>
    <col min="13331" max="13331" width="10" style="1878" customWidth="1"/>
    <col min="13332" max="13332" width="26.125" style="1878" customWidth="1"/>
    <col min="13333" max="13568" width="8.875" style="1878"/>
    <col min="13569" max="13569" width="9.5" style="1878" customWidth="1"/>
    <col min="13570" max="13570" width="8.875" style="1878"/>
    <col min="13571" max="13573" width="12.875" style="1878" customWidth="1"/>
    <col min="13574" max="13574" width="47.5" style="1878" customWidth="1"/>
    <col min="13575" max="13575" width="13" style="1878" customWidth="1"/>
    <col min="13576" max="13577" width="8.875"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25" style="1878" customWidth="1"/>
    <col min="13587" max="13587" width="10" style="1878" customWidth="1"/>
    <col min="13588" max="13588" width="26.125" style="1878" customWidth="1"/>
    <col min="13589" max="13824" width="8.875" style="1878"/>
    <col min="13825" max="13825" width="9.5" style="1878" customWidth="1"/>
    <col min="13826" max="13826" width="8.875" style="1878"/>
    <col min="13827" max="13829" width="12.875" style="1878" customWidth="1"/>
    <col min="13830" max="13830" width="47.5" style="1878" customWidth="1"/>
    <col min="13831" max="13831" width="13" style="1878" customWidth="1"/>
    <col min="13832" max="13833" width="8.875"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25" style="1878" customWidth="1"/>
    <col min="13843" max="13843" width="10" style="1878" customWidth="1"/>
    <col min="13844" max="13844" width="26.125" style="1878" customWidth="1"/>
    <col min="13845" max="14080" width="8.875" style="1878"/>
    <col min="14081" max="14081" width="9.5" style="1878" customWidth="1"/>
    <col min="14082" max="14082" width="8.875" style="1878"/>
    <col min="14083" max="14085" width="12.875" style="1878" customWidth="1"/>
    <col min="14086" max="14086" width="47.5" style="1878" customWidth="1"/>
    <col min="14087" max="14087" width="13" style="1878" customWidth="1"/>
    <col min="14088" max="14089" width="8.875"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25" style="1878" customWidth="1"/>
    <col min="14099" max="14099" width="10" style="1878" customWidth="1"/>
    <col min="14100" max="14100" width="26.125" style="1878" customWidth="1"/>
    <col min="14101" max="14336" width="8.875" style="1878"/>
    <col min="14337" max="14337" width="9.5" style="1878" customWidth="1"/>
    <col min="14338" max="14338" width="8.875" style="1878"/>
    <col min="14339" max="14341" width="12.875" style="1878" customWidth="1"/>
    <col min="14342" max="14342" width="47.5" style="1878" customWidth="1"/>
    <col min="14343" max="14343" width="13" style="1878" customWidth="1"/>
    <col min="14344" max="14345" width="8.875"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25" style="1878" customWidth="1"/>
    <col min="14355" max="14355" width="10" style="1878" customWidth="1"/>
    <col min="14356" max="14356" width="26.125" style="1878" customWidth="1"/>
    <col min="14357" max="14592" width="8.875" style="1878"/>
    <col min="14593" max="14593" width="9.5" style="1878" customWidth="1"/>
    <col min="14594" max="14594" width="8.875" style="1878"/>
    <col min="14595" max="14597" width="12.875" style="1878" customWidth="1"/>
    <col min="14598" max="14598" width="47.5" style="1878" customWidth="1"/>
    <col min="14599" max="14599" width="13" style="1878" customWidth="1"/>
    <col min="14600" max="14601" width="8.875"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25" style="1878" customWidth="1"/>
    <col min="14611" max="14611" width="10" style="1878" customWidth="1"/>
    <col min="14612" max="14612" width="26.125" style="1878" customWidth="1"/>
    <col min="14613" max="14848" width="8.875" style="1878"/>
    <col min="14849" max="14849" width="9.5" style="1878" customWidth="1"/>
    <col min="14850" max="14850" width="8.875" style="1878"/>
    <col min="14851" max="14853" width="12.875" style="1878" customWidth="1"/>
    <col min="14854" max="14854" width="47.5" style="1878" customWidth="1"/>
    <col min="14855" max="14855" width="13" style="1878" customWidth="1"/>
    <col min="14856" max="14857" width="8.875"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25" style="1878" customWidth="1"/>
    <col min="14867" max="14867" width="10" style="1878" customWidth="1"/>
    <col min="14868" max="14868" width="26.125" style="1878" customWidth="1"/>
    <col min="14869" max="15104" width="8.875" style="1878"/>
    <col min="15105" max="15105" width="9.5" style="1878" customWidth="1"/>
    <col min="15106" max="15106" width="8.875" style="1878"/>
    <col min="15107" max="15109" width="12.875" style="1878" customWidth="1"/>
    <col min="15110" max="15110" width="47.5" style="1878" customWidth="1"/>
    <col min="15111" max="15111" width="13" style="1878" customWidth="1"/>
    <col min="15112" max="15113" width="8.875"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25" style="1878" customWidth="1"/>
    <col min="15123" max="15123" width="10" style="1878" customWidth="1"/>
    <col min="15124" max="15124" width="26.125" style="1878" customWidth="1"/>
    <col min="15125" max="15360" width="8.875" style="1878"/>
    <col min="15361" max="15361" width="9.5" style="1878" customWidth="1"/>
    <col min="15362" max="15362" width="8.875" style="1878"/>
    <col min="15363" max="15365" width="12.875" style="1878" customWidth="1"/>
    <col min="15366" max="15366" width="47.5" style="1878" customWidth="1"/>
    <col min="15367" max="15367" width="13" style="1878" customWidth="1"/>
    <col min="15368" max="15369" width="8.875"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25" style="1878" customWidth="1"/>
    <col min="15379" max="15379" width="10" style="1878" customWidth="1"/>
    <col min="15380" max="15380" width="26.125" style="1878" customWidth="1"/>
    <col min="15381" max="15616" width="8.875" style="1878"/>
    <col min="15617" max="15617" width="9.5" style="1878" customWidth="1"/>
    <col min="15618" max="15618" width="8.875" style="1878"/>
    <col min="15619" max="15621" width="12.875" style="1878" customWidth="1"/>
    <col min="15622" max="15622" width="47.5" style="1878" customWidth="1"/>
    <col min="15623" max="15623" width="13" style="1878" customWidth="1"/>
    <col min="15624" max="15625" width="8.875"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25" style="1878" customWidth="1"/>
    <col min="15635" max="15635" width="10" style="1878" customWidth="1"/>
    <col min="15636" max="15636" width="26.125" style="1878" customWidth="1"/>
    <col min="15637" max="15872" width="8.875" style="1878"/>
    <col min="15873" max="15873" width="9.5" style="1878" customWidth="1"/>
    <col min="15874" max="15874" width="8.875" style="1878"/>
    <col min="15875" max="15877" width="12.875" style="1878" customWidth="1"/>
    <col min="15878" max="15878" width="47.5" style="1878" customWidth="1"/>
    <col min="15879" max="15879" width="13" style="1878" customWidth="1"/>
    <col min="15880" max="15881" width="8.875"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25" style="1878" customWidth="1"/>
    <col min="15891" max="15891" width="10" style="1878" customWidth="1"/>
    <col min="15892" max="15892" width="26.125" style="1878" customWidth="1"/>
    <col min="15893" max="16128" width="8.875" style="1878"/>
    <col min="16129" max="16129" width="9.5" style="1878" customWidth="1"/>
    <col min="16130" max="16130" width="8.875" style="1878"/>
    <col min="16131" max="16133" width="12.875" style="1878" customWidth="1"/>
    <col min="16134" max="16134" width="47.5" style="1878" customWidth="1"/>
    <col min="16135" max="16135" width="13" style="1878" customWidth="1"/>
    <col min="16136" max="16137" width="8.875"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25" style="1878" customWidth="1"/>
    <col min="16147" max="16147" width="10" style="1878" customWidth="1"/>
    <col min="16148" max="16148" width="26.125" style="1878" customWidth="1"/>
    <col min="16149" max="16384" width="8.875" style="1878"/>
  </cols>
  <sheetData>
    <row r="1" ht="21" customHeight="1" spans="1:21">
      <c r="A1" s="1883" t="s">
        <v>1489</v>
      </c>
      <c r="B1" s="1884"/>
      <c r="C1" s="1885"/>
      <c r="D1" s="1885"/>
      <c r="E1" s="1886"/>
      <c r="F1" s="1887"/>
      <c r="G1" s="1888"/>
      <c r="J1" s="1995" t="s">
        <v>1490</v>
      </c>
      <c r="K1" s="1996"/>
      <c r="L1" s="1996"/>
      <c r="M1" s="1996"/>
      <c r="N1" s="1996"/>
      <c r="O1" s="1996"/>
      <c r="P1" s="1996"/>
      <c r="Q1" s="1996"/>
      <c r="R1" s="2044"/>
      <c r="S1" s="2045"/>
      <c r="T1" s="2045"/>
      <c r="U1" s="2045"/>
    </row>
    <row r="2" s="1876" customFormat="1" customHeight="1" spans="1:22">
      <c r="A2" s="1889" t="s">
        <v>1228</v>
      </c>
      <c r="B2" s="1890" t="e">
        <f>IF(D2="——",C40,C40+E2)</f>
        <v>#DIV/0!</v>
      </c>
      <c r="C2" s="1885" t="s">
        <v>1229</v>
      </c>
      <c r="D2" s="1891" t="s">
        <v>1491</v>
      </c>
      <c r="E2" s="1892"/>
      <c r="F2" s="1893"/>
      <c r="G2" s="1894"/>
      <c r="H2" s="1895"/>
      <c r="I2" s="1997"/>
      <c r="J2" s="1998" t="s">
        <v>1492</v>
      </c>
      <c r="K2" s="1999"/>
      <c r="L2" s="2000" t="s">
        <v>1493</v>
      </c>
      <c r="M2" s="2000" t="s">
        <v>1494</v>
      </c>
      <c r="N2" s="2000" t="s">
        <v>1495</v>
      </c>
      <c r="O2" s="2000" t="s">
        <v>1496</v>
      </c>
      <c r="P2" s="2000" t="s">
        <v>1497</v>
      </c>
      <c r="Q2" s="2046" t="s">
        <v>1498</v>
      </c>
      <c r="R2" s="2047" t="s">
        <v>1499</v>
      </c>
      <c r="S2" s="2045"/>
      <c r="T2" s="2045"/>
      <c r="U2" s="2045"/>
      <c r="V2" s="1997"/>
    </row>
    <row r="3" s="1876" customFormat="1" customHeight="1" spans="1:22">
      <c r="A3" s="1896" t="s">
        <v>1231</v>
      </c>
      <c r="B3" s="1897" t="e">
        <f>ROUND(B2*10000/B4,0)</f>
        <v>#DIV/0!</v>
      </c>
      <c r="C3" s="1885" t="s">
        <v>1232</v>
      </c>
      <c r="D3" s="1885"/>
      <c r="E3" s="1898"/>
      <c r="F3" s="1893"/>
      <c r="G3" s="1894"/>
      <c r="H3" s="1895"/>
      <c r="I3" s="1997"/>
      <c r="J3" s="2001" t="s">
        <v>1500</v>
      </c>
      <c r="K3" s="2002"/>
      <c r="L3" s="2003"/>
      <c r="M3" s="2003"/>
      <c r="N3" s="2003"/>
      <c r="O3" s="2003"/>
      <c r="P3" s="2003"/>
      <c r="Q3" s="2048"/>
      <c r="R3" s="2049">
        <f>SUM(L3:Q3)</f>
        <v>0</v>
      </c>
      <c r="S3" s="2045"/>
      <c r="T3" s="2045"/>
      <c r="U3" s="2045"/>
      <c r="V3" s="1997"/>
    </row>
    <row r="4" s="1876" customFormat="1" customHeight="1" spans="1:22">
      <c r="A4" s="1899" t="s">
        <v>1501</v>
      </c>
      <c r="B4" s="1900"/>
      <c r="C4" s="1885"/>
      <c r="D4" s="1885"/>
      <c r="E4" s="1898"/>
      <c r="F4" s="1893"/>
      <c r="G4" s="1894"/>
      <c r="H4" s="1895"/>
      <c r="I4" s="1997"/>
      <c r="J4" s="2001" t="s">
        <v>1502</v>
      </c>
      <c r="K4" s="2002"/>
      <c r="L4" s="2004"/>
      <c r="M4" s="2004"/>
      <c r="N4" s="2004"/>
      <c r="O4" s="2004"/>
      <c r="P4" s="2004"/>
      <c r="Q4" s="2050"/>
      <c r="R4" s="2051">
        <f>SUM(L4:Q4)</f>
        <v>0</v>
      </c>
      <c r="S4" s="2045"/>
      <c r="T4" s="2045"/>
      <c r="U4" s="2045"/>
      <c r="V4" s="1997"/>
    </row>
    <row r="5" s="1876" customFormat="1" customHeight="1" spans="1:22">
      <c r="A5" s="1901" t="s">
        <v>1503</v>
      </c>
      <c r="B5" s="1902"/>
      <c r="C5" s="1885"/>
      <c r="D5" s="1903"/>
      <c r="E5" s="1893"/>
      <c r="F5" s="1893"/>
      <c r="G5" s="1894"/>
      <c r="H5" s="1895"/>
      <c r="I5" s="1997"/>
      <c r="J5" s="2005" t="s">
        <v>1504</v>
      </c>
      <c r="K5" s="2006"/>
      <c r="L5" s="2006"/>
      <c r="M5" s="2007"/>
      <c r="N5" s="2007"/>
      <c r="O5" s="2007"/>
      <c r="P5" s="2007"/>
      <c r="Q5" s="2007"/>
      <c r="R5" s="2047">
        <f>SUM(R14,R19,R24,R25,R27,R28)</f>
        <v>0</v>
      </c>
      <c r="S5" s="2045"/>
      <c r="T5" s="2045" t="s">
        <v>1505</v>
      </c>
      <c r="U5" s="2045" t="e">
        <f>ROUND(R5*10000/365/R3,1)</f>
        <v>#DIV/0!</v>
      </c>
      <c r="V5" s="1997"/>
    </row>
    <row r="6" s="1876" customFormat="1" customHeight="1" spans="1:22">
      <c r="A6" s="1904" t="s">
        <v>1506</v>
      </c>
      <c r="B6" s="1905"/>
      <c r="C6" s="1906"/>
      <c r="D6" s="1907"/>
      <c r="E6" s="1908"/>
      <c r="F6" s="1909"/>
      <c r="G6" s="1910"/>
      <c r="H6" s="1895"/>
      <c r="I6" s="1997"/>
      <c r="J6" s="2008">
        <v>1</v>
      </c>
      <c r="K6" s="2009" t="s">
        <v>1507</v>
      </c>
      <c r="L6" s="2010" t="s">
        <v>1508</v>
      </c>
      <c r="M6" s="2011" t="s">
        <v>1509</v>
      </c>
      <c r="N6" s="2011" t="s">
        <v>1510</v>
      </c>
      <c r="O6" s="2011" t="s">
        <v>1511</v>
      </c>
      <c r="P6" s="2011" t="s">
        <v>1512</v>
      </c>
      <c r="Q6" s="2011" t="s">
        <v>1513</v>
      </c>
      <c r="R6" s="2049" t="s">
        <v>1514</v>
      </c>
      <c r="S6" s="2045"/>
      <c r="T6" s="2045" t="s">
        <v>1515</v>
      </c>
      <c r="U6" s="2045"/>
      <c r="V6" s="1997"/>
    </row>
    <row r="7" s="1876" customFormat="1" customHeight="1" spans="1:22">
      <c r="A7" s="1911" t="s">
        <v>1516</v>
      </c>
      <c r="B7" s="1912"/>
      <c r="C7" s="1913"/>
      <c r="D7" s="1914">
        <f>SUM(D9,D10,D11,D17,0)</f>
        <v>0</v>
      </c>
      <c r="E7" s="1915" t="e">
        <f>E9+E10+E11+E17</f>
        <v>#DIV/0!</v>
      </c>
      <c r="F7" s="1916"/>
      <c r="G7" s="1917"/>
      <c r="H7" s="1895"/>
      <c r="I7" s="1997"/>
      <c r="J7" s="2008"/>
      <c r="K7" s="2012"/>
      <c r="L7" s="2013" t="s">
        <v>1517</v>
      </c>
      <c r="M7" s="2014"/>
      <c r="N7" s="1900"/>
      <c r="O7" s="2015"/>
      <c r="P7" s="2015"/>
      <c r="Q7" s="1936">
        <v>365</v>
      </c>
      <c r="R7" s="2052">
        <f>ROUND(M7*N7*O7*P7*Q7/10000,0)</f>
        <v>0</v>
      </c>
      <c r="S7" s="2045"/>
      <c r="T7" s="2045" t="s">
        <v>1518</v>
      </c>
      <c r="U7" s="2045"/>
      <c r="V7" s="1997"/>
    </row>
    <row r="8" s="1876" customFormat="1" customHeight="1" spans="1:22">
      <c r="A8" s="1918" t="s">
        <v>1519</v>
      </c>
      <c r="B8" s="1919" t="s">
        <v>1520</v>
      </c>
      <c r="C8" s="1920"/>
      <c r="D8" s="1921" t="s">
        <v>1521</v>
      </c>
      <c r="E8" s="1922" t="s">
        <v>1522</v>
      </c>
      <c r="F8" s="1923" t="s">
        <v>1523</v>
      </c>
      <c r="G8" s="1924"/>
      <c r="H8" s="1895"/>
      <c r="I8" s="1997"/>
      <c r="J8" s="2008"/>
      <c r="K8" s="2012"/>
      <c r="L8" s="2013" t="s">
        <v>1524</v>
      </c>
      <c r="M8" s="2014"/>
      <c r="N8" s="1900"/>
      <c r="O8" s="2015"/>
      <c r="P8" s="2015"/>
      <c r="Q8" s="1936">
        <v>365</v>
      </c>
      <c r="R8" s="2052">
        <f t="shared" ref="R8:R13" si="0">ROUND(M8*N8*O8*P8*Q8/10000,0)</f>
        <v>0</v>
      </c>
      <c r="S8" s="2045"/>
      <c r="T8" s="2045" t="s">
        <v>1525</v>
      </c>
      <c r="U8" s="2045"/>
      <c r="V8" s="1997"/>
    </row>
    <row r="9" s="1876" customFormat="1" customHeight="1" spans="1:22">
      <c r="A9" s="1918">
        <v>1</v>
      </c>
      <c r="B9" s="1919" t="s">
        <v>1526</v>
      </c>
      <c r="C9" s="1920"/>
      <c r="D9" s="1921">
        <f>ROUND(D6*E9,0)</f>
        <v>0</v>
      </c>
      <c r="E9" s="1925"/>
      <c r="F9" s="1926" t="s">
        <v>1527</v>
      </c>
      <c r="G9" s="1910"/>
      <c r="H9" s="1895"/>
      <c r="I9" s="1997"/>
      <c r="J9" s="2008"/>
      <c r="K9" s="2012"/>
      <c r="L9" s="2013" t="s">
        <v>1528</v>
      </c>
      <c r="M9" s="2014"/>
      <c r="N9" s="1900"/>
      <c r="O9" s="2015"/>
      <c r="P9" s="2015"/>
      <c r="Q9" s="1936">
        <v>365</v>
      </c>
      <c r="R9" s="2052">
        <f t="shared" si="0"/>
        <v>0</v>
      </c>
      <c r="S9" s="2045"/>
      <c r="T9" s="2045"/>
      <c r="U9" s="2045"/>
      <c r="V9" s="1997"/>
    </row>
    <row r="10" s="1876" customFormat="1" customHeight="1" spans="1:22">
      <c r="A10" s="1918">
        <v>2</v>
      </c>
      <c r="B10" s="1919" t="s">
        <v>1529</v>
      </c>
      <c r="C10" s="1920"/>
      <c r="D10" s="1921">
        <f>ROUND(D6*E10,0)</f>
        <v>0</v>
      </c>
      <c r="E10" s="1925"/>
      <c r="F10" s="1926" t="s">
        <v>1530</v>
      </c>
      <c r="G10" s="1910"/>
      <c r="H10" s="1895"/>
      <c r="I10" s="1997"/>
      <c r="J10" s="2008"/>
      <c r="K10" s="2012"/>
      <c r="L10" s="2013" t="s">
        <v>1531</v>
      </c>
      <c r="M10" s="2014"/>
      <c r="N10" s="1900"/>
      <c r="O10" s="2015"/>
      <c r="P10" s="2015"/>
      <c r="Q10" s="1936">
        <v>365</v>
      </c>
      <c r="R10" s="2052">
        <f t="shared" si="0"/>
        <v>0</v>
      </c>
      <c r="S10" s="2045"/>
      <c r="T10" s="2045"/>
      <c r="U10" s="2045"/>
      <c r="V10" s="1997"/>
    </row>
    <row r="11" s="1876" customFormat="1" customHeight="1" spans="1:22">
      <c r="A11" s="1918">
        <v>3</v>
      </c>
      <c r="B11" s="1919" t="s">
        <v>1532</v>
      </c>
      <c r="C11" s="1920"/>
      <c r="D11" s="1921">
        <f>D12+D14+D15+D16</f>
        <v>0</v>
      </c>
      <c r="E11" s="1927" t="e">
        <f>D11/D6</f>
        <v>#DIV/0!</v>
      </c>
      <c r="F11" s="1923"/>
      <c r="G11" s="1924"/>
      <c r="H11" s="1895"/>
      <c r="I11" s="1997"/>
      <c r="J11" s="2008"/>
      <c r="K11" s="2012"/>
      <c r="L11" s="2013" t="s">
        <v>1533</v>
      </c>
      <c r="M11" s="2014"/>
      <c r="N11" s="1900"/>
      <c r="O11" s="2015"/>
      <c r="P11" s="2015"/>
      <c r="Q11" s="1936">
        <v>365</v>
      </c>
      <c r="R11" s="2052">
        <f t="shared" si="0"/>
        <v>0</v>
      </c>
      <c r="S11" s="2045"/>
      <c r="T11" s="2045"/>
      <c r="U11" s="2045"/>
      <c r="V11" s="1997"/>
    </row>
    <row r="12" s="1876" customFormat="1" customHeight="1" spans="1:22">
      <c r="A12" s="1928" t="s">
        <v>1534</v>
      </c>
      <c r="B12" s="1929" t="s">
        <v>1535</v>
      </c>
      <c r="C12" s="1930"/>
      <c r="D12" s="1931">
        <f>ROUND(D13*1.2%*(1-30%),0)</f>
        <v>0</v>
      </c>
      <c r="E12" s="1932">
        <v>0.012</v>
      </c>
      <c r="F12" s="1923" t="s">
        <v>1536</v>
      </c>
      <c r="G12" s="1924"/>
      <c r="H12" s="1895"/>
      <c r="I12" s="1997"/>
      <c r="J12" s="2008"/>
      <c r="K12" s="2012"/>
      <c r="L12" s="2013" t="s">
        <v>1537</v>
      </c>
      <c r="M12" s="2014"/>
      <c r="N12" s="1900"/>
      <c r="O12" s="2015"/>
      <c r="P12" s="2015"/>
      <c r="Q12" s="1936">
        <v>365</v>
      </c>
      <c r="R12" s="2052">
        <f t="shared" si="0"/>
        <v>0</v>
      </c>
      <c r="S12" s="2045"/>
      <c r="T12" s="2045"/>
      <c r="U12" s="2045"/>
      <c r="V12" s="1997"/>
    </row>
    <row r="13" s="1876" customFormat="1" customHeight="1" spans="1:22">
      <c r="A13" s="1928"/>
      <c r="B13" s="1929"/>
      <c r="C13" s="1933" t="s">
        <v>1538</v>
      </c>
      <c r="D13" s="1934"/>
      <c r="E13" s="1935"/>
      <c r="F13" s="1923"/>
      <c r="G13" s="1924"/>
      <c r="H13" s="1895"/>
      <c r="I13" s="1997"/>
      <c r="J13" s="2008"/>
      <c r="K13" s="2012"/>
      <c r="L13" s="2013" t="s">
        <v>1539</v>
      </c>
      <c r="M13" s="2014"/>
      <c r="N13" s="1900"/>
      <c r="O13" s="2015"/>
      <c r="P13" s="2015"/>
      <c r="Q13" s="1936">
        <v>365</v>
      </c>
      <c r="R13" s="2052">
        <f t="shared" si="0"/>
        <v>0</v>
      </c>
      <c r="S13" s="2045"/>
      <c r="T13" s="2045"/>
      <c r="U13" s="2045"/>
      <c r="V13" s="1997"/>
    </row>
    <row r="14" s="1876" customFormat="1" customHeight="1" spans="1:22">
      <c r="A14" s="1928" t="s">
        <v>1540</v>
      </c>
      <c r="B14" s="1929" t="s">
        <v>1541</v>
      </c>
      <c r="C14" s="1930"/>
      <c r="D14" s="1931">
        <f>ROUND(E14*B5/10000,0)</f>
        <v>0</v>
      </c>
      <c r="E14" s="1936"/>
      <c r="F14" s="1923" t="s">
        <v>1542</v>
      </c>
      <c r="G14" s="1924"/>
      <c r="H14" s="1895"/>
      <c r="I14" s="1997"/>
      <c r="J14" s="2008"/>
      <c r="K14" s="2016"/>
      <c r="L14" s="2017" t="s">
        <v>1543</v>
      </c>
      <c r="M14" s="2018">
        <f>SUM(M7:M13)</f>
        <v>0</v>
      </c>
      <c r="N14" s="2018" t="e">
        <f>ROUND((N7*M7+N8*M8+N9*M9+N10*M10+N11*M11+N12*M12+N13*M13)/M14,0)</f>
        <v>#DIV/0!</v>
      </c>
      <c r="O14" s="2019"/>
      <c r="P14" s="2019"/>
      <c r="Q14" s="2053"/>
      <c r="R14" s="2047">
        <f>SUM(R7:R13)</f>
        <v>0</v>
      </c>
      <c r="S14" s="2045"/>
      <c r="T14" s="2045"/>
      <c r="U14" s="2045"/>
      <c r="V14" s="1997"/>
    </row>
    <row r="15" s="1876" customFormat="1" customHeight="1" spans="1:22">
      <c r="A15" s="1928" t="s">
        <v>1544</v>
      </c>
      <c r="B15" s="1929" t="s">
        <v>1545</v>
      </c>
      <c r="C15" s="1930"/>
      <c r="D15" s="1931">
        <f>ROUND(D6*E15,0)</f>
        <v>0</v>
      </c>
      <c r="E15" s="1932">
        <v>0.055</v>
      </c>
      <c r="F15" s="1923" t="s">
        <v>1546</v>
      </c>
      <c r="G15" s="1910"/>
      <c r="H15" s="1895"/>
      <c r="I15" s="1997"/>
      <c r="J15" s="2008">
        <v>2</v>
      </c>
      <c r="K15" s="2009" t="s">
        <v>1547</v>
      </c>
      <c r="L15" s="2013" t="s">
        <v>1548</v>
      </c>
      <c r="M15" s="2014" t="s">
        <v>1549</v>
      </c>
      <c r="N15" s="2014" t="s">
        <v>1550</v>
      </c>
      <c r="O15" s="2015" t="s">
        <v>1551</v>
      </c>
      <c r="P15" s="2015" t="s">
        <v>1513</v>
      </c>
      <c r="Q15" s="1900" t="s">
        <v>124</v>
      </c>
      <c r="R15" s="2054" t="s">
        <v>1514</v>
      </c>
      <c r="S15" s="2045"/>
      <c r="T15" s="2045"/>
      <c r="U15" s="2045"/>
      <c r="V15" s="1997"/>
    </row>
    <row r="16" s="1876" customFormat="1" customHeight="1" spans="1:22">
      <c r="A16" s="1928" t="s">
        <v>1552</v>
      </c>
      <c r="B16" s="1929" t="s">
        <v>1553</v>
      </c>
      <c r="C16" s="1930"/>
      <c r="D16" s="1937">
        <f>D6*E16</f>
        <v>0</v>
      </c>
      <c r="E16" s="1938"/>
      <c r="F16" s="1926" t="s">
        <v>1554</v>
      </c>
      <c r="G16" s="1910"/>
      <c r="H16" s="1895"/>
      <c r="I16" s="1997"/>
      <c r="J16" s="2008"/>
      <c r="K16" s="2012"/>
      <c r="L16" s="2013" t="s">
        <v>1555</v>
      </c>
      <c r="M16" s="2014"/>
      <c r="N16" s="2014"/>
      <c r="O16" s="2015"/>
      <c r="P16" s="1936">
        <v>365</v>
      </c>
      <c r="Q16" s="1900"/>
      <c r="R16" s="2054">
        <f>ROUND(M16*N16*O16*P16/10000,0)</f>
        <v>0</v>
      </c>
      <c r="S16" s="2045"/>
      <c r="T16" s="2045"/>
      <c r="U16" s="2045"/>
      <c r="V16" s="1997"/>
    </row>
    <row r="17" s="1876" customFormat="1" customHeight="1" spans="1:22">
      <c r="A17" s="1939">
        <v>4</v>
      </c>
      <c r="B17" s="1940" t="s">
        <v>1556</v>
      </c>
      <c r="C17" s="1941"/>
      <c r="D17" s="1942">
        <f>ROUND(D6*E17,0)</f>
        <v>0</v>
      </c>
      <c r="E17" s="1943"/>
      <c r="F17" s="1944" t="s">
        <v>1557</v>
      </c>
      <c r="G17" s="1910"/>
      <c r="H17" s="1895"/>
      <c r="I17" s="1997"/>
      <c r="J17" s="2008"/>
      <c r="K17" s="2012"/>
      <c r="L17" s="2013" t="s">
        <v>1558</v>
      </c>
      <c r="M17" s="2014"/>
      <c r="N17" s="2014"/>
      <c r="O17" s="2015"/>
      <c r="P17" s="1936">
        <v>365</v>
      </c>
      <c r="Q17" s="1900"/>
      <c r="R17" s="2054">
        <f>ROUND(M17*N17*O17*P17/10000,0)</f>
        <v>0</v>
      </c>
      <c r="S17" s="2045"/>
      <c r="T17" s="2045"/>
      <c r="U17" s="2045"/>
      <c r="V17" s="1997"/>
    </row>
    <row r="18" s="1876" customFormat="1" customHeight="1" spans="1:22">
      <c r="A18" s="1911" t="s">
        <v>1559</v>
      </c>
      <c r="B18" s="1912"/>
      <c r="C18" s="1912"/>
      <c r="D18" s="1945">
        <f>ROUND(D6*E18,0)</f>
        <v>0</v>
      </c>
      <c r="E18" s="1946"/>
      <c r="F18" s="1947" t="s">
        <v>1560</v>
      </c>
      <c r="G18" s="1910"/>
      <c r="H18" s="1895"/>
      <c r="I18" s="1997"/>
      <c r="J18" s="2008"/>
      <c r="K18" s="2012"/>
      <c r="L18" s="2013" t="s">
        <v>1561</v>
      </c>
      <c r="M18" s="2014"/>
      <c r="N18" s="2014"/>
      <c r="O18" s="2015"/>
      <c r="P18" s="1936">
        <v>365</v>
      </c>
      <c r="Q18" s="1900"/>
      <c r="R18" s="2054">
        <f>ROUND(M18*N18*O18*P18/10000,0)</f>
        <v>0</v>
      </c>
      <c r="S18" s="2045"/>
      <c r="T18" s="2045"/>
      <c r="U18" s="2045"/>
      <c r="V18" s="1997"/>
    </row>
    <row r="19" s="1876" customFormat="1" customHeight="1" spans="1:22">
      <c r="A19" s="1948" t="s">
        <v>1562</v>
      </c>
      <c r="B19" s="1908"/>
      <c r="C19" s="1908"/>
      <c r="D19" s="1908"/>
      <c r="E19" s="1908"/>
      <c r="F19" s="1909"/>
      <c r="G19" s="1924"/>
      <c r="H19" s="1895"/>
      <c r="I19" s="1997"/>
      <c r="J19" s="2008"/>
      <c r="K19" s="2016"/>
      <c r="L19" s="2017" t="s">
        <v>1543</v>
      </c>
      <c r="M19" s="2018"/>
      <c r="N19" s="2018">
        <f>SUM(N16:N18)</f>
        <v>0</v>
      </c>
      <c r="O19" s="2019"/>
      <c r="P19" s="2020" t="s">
        <v>1563</v>
      </c>
      <c r="Q19" s="2015">
        <v>0</v>
      </c>
      <c r="R19" s="2055">
        <f>ROUND(IF(P19="按比例",R14*Q19,SUM(R16:R18)),0)</f>
        <v>0</v>
      </c>
      <c r="S19" s="2045"/>
      <c r="T19" s="2045"/>
      <c r="U19" s="2045"/>
      <c r="V19" s="1997"/>
    </row>
    <row r="20" s="1876" customFormat="1" customHeight="1" spans="1:22">
      <c r="A20" s="1911"/>
      <c r="B20" s="1912"/>
      <c r="C20" s="1912"/>
      <c r="D20" s="1912"/>
      <c r="E20" s="1912"/>
      <c r="F20" s="1949"/>
      <c r="G20" s="1924"/>
      <c r="H20" s="1895"/>
      <c r="I20" s="1997"/>
      <c r="J20" s="2008">
        <v>3</v>
      </c>
      <c r="K20" s="2009" t="s">
        <v>1564</v>
      </c>
      <c r="L20" s="2013" t="s">
        <v>1565</v>
      </c>
      <c r="M20" s="2014" t="s">
        <v>1566</v>
      </c>
      <c r="N20" s="2021" t="s">
        <v>1567</v>
      </c>
      <c r="O20" s="2015" t="s">
        <v>1568</v>
      </c>
      <c r="P20" s="1936" t="s">
        <v>1513</v>
      </c>
      <c r="Q20" s="1900" t="s">
        <v>124</v>
      </c>
      <c r="R20" s="2054" t="s">
        <v>1514</v>
      </c>
      <c r="S20" s="2042"/>
      <c r="T20" s="2042"/>
      <c r="U20" s="2042"/>
      <c r="V20" s="1997"/>
    </row>
    <row r="21" s="1876" customFormat="1" customHeight="1" spans="1:22">
      <c r="A21" s="1911"/>
      <c r="B21" s="1912"/>
      <c r="C21" s="1919" t="s">
        <v>1569</v>
      </c>
      <c r="D21" s="1950" t="s">
        <v>1570</v>
      </c>
      <c r="E21" s="1920" t="s">
        <v>1571</v>
      </c>
      <c r="F21" s="1949"/>
      <c r="G21" s="1924"/>
      <c r="H21" s="1895"/>
      <c r="I21" s="1997"/>
      <c r="J21" s="2008"/>
      <c r="K21" s="2012"/>
      <c r="L21" s="2013" t="s">
        <v>1572</v>
      </c>
      <c r="M21" s="2014"/>
      <c r="N21" s="2014"/>
      <c r="O21" s="2015"/>
      <c r="P21" s="1936">
        <v>365</v>
      </c>
      <c r="Q21" s="1900"/>
      <c r="R21" s="2056">
        <f>ROUND(M21*N21*O21*P21/10000,0)</f>
        <v>0</v>
      </c>
      <c r="S21" s="2042"/>
      <c r="T21" s="2042"/>
      <c r="U21" s="2042"/>
      <c r="V21" s="1997"/>
    </row>
    <row r="22" s="1876" customFormat="1" customHeight="1" spans="1:22">
      <c r="A22" s="1911"/>
      <c r="B22" s="1912"/>
      <c r="C22" s="1951" t="s">
        <v>1573</v>
      </c>
      <c r="D22" s="1952" t="s">
        <v>1574</v>
      </c>
      <c r="E22" s="1953" t="s">
        <v>1575</v>
      </c>
      <c r="F22" s="1949"/>
      <c r="G22" s="1954"/>
      <c r="H22" s="1895"/>
      <c r="I22" s="1997"/>
      <c r="J22" s="2008"/>
      <c r="K22" s="2012"/>
      <c r="L22" s="2013" t="s">
        <v>1576</v>
      </c>
      <c r="M22" s="2014"/>
      <c r="N22" s="2014"/>
      <c r="O22" s="2015"/>
      <c r="P22" s="1936">
        <v>365</v>
      </c>
      <c r="Q22" s="1900"/>
      <c r="R22" s="2056">
        <f>ROUND(M22*N22*O22*P22/10000,0)</f>
        <v>0</v>
      </c>
      <c r="S22" s="2042"/>
      <c r="T22" s="2042"/>
      <c r="U22" s="2042"/>
      <c r="V22" s="1997"/>
    </row>
    <row r="23" s="1876" customFormat="1" customHeight="1" spans="1:22">
      <c r="A23" s="1955">
        <v>1</v>
      </c>
      <c r="B23" s="1956" t="s">
        <v>1577</v>
      </c>
      <c r="C23" s="1957">
        <f>D6</f>
        <v>0</v>
      </c>
      <c r="D23" s="1958">
        <f>C23*(1+D24)</f>
        <v>0</v>
      </c>
      <c r="E23" s="1959">
        <f>D23*(1+E24)</f>
        <v>0</v>
      </c>
      <c r="F23" s="1960"/>
      <c r="G23" s="1961"/>
      <c r="H23" s="1895"/>
      <c r="I23" s="1997"/>
      <c r="J23" s="2008"/>
      <c r="K23" s="2012"/>
      <c r="L23" s="2013" t="s">
        <v>1578</v>
      </c>
      <c r="M23" s="2014"/>
      <c r="N23" s="2014"/>
      <c r="O23" s="2015"/>
      <c r="P23" s="1936">
        <v>365</v>
      </c>
      <c r="Q23" s="1900"/>
      <c r="R23" s="2056">
        <f>ROUND(M23*N23*O23*P23/10000,0)</f>
        <v>0</v>
      </c>
      <c r="S23" s="2045"/>
      <c r="T23" s="2045"/>
      <c r="U23" s="2045"/>
      <c r="V23" s="1997"/>
    </row>
    <row r="24" s="1876" customFormat="1" customHeight="1" spans="1:22">
      <c r="A24" s="1962"/>
      <c r="B24" s="1963" t="s">
        <v>1579</v>
      </c>
      <c r="C24" s="1964"/>
      <c r="D24" s="1965"/>
      <c r="E24" s="1966"/>
      <c r="F24" s="1967"/>
      <c r="G24" s="1961"/>
      <c r="H24" s="1895"/>
      <c r="I24" s="1997"/>
      <c r="J24" s="2008"/>
      <c r="K24" s="2016"/>
      <c r="L24" s="2017" t="s">
        <v>1543</v>
      </c>
      <c r="M24" s="2018">
        <f>SUM(M21:M23)</f>
        <v>0</v>
      </c>
      <c r="N24" s="2018"/>
      <c r="O24" s="2019"/>
      <c r="P24" s="2020" t="s">
        <v>1563</v>
      </c>
      <c r="Q24" s="2015">
        <v>0</v>
      </c>
      <c r="R24" s="2055">
        <f>ROUND(IF(P24="按比例",R14*Q24,SUM(R21:R23)),0)</f>
        <v>0</v>
      </c>
      <c r="S24" s="2045"/>
      <c r="T24" s="2045"/>
      <c r="U24" s="2045"/>
      <c r="V24" s="1997"/>
    </row>
    <row r="25" s="1877" customFormat="1" customHeight="1" spans="1:22">
      <c r="A25" s="1962"/>
      <c r="B25" s="1963"/>
      <c r="C25" s="1964"/>
      <c r="D25" s="1965"/>
      <c r="E25" s="1966"/>
      <c r="F25" s="1967"/>
      <c r="G25" s="1954"/>
      <c r="H25" s="1895"/>
      <c r="I25" s="1997"/>
      <c r="J25" s="2008">
        <v>4</v>
      </c>
      <c r="K25" s="2022" t="s">
        <v>1580</v>
      </c>
      <c r="L25" s="2023"/>
      <c r="M25" s="2023"/>
      <c r="N25" s="2023"/>
      <c r="O25" s="2023"/>
      <c r="P25" s="2024"/>
      <c r="Q25" s="2057">
        <v>0</v>
      </c>
      <c r="R25" s="2055">
        <f>ROUND(R14*Q25,0)</f>
        <v>0</v>
      </c>
      <c r="S25" s="2045"/>
      <c r="T25" s="2045"/>
      <c r="U25" s="2045"/>
      <c r="V25" s="2031"/>
    </row>
    <row r="26" s="1877" customFormat="1" customHeight="1" spans="1:22">
      <c r="A26" s="1955">
        <v>2</v>
      </c>
      <c r="B26" s="1956" t="s">
        <v>1581</v>
      </c>
      <c r="C26" s="1957">
        <f>D7</f>
        <v>0</v>
      </c>
      <c r="D26" s="1958">
        <f>D23*D27</f>
        <v>0</v>
      </c>
      <c r="E26" s="1959">
        <f>E23*E27</f>
        <v>0</v>
      </c>
      <c r="F26" s="1960"/>
      <c r="G26" s="1961"/>
      <c r="H26" s="1895"/>
      <c r="I26" s="1997"/>
      <c r="J26" s="2025">
        <v>5</v>
      </c>
      <c r="K26" s="2026" t="s">
        <v>1582</v>
      </c>
      <c r="L26" s="2027"/>
      <c r="M26" s="2028"/>
      <c r="N26" s="2029" t="s">
        <v>505</v>
      </c>
      <c r="O26" s="2029" t="s">
        <v>1583</v>
      </c>
      <c r="P26" s="2030" t="s">
        <v>1584</v>
      </c>
      <c r="Q26" s="2030" t="s">
        <v>1585</v>
      </c>
      <c r="R26" s="2049" t="s">
        <v>1514</v>
      </c>
      <c r="S26" s="2058"/>
      <c r="T26" s="2058"/>
      <c r="U26" s="2058"/>
      <c r="V26" s="2031"/>
    </row>
    <row r="27" s="1876" customFormat="1" customHeight="1" spans="1:22">
      <c r="A27" s="1962"/>
      <c r="B27" s="1963" t="s">
        <v>1586</v>
      </c>
      <c r="C27" s="1968" t="e">
        <f>E7</f>
        <v>#DIV/0!</v>
      </c>
      <c r="D27" s="1965"/>
      <c r="E27" s="1966"/>
      <c r="F27" s="1967"/>
      <c r="G27" s="1961"/>
      <c r="H27" s="1969"/>
      <c r="I27" s="2031"/>
      <c r="J27" s="2032"/>
      <c r="K27" s="2033"/>
      <c r="L27" s="2034"/>
      <c r="M27" s="2035"/>
      <c r="N27" s="2036"/>
      <c r="O27" s="2036"/>
      <c r="P27" s="2036"/>
      <c r="Q27" s="2059"/>
      <c r="R27" s="2055">
        <f>ROUND(O27*N27*P27*(1-Q27)/10000,0)</f>
        <v>0</v>
      </c>
      <c r="S27" s="2045"/>
      <c r="T27" s="2045"/>
      <c r="U27" s="2045"/>
      <c r="V27" s="1997"/>
    </row>
    <row r="28" s="1877" customFormat="1" customHeight="1" spans="1:22">
      <c r="A28" s="1962"/>
      <c r="B28" s="1963"/>
      <c r="C28" s="1968"/>
      <c r="D28" s="1965"/>
      <c r="E28" s="1966" t="s">
        <v>1587</v>
      </c>
      <c r="F28" s="1967"/>
      <c r="G28" s="1954"/>
      <c r="H28" s="1969"/>
      <c r="I28" s="2031"/>
      <c r="J28" s="2037">
        <v>6</v>
      </c>
      <c r="K28" s="2038" t="s">
        <v>1588</v>
      </c>
      <c r="L28" s="2039" t="s">
        <v>1589</v>
      </c>
      <c r="M28" s="2040"/>
      <c r="N28" s="2039" t="s">
        <v>1590</v>
      </c>
      <c r="O28" s="2041"/>
      <c r="P28" s="2039" t="s">
        <v>1591</v>
      </c>
      <c r="Q28" s="2060">
        <v>0.015</v>
      </c>
      <c r="R28" s="2061"/>
      <c r="S28" s="2042"/>
      <c r="T28" s="2042"/>
      <c r="U28" s="2042"/>
      <c r="V28" s="2031"/>
    </row>
    <row r="29" s="1877" customFormat="1" customHeight="1" spans="1:22">
      <c r="A29" s="1955">
        <v>3</v>
      </c>
      <c r="B29" s="1956" t="s">
        <v>1592</v>
      </c>
      <c r="C29" s="1957">
        <f>C23*C30</f>
        <v>0</v>
      </c>
      <c r="D29" s="1958">
        <f>D23*C30</f>
        <v>0</v>
      </c>
      <c r="E29" s="1959">
        <f>E23*C30</f>
        <v>0</v>
      </c>
      <c r="F29" s="1960"/>
      <c r="G29" s="1961"/>
      <c r="H29" s="1895"/>
      <c r="I29" s="1997"/>
      <c r="J29" s="2042"/>
      <c r="K29" s="2042"/>
      <c r="L29" s="2042"/>
      <c r="M29" s="2042"/>
      <c r="N29" s="2042"/>
      <c r="O29" s="2042"/>
      <c r="P29" s="2042"/>
      <c r="Q29" s="2042"/>
      <c r="R29" s="2042"/>
      <c r="S29" s="2042"/>
      <c r="T29" s="2042"/>
      <c r="U29" s="2042"/>
      <c r="V29" s="2031"/>
    </row>
    <row r="30" s="1876" customFormat="1" customHeight="1" spans="1:22">
      <c r="A30" s="1962"/>
      <c r="B30" s="1963" t="s">
        <v>1586</v>
      </c>
      <c r="C30" s="1968">
        <f>E18</f>
        <v>0</v>
      </c>
      <c r="D30" s="1970"/>
      <c r="E30" s="1935"/>
      <c r="F30" s="1967"/>
      <c r="G30" s="1961"/>
      <c r="H30" s="1969"/>
      <c r="I30" s="2031"/>
      <c r="J30" s="2042"/>
      <c r="K30" s="2042"/>
      <c r="L30" s="2042"/>
      <c r="M30" s="2042"/>
      <c r="N30" s="2042"/>
      <c r="O30" s="2042"/>
      <c r="P30" s="2042"/>
      <c r="Q30" s="2042"/>
      <c r="R30" s="2042"/>
      <c r="S30" s="2042"/>
      <c r="T30" s="2042"/>
      <c r="U30" s="2045"/>
      <c r="V30" s="1997"/>
    </row>
    <row r="31" s="1877" customFormat="1" customHeight="1" spans="1:22">
      <c r="A31" s="1962"/>
      <c r="B31" s="1963"/>
      <c r="C31" s="1971"/>
      <c r="D31" s="1970"/>
      <c r="E31" s="1935"/>
      <c r="F31" s="1967"/>
      <c r="G31" s="1954"/>
      <c r="H31" s="1969"/>
      <c r="I31" s="2031"/>
      <c r="J31" s="1995" t="s">
        <v>1593</v>
      </c>
      <c r="K31" s="1996"/>
      <c r="L31" s="1996"/>
      <c r="M31" s="1996"/>
      <c r="N31" s="1996"/>
      <c r="O31" s="1996"/>
      <c r="P31" s="1996"/>
      <c r="Q31" s="1996"/>
      <c r="R31" s="2044"/>
      <c r="S31" s="2042"/>
      <c r="T31" s="2045"/>
      <c r="U31" s="2045"/>
      <c r="V31" s="2031"/>
    </row>
    <row r="32" s="1877" customFormat="1" customHeight="1" spans="1:22">
      <c r="A32" s="1955">
        <v>4</v>
      </c>
      <c r="B32" s="1956" t="s">
        <v>1594</v>
      </c>
      <c r="C32" s="1957">
        <f>C23-C26-C29</f>
        <v>0</v>
      </c>
      <c r="D32" s="1958">
        <f>D23-D26-D29</f>
        <v>0</v>
      </c>
      <c r="E32" s="1959">
        <f>E23-E26-E29</f>
        <v>0</v>
      </c>
      <c r="F32" s="1960"/>
      <c r="G32" s="1954"/>
      <c r="H32" s="1895"/>
      <c r="I32" s="1997"/>
      <c r="J32" s="1998" t="s">
        <v>1492</v>
      </c>
      <c r="K32" s="1999"/>
      <c r="L32" s="2000" t="s">
        <v>1493</v>
      </c>
      <c r="M32" s="2000" t="s">
        <v>1494</v>
      </c>
      <c r="N32" s="2000" t="s">
        <v>1495</v>
      </c>
      <c r="O32" s="2000" t="s">
        <v>1496</v>
      </c>
      <c r="P32" s="2000" t="s">
        <v>1497</v>
      </c>
      <c r="Q32" s="2046" t="s">
        <v>1498</v>
      </c>
      <c r="R32" s="2062" t="s">
        <v>1499</v>
      </c>
      <c r="S32" s="2042"/>
      <c r="T32" s="2045"/>
      <c r="U32" s="2045"/>
      <c r="V32" s="2031"/>
    </row>
    <row r="33" s="1876" customFormat="1" customHeight="1" spans="1:22">
      <c r="A33" s="1955"/>
      <c r="B33" s="1956"/>
      <c r="C33" s="1957"/>
      <c r="D33" s="1972"/>
      <c r="E33" s="1930"/>
      <c r="F33" s="1960"/>
      <c r="G33" s="1954"/>
      <c r="H33" s="1969"/>
      <c r="I33" s="2031"/>
      <c r="J33" s="2001" t="s">
        <v>1500</v>
      </c>
      <c r="K33" s="2002"/>
      <c r="L33" s="2003"/>
      <c r="M33" s="2003"/>
      <c r="N33" s="2003"/>
      <c r="O33" s="2003"/>
      <c r="P33" s="2003"/>
      <c r="Q33" s="2048"/>
      <c r="R33" s="2063">
        <f>SUM(L33:Q33)</f>
        <v>0</v>
      </c>
      <c r="S33" s="2042"/>
      <c r="T33" s="2045"/>
      <c r="U33" s="2045"/>
      <c r="V33" s="1997"/>
    </row>
    <row r="34" s="1876" customFormat="1" customHeight="1" spans="1:22">
      <c r="A34" s="1955">
        <v>5</v>
      </c>
      <c r="B34" s="1956" t="s">
        <v>1595</v>
      </c>
      <c r="C34" s="1973"/>
      <c r="D34" s="1974"/>
      <c r="E34" s="1975"/>
      <c r="F34" s="1960"/>
      <c r="G34" s="1954"/>
      <c r="H34" s="1969"/>
      <c r="I34" s="2031"/>
      <c r="J34" s="2001" t="s">
        <v>1502</v>
      </c>
      <c r="K34" s="2002"/>
      <c r="L34" s="2004"/>
      <c r="M34" s="2004"/>
      <c r="N34" s="2004"/>
      <c r="O34" s="2004"/>
      <c r="P34" s="2004"/>
      <c r="Q34" s="2050"/>
      <c r="R34" s="2064">
        <f>SUM(L34:Q34)</f>
        <v>0</v>
      </c>
      <c r="S34" s="2042"/>
      <c r="T34" s="2045"/>
      <c r="U34" s="2045" t="e">
        <f>ROUND(R35*10000/365/R33,1)</f>
        <v>#DIV/0!</v>
      </c>
      <c r="V34" s="1997"/>
    </row>
    <row r="35" s="1876" customFormat="1" customHeight="1" spans="1:22">
      <c r="A35" s="1955">
        <v>6</v>
      </c>
      <c r="B35" s="1956" t="s">
        <v>1596</v>
      </c>
      <c r="C35" s="1976"/>
      <c r="D35" s="1977"/>
      <c r="E35" s="1978"/>
      <c r="F35" s="1960"/>
      <c r="G35" s="1979"/>
      <c r="H35" s="1895"/>
      <c r="I35" s="2031"/>
      <c r="J35" s="2005" t="s">
        <v>1504</v>
      </c>
      <c r="K35" s="2006"/>
      <c r="L35" s="2006"/>
      <c r="M35" s="2007"/>
      <c r="N35" s="2007"/>
      <c r="O35" s="2007"/>
      <c r="P35" s="2007"/>
      <c r="Q35" s="2007"/>
      <c r="R35" s="2065">
        <f>R40+R41+R43</f>
        <v>0</v>
      </c>
      <c r="S35" s="2042"/>
      <c r="T35" s="2045" t="s">
        <v>1505</v>
      </c>
      <c r="U35" s="2045"/>
      <c r="V35" s="1997"/>
    </row>
    <row r="36" s="1876" customFormat="1" customHeight="1" spans="1:22">
      <c r="A36" s="1955">
        <v>7</v>
      </c>
      <c r="B36" s="1980" t="s">
        <v>1597</v>
      </c>
      <c r="C36" s="1981"/>
      <c r="D36" s="1982"/>
      <c r="E36" s="1983"/>
      <c r="F36" s="1984">
        <f>C36+D36+E36</f>
        <v>0</v>
      </c>
      <c r="G36" s="1954"/>
      <c r="H36" s="1895"/>
      <c r="I36" s="1997"/>
      <c r="J36" s="2008">
        <v>1</v>
      </c>
      <c r="K36" s="2009" t="s">
        <v>1598</v>
      </c>
      <c r="L36" s="2010"/>
      <c r="M36" s="2011"/>
      <c r="N36" s="2011"/>
      <c r="O36" s="2011"/>
      <c r="P36" s="2011"/>
      <c r="Q36" s="2011"/>
      <c r="R36" s="2049" t="s">
        <v>1514</v>
      </c>
      <c r="S36" s="2042"/>
      <c r="T36" s="2045" t="s">
        <v>1515</v>
      </c>
      <c r="U36" s="2045"/>
      <c r="V36" s="1997"/>
    </row>
    <row r="37" s="1876" customFormat="1" customHeight="1" spans="1:22">
      <c r="A37" s="1955"/>
      <c r="B37" s="1956"/>
      <c r="C37" s="1956"/>
      <c r="D37" s="1956"/>
      <c r="E37" s="1956"/>
      <c r="F37" s="1960"/>
      <c r="G37" s="1954"/>
      <c r="H37" s="1895"/>
      <c r="I37" s="1997"/>
      <c r="J37" s="2008"/>
      <c r="K37" s="2012"/>
      <c r="L37" s="2013"/>
      <c r="M37" s="2014"/>
      <c r="N37" s="1900"/>
      <c r="O37" s="2015"/>
      <c r="P37" s="2015"/>
      <c r="Q37" s="1936"/>
      <c r="R37" s="2052"/>
      <c r="S37" s="2042"/>
      <c r="T37" s="2045" t="s">
        <v>1518</v>
      </c>
      <c r="U37" s="2045"/>
      <c r="V37" s="1997"/>
    </row>
    <row r="38" s="1876"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97"/>
      <c r="J38" s="2008"/>
      <c r="K38" s="2012"/>
      <c r="L38" s="2013"/>
      <c r="M38" s="2014"/>
      <c r="N38" s="1900"/>
      <c r="O38" s="2015"/>
      <c r="P38" s="2015"/>
      <c r="Q38" s="1936"/>
      <c r="R38" s="2052"/>
      <c r="S38" s="2042"/>
      <c r="T38" s="2045" t="s">
        <v>1525</v>
      </c>
      <c r="U38" s="2045"/>
      <c r="V38" s="1997"/>
    </row>
    <row r="39" s="1876" customFormat="1" customHeight="1" spans="1:22">
      <c r="A39" s="1955">
        <v>9</v>
      </c>
      <c r="B39" s="1956" t="s">
        <v>1599</v>
      </c>
      <c r="C39" s="1931" t="e">
        <f>C38</f>
        <v>#DIV/0!</v>
      </c>
      <c r="D39" s="1956">
        <f>D38/(1+D34)^C36</f>
        <v>0</v>
      </c>
      <c r="E39" s="1956">
        <f>E38/(1+E34)^(C36+D36)</f>
        <v>0</v>
      </c>
      <c r="F39" s="1960"/>
      <c r="G39" s="1985"/>
      <c r="H39" s="1895"/>
      <c r="I39" s="1997"/>
      <c r="J39" s="2008"/>
      <c r="K39" s="2012"/>
      <c r="L39" s="2013"/>
      <c r="M39" s="2014"/>
      <c r="N39" s="1900"/>
      <c r="O39" s="2015"/>
      <c r="P39" s="2015"/>
      <c r="Q39" s="1936"/>
      <c r="R39" s="2052"/>
      <c r="S39" s="2042"/>
      <c r="T39" s="2045"/>
      <c r="U39" s="2045"/>
      <c r="V39" s="1997"/>
    </row>
    <row r="40" s="1876" customFormat="1" customHeight="1" spans="1:22">
      <c r="A40" s="1986">
        <v>10</v>
      </c>
      <c r="B40" s="1956" t="s">
        <v>1600</v>
      </c>
      <c r="C40" s="1987" t="e">
        <f>C39+D39+E39</f>
        <v>#DIV/0!</v>
      </c>
      <c r="D40" s="1988"/>
      <c r="E40" s="1988"/>
      <c r="F40" s="1989"/>
      <c r="G40" s="1954"/>
      <c r="H40" s="1895"/>
      <c r="I40" s="1997"/>
      <c r="J40" s="2008"/>
      <c r="K40" s="2016"/>
      <c r="L40" s="2017" t="s">
        <v>1543</v>
      </c>
      <c r="M40" s="2018"/>
      <c r="N40" s="2018"/>
      <c r="O40" s="2019"/>
      <c r="P40" s="2019"/>
      <c r="Q40" s="2053"/>
      <c r="R40" s="2047">
        <f>SUM(R37:R39)</f>
        <v>0</v>
      </c>
      <c r="S40" s="2042"/>
      <c r="T40" s="2045"/>
      <c r="U40" s="2045"/>
      <c r="V40" s="1997"/>
    </row>
    <row r="41" s="1876" customFormat="1" customHeight="1" spans="1:22">
      <c r="A41" s="1990">
        <v>11</v>
      </c>
      <c r="B41" s="1991" t="s">
        <v>1601</v>
      </c>
      <c r="C41" s="1991" t="e">
        <f>ROUND(C40*10000/B4,0)</f>
        <v>#DIV/0!</v>
      </c>
      <c r="D41" s="1992"/>
      <c r="E41" s="1992"/>
      <c r="F41" s="1993"/>
      <c r="G41" s="1994"/>
      <c r="H41" s="1895"/>
      <c r="I41" s="1997"/>
      <c r="J41" s="2008">
        <v>2</v>
      </c>
      <c r="K41" s="2022" t="s">
        <v>1580</v>
      </c>
      <c r="L41" s="2023"/>
      <c r="M41" s="2023"/>
      <c r="N41" s="2023"/>
      <c r="O41" s="2023"/>
      <c r="P41" s="2024"/>
      <c r="Q41" s="2057"/>
      <c r="R41" s="2055">
        <f>ROUND(R40*Q41,0)</f>
        <v>0</v>
      </c>
      <c r="S41" s="2042"/>
      <c r="T41" s="2045"/>
      <c r="U41" s="2058"/>
      <c r="V41" s="1997"/>
    </row>
    <row r="42" s="1876" customFormat="1" customHeight="1" spans="7:22">
      <c r="G42" s="1994"/>
      <c r="H42" s="1895"/>
      <c r="I42" s="1997"/>
      <c r="J42" s="2025">
        <v>3</v>
      </c>
      <c r="K42" s="2026" t="s">
        <v>1582</v>
      </c>
      <c r="L42" s="2027"/>
      <c r="M42" s="2028"/>
      <c r="N42" s="2029" t="s">
        <v>505</v>
      </c>
      <c r="O42" s="2029" t="s">
        <v>1583</v>
      </c>
      <c r="P42" s="2030" t="s">
        <v>1584</v>
      </c>
      <c r="Q42" s="2030" t="s">
        <v>1585</v>
      </c>
      <c r="R42" s="2049" t="s">
        <v>1514</v>
      </c>
      <c r="S42" s="2058"/>
      <c r="T42" s="2058"/>
      <c r="U42" s="2045"/>
      <c r="V42" s="1997"/>
    </row>
    <row r="43" customHeight="1" spans="1:23">
      <c r="A43" s="1876"/>
      <c r="B43" s="1876"/>
      <c r="C43" s="1876"/>
      <c r="D43" s="1876"/>
      <c r="E43" s="1876"/>
      <c r="F43" s="1876"/>
      <c r="I43" s="1880"/>
      <c r="J43" s="2032"/>
      <c r="K43" s="2033"/>
      <c r="L43" s="2034"/>
      <c r="M43" s="2035"/>
      <c r="N43" s="2014"/>
      <c r="O43" s="2014"/>
      <c r="P43" s="2014"/>
      <c r="Q43" s="2057"/>
      <c r="R43" s="2055">
        <f>ROUND(O43*N43*P43*(1-Q43)/10000,0)</f>
        <v>0</v>
      </c>
      <c r="S43" s="2042"/>
      <c r="T43" s="2045"/>
      <c r="V43" s="1882"/>
      <c r="W43" s="2066"/>
    </row>
    <row r="44" customHeight="1" spans="10:18">
      <c r="J44" s="2037">
        <v>6</v>
      </c>
      <c r="K44" s="2038" t="s">
        <v>1588</v>
      </c>
      <c r="L44" s="2043" t="s">
        <v>1589</v>
      </c>
      <c r="M44" s="2040"/>
      <c r="N44" s="2043" t="s">
        <v>1590</v>
      </c>
      <c r="O44" s="2040"/>
      <c r="P44" s="2043" t="s">
        <v>1591</v>
      </c>
      <c r="Q44" s="2060">
        <v>0.015</v>
      </c>
      <c r="R44" s="206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1602</v>
      </c>
      <c r="B1" s="1851"/>
      <c r="C1" s="1851"/>
      <c r="D1" s="1851"/>
      <c r="E1" s="1852"/>
      <c r="F1" s="1853"/>
      <c r="G1" s="1854"/>
      <c r="H1" s="1854"/>
      <c r="I1" s="1854"/>
      <c r="J1" s="1854"/>
      <c r="K1" s="1854"/>
      <c r="L1" s="1854"/>
      <c r="M1" s="1854"/>
      <c r="N1" s="1854"/>
      <c r="O1" s="1854"/>
      <c r="P1" s="1854"/>
      <c r="Q1" s="1854"/>
      <c r="R1" s="1854"/>
      <c r="S1" s="1854"/>
    </row>
    <row r="2" spans="1:19">
      <c r="A2" s="1855" t="s">
        <v>1034</v>
      </c>
      <c r="B2" s="1856">
        <f ca="1">SUMIF(B6:B13,"&lt;&gt;#ref!",B6:B13)</f>
        <v>188.3998</v>
      </c>
      <c r="C2" s="1857" t="s">
        <v>1603</v>
      </c>
      <c r="D2" s="1858" t="s">
        <v>1604</v>
      </c>
      <c r="E2" s="1859">
        <f>SUM(E6:E13)</f>
        <v>112.13</v>
      </c>
      <c r="F2" s="1853"/>
      <c r="G2" s="1854"/>
      <c r="H2" s="1854"/>
      <c r="I2" s="1854"/>
      <c r="J2" s="1854"/>
      <c r="K2" s="1854"/>
      <c r="L2" s="1854"/>
      <c r="M2" s="1854"/>
      <c r="N2" s="1854"/>
      <c r="O2" s="1854"/>
      <c r="P2" s="1854"/>
      <c r="Q2" s="1854"/>
      <c r="R2" s="1854"/>
      <c r="S2" s="1854"/>
    </row>
    <row r="3" spans="1:19">
      <c r="A3" s="1855" t="s">
        <v>1036</v>
      </c>
      <c r="B3" s="1860">
        <f ca="1">ROUND(B2*10000/E2,0)</f>
        <v>16802</v>
      </c>
      <c r="C3" s="1857" t="s">
        <v>1605</v>
      </c>
      <c r="D3" s="1861"/>
      <c r="E3" s="1862"/>
      <c r="F3" s="1853"/>
      <c r="G3" s="1854"/>
      <c r="H3" s="1854"/>
      <c r="I3" s="1854"/>
      <c r="J3" s="1854"/>
      <c r="K3" s="1854"/>
      <c r="L3" s="1854"/>
      <c r="M3" s="1854"/>
      <c r="N3" s="1854"/>
      <c r="O3" s="1854"/>
      <c r="P3" s="1854"/>
      <c r="Q3" s="1854"/>
      <c r="R3" s="1854"/>
      <c r="S3" s="1854"/>
    </row>
    <row r="4" ht="15.75" spans="1:19">
      <c r="A4" s="1863"/>
      <c r="B4" s="1861"/>
      <c r="C4" s="1861"/>
      <c r="D4" s="1861"/>
      <c r="E4" s="1862"/>
      <c r="F4" s="1853"/>
      <c r="G4" s="1854"/>
      <c r="H4" s="1854"/>
      <c r="I4" s="1854"/>
      <c r="J4" s="1854"/>
      <c r="K4" s="1854"/>
      <c r="L4" s="1854"/>
      <c r="M4" s="1854"/>
      <c r="N4" s="1854"/>
      <c r="O4" s="1854"/>
      <c r="P4" s="1854"/>
      <c r="Q4" s="1854"/>
      <c r="R4" s="1854"/>
      <c r="S4" s="1854"/>
    </row>
    <row r="5" ht="15" spans="1:19">
      <c r="A5" s="1864" t="s">
        <v>1606</v>
      </c>
      <c r="B5" s="1865" t="s">
        <v>1607</v>
      </c>
      <c r="C5" s="1866"/>
      <c r="D5" s="1867"/>
      <c r="E5" s="1868" t="s">
        <v>1608</v>
      </c>
      <c r="F5" s="1869" t="s">
        <v>1609</v>
      </c>
      <c r="G5" s="1854"/>
      <c r="H5" s="1854"/>
      <c r="I5" s="1854"/>
      <c r="J5" s="1854"/>
      <c r="K5" s="1854"/>
      <c r="L5" s="1854"/>
      <c r="M5" s="1854"/>
      <c r="N5" s="1854"/>
      <c r="O5" s="1854"/>
      <c r="P5" s="1854"/>
      <c r="Q5" s="1854"/>
      <c r="R5" s="1854"/>
      <c r="S5" s="1854"/>
    </row>
    <row r="6" spans="1:19">
      <c r="A6" s="1870" t="str">
        <f>'数据-取费表'!AN6</f>
        <v>收益法 (元)</v>
      </c>
      <c r="B6" s="994">
        <f ca="1">IF(F6="是",'数据-取费表'!AO6,0)</f>
        <v>188.3998</v>
      </c>
      <c r="C6" s="1857" t="s">
        <v>1603</v>
      </c>
      <c r="D6" s="1861"/>
      <c r="E6" s="1871">
        <f>IF(OR(A6=0,F6="否"),0,'数据-取费表'!K6+'数据-取费表'!S6)</f>
        <v>112.13</v>
      </c>
      <c r="F6" s="1872" t="s">
        <v>1610</v>
      </c>
      <c r="G6" s="1854"/>
      <c r="H6" s="1854"/>
      <c r="I6" s="1854"/>
      <c r="J6" s="1854"/>
      <c r="K6" s="1854"/>
      <c r="L6" s="1854"/>
      <c r="M6" s="1854"/>
      <c r="N6" s="1854"/>
      <c r="O6" s="1854"/>
      <c r="P6" s="1854"/>
      <c r="Q6" s="1854"/>
      <c r="R6" s="1854"/>
      <c r="S6" s="1854"/>
    </row>
    <row r="7" spans="1:19">
      <c r="A7" s="1870">
        <f>'数据-取费表'!AN7</f>
        <v>0</v>
      </c>
      <c r="B7" s="994" t="e">
        <f ca="1">IF(F7="是",'数据-取费表'!AO7,0)</f>
        <v>#REF!</v>
      </c>
      <c r="C7" s="1857" t="s">
        <v>1603</v>
      </c>
      <c r="D7" s="1861"/>
      <c r="E7" s="1871">
        <f>IF(OR(A7=0,F7="否"),0,'数据-取费表'!K7+'数据-取费表'!S7)</f>
        <v>0</v>
      </c>
      <c r="F7" s="1872" t="s">
        <v>1610</v>
      </c>
      <c r="G7" s="1854"/>
      <c r="H7" s="1854"/>
      <c r="I7" s="1854"/>
      <c r="J7" s="1854"/>
      <c r="K7" s="1854"/>
      <c r="L7" s="1854"/>
      <c r="M7" s="1854"/>
      <c r="N7" s="1854"/>
      <c r="O7" s="1854"/>
      <c r="P7" s="1854"/>
      <c r="Q7" s="1854"/>
      <c r="R7" s="1854"/>
      <c r="S7" s="1854"/>
    </row>
    <row r="8" spans="1:19">
      <c r="A8" s="1870">
        <f>'数据-取费表'!AN8</f>
        <v>0</v>
      </c>
      <c r="B8" s="994" t="e">
        <f ca="1">IF(F8="是",'数据-取费表'!AO8,0)</f>
        <v>#REF!</v>
      </c>
      <c r="C8" s="1857" t="s">
        <v>1603</v>
      </c>
      <c r="D8" s="1861"/>
      <c r="E8" s="1871">
        <f>IF(OR(A8=0,F8="否"),0,'数据-取费表'!K8+'数据-取费表'!S8)</f>
        <v>0</v>
      </c>
      <c r="F8" s="1872" t="s">
        <v>1610</v>
      </c>
      <c r="G8" s="1854"/>
      <c r="H8" s="1854"/>
      <c r="I8" s="1854"/>
      <c r="J8" s="1854"/>
      <c r="K8" s="1854"/>
      <c r="L8" s="1854"/>
      <c r="M8" s="1854"/>
      <c r="N8" s="1854"/>
      <c r="O8" s="1854"/>
      <c r="P8" s="1854"/>
      <c r="Q8" s="1854"/>
      <c r="R8" s="1854"/>
      <c r="S8" s="1854"/>
    </row>
    <row r="9" spans="1:19">
      <c r="A9" s="1870">
        <f>'数据-取费表'!AN9</f>
        <v>0</v>
      </c>
      <c r="B9" s="994" t="e">
        <f ca="1">IF(F9="是",'数据-取费表'!AO9,0)</f>
        <v>#REF!</v>
      </c>
      <c r="C9" s="1857" t="s">
        <v>1603</v>
      </c>
      <c r="D9" s="1861"/>
      <c r="E9" s="1871">
        <f>IF(OR(A9=0,F9="否"),0,'数据-取费表'!K9+'数据-取费表'!S9)</f>
        <v>0</v>
      </c>
      <c r="F9" s="1872" t="s">
        <v>1610</v>
      </c>
      <c r="G9" s="1854"/>
      <c r="H9" s="1854"/>
      <c r="I9" s="1854"/>
      <c r="J9" s="1854"/>
      <c r="K9" s="1854"/>
      <c r="L9" s="1854"/>
      <c r="M9" s="1854"/>
      <c r="N9" s="1854"/>
      <c r="O9" s="1854"/>
      <c r="P9" s="1854"/>
      <c r="Q9" s="1854"/>
      <c r="R9" s="1854"/>
      <c r="S9" s="1854"/>
    </row>
    <row r="10" spans="1:19">
      <c r="A10" s="1870">
        <f>'数据-取费表'!AN10</f>
        <v>0</v>
      </c>
      <c r="B10" s="994" t="e">
        <f ca="1">IF(F10="是",'数据-取费表'!AO10,0)</f>
        <v>#REF!</v>
      </c>
      <c r="C10" s="1857" t="s">
        <v>1603</v>
      </c>
      <c r="D10" s="1861"/>
      <c r="E10" s="1871">
        <f>IF(OR(A10=0,F10="否"),0,'数据-取费表'!K10+'数据-取费表'!S10)</f>
        <v>0</v>
      </c>
      <c r="F10" s="1872" t="s">
        <v>1610</v>
      </c>
      <c r="G10" s="1854"/>
      <c r="H10" s="1854"/>
      <c r="I10" s="1854"/>
      <c r="J10" s="1854"/>
      <c r="K10" s="1854"/>
      <c r="L10" s="1854"/>
      <c r="M10" s="1854"/>
      <c r="N10" s="1854"/>
      <c r="O10" s="1854"/>
      <c r="P10" s="1854"/>
      <c r="Q10" s="1854"/>
      <c r="R10" s="1854"/>
      <c r="S10" s="1854"/>
    </row>
    <row r="11" spans="1:19">
      <c r="A11" s="1870">
        <f>'数据-取费表'!AN11</f>
        <v>0</v>
      </c>
      <c r="B11" s="994" t="e">
        <f ca="1">IF(F11="是",'数据-取费表'!AO11,0)</f>
        <v>#REF!</v>
      </c>
      <c r="C11" s="1857" t="s">
        <v>1603</v>
      </c>
      <c r="D11" s="1861"/>
      <c r="E11" s="1871">
        <f>IF(OR(A11=0,F11="否"),0,'数据-取费表'!K11+'数据-取费表'!S11)</f>
        <v>0</v>
      </c>
      <c r="F11" s="1872" t="s">
        <v>1610</v>
      </c>
      <c r="G11" s="1854"/>
      <c r="H11" s="1854"/>
      <c r="I11" s="1854"/>
      <c r="J11" s="1854"/>
      <c r="K11" s="1854"/>
      <c r="L11" s="1854"/>
      <c r="M11" s="1854"/>
      <c r="N11" s="1854"/>
      <c r="O11" s="1854"/>
      <c r="P11" s="1854"/>
      <c r="Q11" s="1854"/>
      <c r="R11" s="1854"/>
      <c r="S11" s="1854"/>
    </row>
    <row r="12" spans="1:19">
      <c r="A12" s="1870">
        <f>'数据-取费表'!AN12</f>
        <v>0</v>
      </c>
      <c r="B12" s="994" t="e">
        <f ca="1">IF(F12="是",'数据-取费表'!AO12,0)</f>
        <v>#REF!</v>
      </c>
      <c r="C12" s="1857" t="s">
        <v>1603</v>
      </c>
      <c r="D12" s="1861"/>
      <c r="E12" s="1871">
        <f>IF(OR(A12=0,F12="否"),0,'数据-取费表'!K12+'数据-取费表'!S12)</f>
        <v>0</v>
      </c>
      <c r="F12" s="1872" t="s">
        <v>1610</v>
      </c>
      <c r="G12" s="1854"/>
      <c r="H12" s="1854"/>
      <c r="I12" s="1854"/>
      <c r="J12" s="1854"/>
      <c r="K12" s="1854"/>
      <c r="L12" s="1854"/>
      <c r="M12" s="1854"/>
      <c r="N12" s="1854"/>
      <c r="O12" s="1854"/>
      <c r="P12" s="1854"/>
      <c r="Q12" s="1854"/>
      <c r="R12" s="1854"/>
      <c r="S12" s="1854"/>
    </row>
    <row r="13" ht="15" spans="1:19">
      <c r="A13" s="1873">
        <f>'数据-取费表'!AN13</f>
        <v>0</v>
      </c>
      <c r="B13" s="994" t="e">
        <f ca="1">IF(F13="是",'数据-取费表'!AO13,0)</f>
        <v>#REF!</v>
      </c>
      <c r="C13" s="1874" t="s">
        <v>1603</v>
      </c>
      <c r="D13" s="1875"/>
      <c r="E13" s="1871">
        <f>IF(OR(A13=0,F13="否"),0,'数据-取费表'!K13+'数据-取费表'!S13)</f>
        <v>0</v>
      </c>
      <c r="F13" s="1872" t="s">
        <v>1610</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733" t="s">
        <v>1611</v>
      </c>
      <c r="C1" s="1611" t="s">
        <v>1132</v>
      </c>
      <c r="D1" s="1554"/>
      <c r="E1" s="1734"/>
      <c r="F1" s="1556"/>
      <c r="G1" s="1557" t="s">
        <v>1135</v>
      </c>
      <c r="H1" s="1558"/>
      <c r="I1" s="1558"/>
      <c r="J1" s="1558"/>
      <c r="K1" s="1609"/>
      <c r="L1" s="1610"/>
      <c r="M1" s="1611"/>
      <c r="N1" s="1611"/>
      <c r="O1" s="1611"/>
      <c r="P1" s="1778"/>
      <c r="Q1" s="1553"/>
      <c r="R1" s="1553"/>
      <c r="S1" s="1553"/>
      <c r="T1" s="1553"/>
      <c r="U1" s="1553"/>
      <c r="V1" s="1553"/>
      <c r="W1" s="1553"/>
      <c r="X1" s="1553"/>
      <c r="Y1" s="1553"/>
      <c r="Z1" s="1553"/>
      <c r="AA1" s="1553"/>
      <c r="AB1" s="1553"/>
      <c r="AC1" s="1618"/>
    </row>
    <row r="2" s="1766" customFormat="1" ht="28.5" customHeight="1" spans="1:29">
      <c r="A2" s="1559" t="s">
        <v>1034</v>
      </c>
      <c r="B2" s="1767"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513"/>
      <c r="H2" s="1513"/>
      <c r="I2" s="1513"/>
      <c r="J2" s="1513"/>
      <c r="K2" s="1779"/>
      <c r="L2" s="1780"/>
      <c r="M2" s="1781"/>
      <c r="N2" s="1781"/>
      <c r="O2" s="1781"/>
      <c r="P2" s="1782"/>
      <c r="Q2" s="1800"/>
      <c r="R2" s="1800"/>
      <c r="S2" s="1800"/>
      <c r="T2" s="1800"/>
      <c r="U2" s="1800"/>
      <c r="V2" s="1800"/>
      <c r="W2" s="1800"/>
      <c r="X2" s="1800"/>
      <c r="Y2" s="1800"/>
      <c r="Z2" s="1800"/>
      <c r="AA2" s="1800"/>
      <c r="AB2" s="1800"/>
      <c r="AC2" s="1801"/>
    </row>
    <row r="3" s="1766" customFormat="1" ht="28.5" customHeight="1" spans="1:29">
      <c r="A3" s="405" t="s">
        <v>1036</v>
      </c>
      <c r="B3" s="1565">
        <f ca="1">IF(C2="——",C49,ROUND(B2*10000/D3,0))</f>
        <v>0</v>
      </c>
      <c r="C3" s="1564" t="s">
        <v>1136</v>
      </c>
      <c r="D3" s="1565">
        <f>IF(D1="",'数据-汇总表'!E3,SUMIF('数据-汇总表'!$C19:$C33,D1,'数据-汇总表'!$E19:$E33))</f>
        <v>112.13</v>
      </c>
      <c r="E3" s="1513"/>
      <c r="F3" s="1768"/>
      <c r="G3" s="1513"/>
      <c r="H3" s="1513"/>
      <c r="I3" s="1513"/>
      <c r="J3" s="1513"/>
      <c r="K3" s="1779"/>
      <c r="L3" s="1780"/>
      <c r="M3" s="1781"/>
      <c r="N3" s="1781"/>
      <c r="O3" s="1781"/>
      <c r="P3" s="1782"/>
      <c r="Q3" s="1800"/>
      <c r="R3" s="1800"/>
      <c r="S3" s="1800"/>
      <c r="T3" s="1800"/>
      <c r="U3" s="1800"/>
      <c r="V3" s="1800"/>
      <c r="W3" s="1800"/>
      <c r="X3" s="1800"/>
      <c r="Y3" s="1800"/>
      <c r="Z3" s="1800"/>
      <c r="AA3" s="1800"/>
      <c r="AB3" s="1800"/>
      <c r="AC3" s="1802"/>
    </row>
    <row r="4" ht="15" spans="1:29">
      <c r="A4" s="1151" t="s">
        <v>1137</v>
      </c>
      <c r="B4" s="1152"/>
      <c r="C4" s="1153" t="s">
        <v>1138</v>
      </c>
      <c r="D4" s="1154"/>
      <c r="E4" s="1155" t="s">
        <v>1139</v>
      </c>
      <c r="F4" s="1156"/>
      <c r="G4" s="1153" t="s">
        <v>1140</v>
      </c>
      <c r="H4" s="1154"/>
      <c r="I4" s="1153" t="s">
        <v>1141</v>
      </c>
      <c r="J4" s="1154"/>
      <c r="K4" s="1783"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91" t="s">
        <v>1140</v>
      </c>
      <c r="AC4" s="1391" t="s">
        <v>1141</v>
      </c>
    </row>
    <row r="5" ht="15" spans="1:29">
      <c r="A5" s="1157"/>
      <c r="B5" s="1158"/>
      <c r="C5" s="1159" t="s">
        <v>1144</v>
      </c>
      <c r="D5" s="1160"/>
      <c r="E5" s="1161" t="s">
        <v>1612</v>
      </c>
      <c r="F5" s="1162"/>
      <c r="G5" s="1159" t="s">
        <v>1613</v>
      </c>
      <c r="H5" s="1160"/>
      <c r="I5" s="1159" t="s">
        <v>1614</v>
      </c>
      <c r="J5" s="1160"/>
      <c r="K5" s="1784"/>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784"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SUMIF(58:58,YEAR(E7)&amp;"-"&amp;MONTH(E7),59:59)</f>
        <v>0</v>
      </c>
      <c r="G7" s="1173"/>
      <c r="H7" s="1172">
        <f>SUMIF(58:58,YEAR(G7)&amp;"-"&amp;MONTH(G7),59:59)</f>
        <v>0</v>
      </c>
      <c r="I7" s="1173"/>
      <c r="J7" s="1172">
        <f>SUMIF(58:58,YEAR(I7)&amp;"-"&amp;MONTH(I7),59:59)</f>
        <v>0</v>
      </c>
      <c r="K7" s="1785"/>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769"/>
      <c r="F8" s="1174">
        <f>SUMIF(61:61,E8,62:62)-SUMIF(61:61,C8,62:62)+100</f>
        <v>100</v>
      </c>
      <c r="G8" s="1176"/>
      <c r="H8" s="1172">
        <f>SUMIF(61:61,G8,62:62)-SUMIF(61:61,C8,62:62)+100</f>
        <v>100</v>
      </c>
      <c r="I8" s="1769"/>
      <c r="J8" s="1172">
        <f>SUMIF(61:61,I8,62:62)-SUMIF(61:61,C8,62:62)+100</f>
        <v>100</v>
      </c>
      <c r="K8" s="1785"/>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19" si="3">D8/F8</f>
        <v>1</v>
      </c>
      <c r="AB8" s="1393">
        <f t="shared" ref="AB8:AB19" si="4">D8/H8</f>
        <v>1</v>
      </c>
      <c r="AC8" s="1393">
        <f t="shared" ref="AC8:AC19" si="5">D8/J8</f>
        <v>1</v>
      </c>
    </row>
    <row r="9" s="1132" customFormat="1" spans="1:29">
      <c r="A9" s="1177" t="s">
        <v>1157</v>
      </c>
      <c r="B9" s="1178" t="s">
        <v>1158</v>
      </c>
      <c r="C9" s="1566"/>
      <c r="D9" s="1180">
        <v>100</v>
      </c>
      <c r="E9" s="1636"/>
      <c r="F9" s="1568">
        <f>SUMIF(63:63,E9,64:64)-SUMIF(63:63,C9,64:64)+100</f>
        <v>100</v>
      </c>
      <c r="G9" s="1567"/>
      <c r="H9" s="1180">
        <f>SUMIF(63:63,G9,64:64)-SUMIF(63:63,C9,64:64)+100</f>
        <v>100</v>
      </c>
      <c r="I9" s="1567"/>
      <c r="J9" s="1180">
        <f>SUMIF(63:63,I9,64:64)-SUMIF(63:63,C9,64:64)+100</f>
        <v>100</v>
      </c>
      <c r="K9" s="1785"/>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785"/>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7"/>
      <c r="F11" s="1570" t="e">
        <f>LOOKUP(E11,68:68,69:69)-LOOKUP(C11,68:68,69:69)+100</f>
        <v>#N/A</v>
      </c>
      <c r="G11" s="1186"/>
      <c r="H11" s="1184" t="e">
        <f>LOOKUP(G11,68:68,69:69)-LOOKUP(C11,68:68,69:69)+100</f>
        <v>#N/A</v>
      </c>
      <c r="I11" s="1186"/>
      <c r="J11" s="1184" t="e">
        <f>LOOKUP(I11,68:68,69:69)-LOOKUP(C11,68:68,69:69)+100</f>
        <v>#N/A</v>
      </c>
      <c r="K11" s="1786"/>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787"/>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787"/>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787"/>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81" spans="1:29">
      <c r="A15" s="1199" t="s">
        <v>1165</v>
      </c>
      <c r="B15" s="1520" t="s">
        <v>1615</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788"/>
      <c r="L15" s="1329"/>
      <c r="M15" s="1313"/>
      <c r="N15" s="1313"/>
      <c r="O15" s="1313"/>
      <c r="P15" s="1745" t="s">
        <v>1167</v>
      </c>
      <c r="Q15" s="717" t="str">
        <f t="shared" si="6"/>
        <v>居住社区成熟度</v>
      </c>
      <c r="R15" s="1379" t="s">
        <v>1152</v>
      </c>
      <c r="S15" s="1380">
        <f t="shared" si="0"/>
        <v>100</v>
      </c>
      <c r="T15" s="1379" t="s">
        <v>1152</v>
      </c>
      <c r="U15" s="1380">
        <f t="shared" si="1"/>
        <v>100</v>
      </c>
      <c r="V15" s="1379" t="s">
        <v>1152</v>
      </c>
      <c r="W15" s="1380">
        <f t="shared" si="2"/>
        <v>100</v>
      </c>
      <c r="X15" s="1366"/>
      <c r="Y15" s="1331" t="s">
        <v>1167</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789"/>
      <c r="L16" s="1329"/>
      <c r="M16" s="1313"/>
      <c r="N16" s="1313"/>
      <c r="O16" s="1313"/>
      <c r="P16" s="1746"/>
      <c r="Q16" s="717"/>
      <c r="R16" s="1379"/>
      <c r="S16" s="1380"/>
      <c r="T16" s="1379"/>
      <c r="U16" s="1380"/>
      <c r="V16" s="1379"/>
      <c r="W16" s="1380"/>
      <c r="X16" s="1366"/>
      <c r="Y16" s="1332"/>
      <c r="Z16" s="1353"/>
      <c r="AA16" s="1395">
        <v>1</v>
      </c>
      <c r="AB16" s="1395">
        <v>1</v>
      </c>
      <c r="AC16" s="1395">
        <v>1</v>
      </c>
    </row>
    <row r="17" ht="67.5" spans="1:29">
      <c r="A17" s="1185"/>
      <c r="B17" s="1523" t="s">
        <v>1170</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788"/>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789"/>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788"/>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789"/>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788"/>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790"/>
      <c r="L22" s="1329"/>
      <c r="M22" s="1313"/>
      <c r="N22" s="1313"/>
      <c r="O22" s="1313"/>
      <c r="P22" s="1746"/>
      <c r="Q22" s="717"/>
      <c r="R22" s="1379"/>
      <c r="S22" s="1380"/>
      <c r="T22" s="1379"/>
      <c r="U22" s="1380"/>
      <c r="V22" s="1379"/>
      <c r="W22" s="1380"/>
      <c r="X22" s="1366"/>
      <c r="Y22" s="1332"/>
      <c r="Z22" s="1353"/>
      <c r="AA22" s="1395">
        <v>1</v>
      </c>
      <c r="AB22" s="1395">
        <v>1</v>
      </c>
      <c r="AC22" s="1395">
        <v>1</v>
      </c>
    </row>
    <row r="23" ht="40.5" spans="1:29">
      <c r="A23" s="1185"/>
      <c r="B23" s="1523" t="s">
        <v>1616</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788"/>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789"/>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1617</v>
      </c>
      <c r="C25" s="1587"/>
      <c r="D25" s="1194">
        <v>100</v>
      </c>
      <c r="E25" s="1237"/>
      <c r="F25" s="1194">
        <f>SUMIF(86:86,E25,87:87)-SUMIF(86:86,C25,87:87)+100</f>
        <v>100</v>
      </c>
      <c r="G25" s="1770"/>
      <c r="H25" s="1194">
        <f>SUMIF(86:86,G25,87:87)-SUMIF(86:86,C25,87:87)+100</f>
        <v>100</v>
      </c>
      <c r="I25" s="1770"/>
      <c r="J25" s="1194">
        <f>SUMIF(86:86,I25,87:87)-SUMIF(86:86,C25,87:87)+100</f>
        <v>100</v>
      </c>
      <c r="K25" s="1786"/>
      <c r="L25" s="1329"/>
      <c r="M25" s="1313"/>
      <c r="N25" s="1313"/>
      <c r="O25" s="1313"/>
      <c r="P25" s="1746"/>
      <c r="Q25" s="717" t="str">
        <f t="shared" ref="Q25:Q46" si="11">B25</f>
        <v>楼层-1</v>
      </c>
      <c r="R25" s="1379" t="s">
        <v>1152</v>
      </c>
      <c r="S25" s="1380">
        <f t="shared" ref="S25:S46" si="12">F25</f>
        <v>100</v>
      </c>
      <c r="T25" s="1379" t="s">
        <v>1152</v>
      </c>
      <c r="U25" s="1380">
        <f t="shared" ref="U25:U46" si="13">H25</f>
        <v>100</v>
      </c>
      <c r="V25" s="1379" t="s">
        <v>1152</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1179</v>
      </c>
      <c r="C26" s="1587"/>
      <c r="D26" s="1194">
        <v>100</v>
      </c>
      <c r="E26" s="1237"/>
      <c r="F26" s="1194">
        <f>SUMIF(88:88,E26,89:89)-SUMIF(88:88,C26,89:89)+100</f>
        <v>100</v>
      </c>
      <c r="G26" s="1770"/>
      <c r="H26" s="1194">
        <f>SUMIF(88:88,G26,89:89)-SUMIF(88:88,C26,89:89)+100</f>
        <v>100</v>
      </c>
      <c r="I26" s="1770"/>
      <c r="J26" s="1194">
        <f>SUMIF(88:88,I26,89:89)-SUMIF(88:88,C26,89:89)+100</f>
        <v>100</v>
      </c>
      <c r="K26" s="1786"/>
      <c r="L26" s="1329"/>
      <c r="M26" s="1313"/>
      <c r="N26" s="1313"/>
      <c r="O26" s="1313"/>
      <c r="P26" s="1746"/>
      <c r="Q26" s="717" t="str">
        <f t="shared" si="11"/>
        <v>朝向</v>
      </c>
      <c r="R26" s="1379" t="s">
        <v>1152</v>
      </c>
      <c r="S26" s="1380">
        <f t="shared" si="12"/>
        <v>100</v>
      </c>
      <c r="T26" s="1379" t="s">
        <v>1152</v>
      </c>
      <c r="U26" s="1380">
        <f t="shared" si="13"/>
        <v>100</v>
      </c>
      <c r="V26" s="1379" t="s">
        <v>1152</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787"/>
      <c r="L27" s="1318"/>
      <c r="M27" s="1319"/>
      <c r="N27" s="1319"/>
      <c r="O27" s="1319"/>
      <c r="P27" s="1746"/>
      <c r="Q27" s="1378">
        <f t="shared" si="11"/>
        <v>111</v>
      </c>
      <c r="R27" s="1374" t="s">
        <v>1152</v>
      </c>
      <c r="S27" s="1375">
        <f t="shared" si="12"/>
        <v>100</v>
      </c>
      <c r="T27" s="1374" t="s">
        <v>1152</v>
      </c>
      <c r="U27" s="1375">
        <f t="shared" si="13"/>
        <v>100</v>
      </c>
      <c r="V27" s="1374" t="s">
        <v>1152</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71"/>
      <c r="H28" s="1194">
        <f>SUMIF(92:92,G28,93:93)-SUMIF(92:92,C28,93:93)+100</f>
        <v>100</v>
      </c>
      <c r="I28" s="1193"/>
      <c r="J28" s="1194">
        <f>SUMIF(92:92,I28,93:93)-SUMIF(92:92,C28,93:93)+100</f>
        <v>100</v>
      </c>
      <c r="K28" s="1787"/>
      <c r="L28" s="1329"/>
      <c r="M28" s="1313"/>
      <c r="N28" s="1313"/>
      <c r="O28" s="1313"/>
      <c r="P28" s="1746"/>
      <c r="Q28" s="717">
        <f t="shared" si="11"/>
        <v>111</v>
      </c>
      <c r="R28" s="1379" t="s">
        <v>1152</v>
      </c>
      <c r="S28" s="1380">
        <f t="shared" si="12"/>
        <v>100</v>
      </c>
      <c r="T28" s="1379" t="s">
        <v>1152</v>
      </c>
      <c r="U28" s="1380">
        <f t="shared" si="13"/>
        <v>100</v>
      </c>
      <c r="V28" s="1379" t="s">
        <v>1152</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71"/>
      <c r="H29" s="1194">
        <f>SUMIF(94:94,G29,95:95)-SUMIF(94:94,C29,95:95)+100</f>
        <v>100</v>
      </c>
      <c r="I29" s="1193"/>
      <c r="J29" s="1194">
        <f>SUMIF(94:94,I29,95:95)-SUMIF(94:94,C29,95:95)+100</f>
        <v>100</v>
      </c>
      <c r="K29" s="1787"/>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71"/>
      <c r="H30" s="1194">
        <f>SUMIF(96:96,G30,97:97)-SUMIF(96:96,C30,97:97)+100</f>
        <v>100</v>
      </c>
      <c r="I30" s="1193"/>
      <c r="J30" s="1194">
        <f>SUMIF(96:96,I30,97:97)-SUMIF(96:96,C30,97:97)+100</f>
        <v>100</v>
      </c>
      <c r="K30" s="1787"/>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72"/>
      <c r="H31" s="1198">
        <f>SUMIF(98:98,G31,99:99)-SUMIF(98:98,C31,99:99)+100</f>
        <v>100</v>
      </c>
      <c r="I31" s="1197"/>
      <c r="J31" s="1198">
        <f>SUMIF(98:98,I31,99:99)-SUMIF(98:98,C31,99:99)+100</f>
        <v>100</v>
      </c>
      <c r="K31" s="1787"/>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8"/>
        <v>111</v>
      </c>
      <c r="AA31" s="1395">
        <f t="shared" si="15"/>
        <v>1</v>
      </c>
      <c r="AB31" s="1395">
        <f t="shared" si="16"/>
        <v>1</v>
      </c>
      <c r="AC31" s="1395">
        <f t="shared" si="17"/>
        <v>1</v>
      </c>
    </row>
    <row r="32" ht="15" spans="1:29">
      <c r="A32" s="1199" t="s">
        <v>1180</v>
      </c>
      <c r="B32" s="1178" t="s">
        <v>1181</v>
      </c>
      <c r="C32" s="1738"/>
      <c r="D32" s="1235">
        <v>100</v>
      </c>
      <c r="E32" s="1773"/>
      <c r="F32" s="1577">
        <f>SUMIF(100:100,E32,101:101)-SUMIF(100:100,C32,101:101)+100</f>
        <v>100</v>
      </c>
      <c r="G32" s="1738"/>
      <c r="H32" s="1235">
        <f>SUMIF(100:100,G32,101:101)-SUMIF(100:100,C32,101:101)+100</f>
        <v>100</v>
      </c>
      <c r="I32" s="1773"/>
      <c r="J32" s="1194">
        <f>SUMIF(100:100,I32,101:101)-SUMIF(100:100,C32,101:101)+100</f>
        <v>100</v>
      </c>
      <c r="K32" s="1786"/>
      <c r="L32" s="1329"/>
      <c r="M32" s="1313"/>
      <c r="N32" s="1313"/>
      <c r="O32" s="1313"/>
      <c r="P32" s="1747" t="s">
        <v>1183</v>
      </c>
      <c r="Q32" s="717" t="str">
        <f t="shared" si="11"/>
        <v>建筑类型</v>
      </c>
      <c r="R32" s="1379" t="s">
        <v>1152</v>
      </c>
      <c r="S32" s="1380">
        <f t="shared" si="12"/>
        <v>100</v>
      </c>
      <c r="T32" s="1379" t="s">
        <v>1152</v>
      </c>
      <c r="U32" s="1380">
        <f t="shared" si="13"/>
        <v>100</v>
      </c>
      <c r="V32" s="1379" t="s">
        <v>1152</v>
      </c>
      <c r="W32" s="1380">
        <f t="shared" si="14"/>
        <v>100</v>
      </c>
      <c r="X32" s="1366"/>
      <c r="Y32" s="1341" t="s">
        <v>1183</v>
      </c>
      <c r="Z32" s="1353" t="str">
        <f t="shared" si="18"/>
        <v>建筑类型</v>
      </c>
      <c r="AA32" s="1395">
        <f t="shared" si="15"/>
        <v>1</v>
      </c>
      <c r="AB32" s="1395">
        <f t="shared" si="16"/>
        <v>1</v>
      </c>
      <c r="AC32" s="1395">
        <f t="shared" si="17"/>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787"/>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1185</v>
      </c>
      <c r="C34" s="1739"/>
      <c r="D34" s="1194">
        <v>100</v>
      </c>
      <c r="E34" s="1774"/>
      <c r="F34" s="1577">
        <f>SUMIF(105:105,E34,106:106)-SUMIF(105:105,C34,106:106)+100</f>
        <v>100</v>
      </c>
      <c r="G34" s="1739"/>
      <c r="H34" s="1194">
        <f>SUMIF(105:105,G34,106:106)-SUMIF(105:105,C34,106:106)+100</f>
        <v>100</v>
      </c>
      <c r="I34" s="1774"/>
      <c r="J34" s="1194">
        <f>SUMIF(105:105,I34,106:106)-SUMIF(105:105,C34,106:106)+100</f>
        <v>100</v>
      </c>
      <c r="K34" s="1786"/>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8"/>
        <v>建筑结构</v>
      </c>
      <c r="AA34" s="1395">
        <f t="shared" si="15"/>
        <v>1</v>
      </c>
      <c r="AB34" s="1395">
        <f t="shared" si="16"/>
        <v>1</v>
      </c>
      <c r="AC34" s="1395">
        <f t="shared" si="17"/>
        <v>1</v>
      </c>
    </row>
    <row r="35" ht="15" spans="1:29">
      <c r="A35" s="1236"/>
      <c r="B35" s="1182" t="s">
        <v>1618</v>
      </c>
      <c r="C35" s="1237"/>
      <c r="D35" s="1194">
        <v>100</v>
      </c>
      <c r="E35" s="1770"/>
      <c r="F35" s="1577">
        <f>SUMIF(107:107,E35,108:108)-SUMIF(107:107,C35,108:108)+100</f>
        <v>100</v>
      </c>
      <c r="G35" s="1237"/>
      <c r="H35" s="1194">
        <f>SUMIF(107:107,G35,108:108)-SUMIF(107:107,C35,108:108)+100</f>
        <v>100</v>
      </c>
      <c r="I35" s="1770"/>
      <c r="J35" s="1194">
        <f>SUMIF(107:107,I35,108:108)-SUMIF(107:107,C35,108:108)+100</f>
        <v>100</v>
      </c>
      <c r="K35" s="1786"/>
      <c r="L35" s="1329"/>
      <c r="M35" s="1313"/>
      <c r="N35" s="1313"/>
      <c r="O35" s="1313"/>
      <c r="P35" s="1748"/>
      <c r="Q35" s="717" t="str">
        <f t="shared" si="11"/>
        <v>建筑品质</v>
      </c>
      <c r="R35" s="1379" t="s">
        <v>1152</v>
      </c>
      <c r="S35" s="1380">
        <f t="shared" si="12"/>
        <v>100</v>
      </c>
      <c r="T35" s="1379" t="s">
        <v>1152</v>
      </c>
      <c r="U35" s="1380">
        <f t="shared" si="13"/>
        <v>100</v>
      </c>
      <c r="V35" s="1379" t="s">
        <v>1152</v>
      </c>
      <c r="W35" s="1380">
        <f t="shared" si="14"/>
        <v>100</v>
      </c>
      <c r="X35" s="1366"/>
      <c r="Y35" s="1341"/>
      <c r="Z35" s="1353" t="str">
        <f t="shared" si="18"/>
        <v>建筑品质</v>
      </c>
      <c r="AA35" s="1395">
        <f t="shared" si="15"/>
        <v>1</v>
      </c>
      <c r="AB35" s="1395">
        <f t="shared" si="16"/>
        <v>1</v>
      </c>
      <c r="AC35" s="1395">
        <f t="shared" si="17"/>
        <v>1</v>
      </c>
    </row>
    <row r="36" ht="15" spans="1:29">
      <c r="A36" s="1236"/>
      <c r="B36" s="1182" t="s">
        <v>1187</v>
      </c>
      <c r="C36" s="1237"/>
      <c r="D36" s="1194">
        <v>100</v>
      </c>
      <c r="E36" s="1770"/>
      <c r="F36" s="1577">
        <f>SUMIF(109:109,E36,110:110)-SUMIF(109:109,C36,110:110)+100</f>
        <v>100</v>
      </c>
      <c r="G36" s="1237"/>
      <c r="H36" s="1194">
        <f>SUMIF(109:109,G36,110:110)-SUMIF(109:109,C36,110:110)+100</f>
        <v>100</v>
      </c>
      <c r="I36" s="1770"/>
      <c r="J36" s="1194">
        <f>SUMIF(109:109,I36,110:110)-SUMIF(109:109,C36,110:110)+100</f>
        <v>100</v>
      </c>
      <c r="K36" s="1786"/>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681</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786"/>
      <c r="L37" s="1318"/>
      <c r="M37" s="1319"/>
      <c r="N37" s="1319"/>
      <c r="O37" s="1319"/>
      <c r="P37" s="1748"/>
      <c r="Q37" s="1378" t="str">
        <f t="shared" si="11"/>
        <v>成新度</v>
      </c>
      <c r="R37" s="1374" t="s">
        <v>1152</v>
      </c>
      <c r="S37" s="1375" t="e">
        <f t="shared" si="12"/>
        <v>#N/A</v>
      </c>
      <c r="T37" s="1374" t="s">
        <v>1152</v>
      </c>
      <c r="U37" s="1375" t="e">
        <f t="shared" si="13"/>
        <v>#N/A</v>
      </c>
      <c r="V37" s="1374" t="s">
        <v>1152</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1190</v>
      </c>
      <c r="C38" s="1237"/>
      <c r="D38" s="1194">
        <v>100</v>
      </c>
      <c r="E38" s="1770"/>
      <c r="F38" s="1577">
        <f>SUMIF(114:114,E38,115:115)-SUMIF(114:114,C38,115:115)+100</f>
        <v>100</v>
      </c>
      <c r="G38" s="1237"/>
      <c r="H38" s="1194">
        <f>SUMIF(114:114,G38,115:115)-SUMIF(114:114,C38,115:115)+100</f>
        <v>100</v>
      </c>
      <c r="I38" s="1770"/>
      <c r="J38" s="1194">
        <f>SUMIF(114:114,I38,115:115)-SUMIF(114:114,C38,115:115)+100</f>
        <v>100</v>
      </c>
      <c r="K38" s="1786"/>
      <c r="L38" s="1329"/>
      <c r="M38" s="1313"/>
      <c r="N38" s="1313"/>
      <c r="O38" s="1313"/>
      <c r="P38" s="1748" t="s">
        <v>1183</v>
      </c>
      <c r="Q38" s="717" t="str">
        <f t="shared" si="11"/>
        <v>物业管理</v>
      </c>
      <c r="R38" s="1379" t="s">
        <v>1152</v>
      </c>
      <c r="S38" s="1380">
        <f t="shared" si="12"/>
        <v>100</v>
      </c>
      <c r="T38" s="1379" t="s">
        <v>1152</v>
      </c>
      <c r="U38" s="1380">
        <f t="shared" si="13"/>
        <v>100</v>
      </c>
      <c r="V38" s="1379" t="s">
        <v>1152</v>
      </c>
      <c r="W38" s="1380">
        <f t="shared" si="14"/>
        <v>100</v>
      </c>
      <c r="X38" s="1366"/>
      <c r="Y38" s="1341" t="s">
        <v>1183</v>
      </c>
      <c r="Z38" s="1353" t="str">
        <f t="shared" si="18"/>
        <v>物业管理</v>
      </c>
      <c r="AA38" s="1395">
        <f t="shared" si="15"/>
        <v>1</v>
      </c>
      <c r="AB38" s="1395">
        <f t="shared" si="16"/>
        <v>1</v>
      </c>
      <c r="AC38" s="1395">
        <f t="shared" si="17"/>
        <v>1</v>
      </c>
    </row>
    <row r="39" ht="15" spans="1:29">
      <c r="A39" s="1236"/>
      <c r="B39" s="1182" t="s">
        <v>1191</v>
      </c>
      <c r="C39" s="1237"/>
      <c r="D39" s="1194">
        <v>100</v>
      </c>
      <c r="E39" s="1770"/>
      <c r="F39" s="1577">
        <f>SUMIF(116:116,E39,117:117)-SUMIF(116:116,C39,117:117)+100</f>
        <v>100</v>
      </c>
      <c r="G39" s="1237"/>
      <c r="H39" s="1194">
        <f>SUMIF(116:116,G39,117:117)-SUMIF(116:116,C39,117:117)+100</f>
        <v>100</v>
      </c>
      <c r="I39" s="1770"/>
      <c r="J39" s="1194">
        <f>SUMIF(116:116,I39,117:117)-SUMIF(116:116,C39,117:117)+100</f>
        <v>100</v>
      </c>
      <c r="K39" s="1786"/>
      <c r="L39" s="1329"/>
      <c r="M39" s="1313"/>
      <c r="N39" s="1313"/>
      <c r="O39" s="1313"/>
      <c r="P39" s="1748"/>
      <c r="Q39" s="717" t="str">
        <f t="shared" si="11"/>
        <v>市政基础设施</v>
      </c>
      <c r="R39" s="1379" t="s">
        <v>1152</v>
      </c>
      <c r="S39" s="1380">
        <f t="shared" si="12"/>
        <v>100</v>
      </c>
      <c r="T39" s="1379" t="s">
        <v>1152</v>
      </c>
      <c r="U39" s="1380">
        <f t="shared" si="13"/>
        <v>100</v>
      </c>
      <c r="V39" s="1379" t="s">
        <v>1152</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1619</v>
      </c>
      <c r="C40" s="1237"/>
      <c r="D40" s="1194">
        <v>100</v>
      </c>
      <c r="E40" s="1770"/>
      <c r="F40" s="1577">
        <f>SUMIF(118:118,E40,119:119)-SUMIF(118:118,C40,119:119)+100</f>
        <v>100</v>
      </c>
      <c r="G40" s="1237"/>
      <c r="H40" s="1194">
        <f>SUMIF(118:118,G40,119:119)-SUMIF(118:118,C40,119:119)+100</f>
        <v>100</v>
      </c>
      <c r="I40" s="1770"/>
      <c r="J40" s="1194">
        <f>SUMIF(118:118,I40,119:119)-SUMIF(118:118,C40,119:119)+100</f>
        <v>100</v>
      </c>
      <c r="K40" s="1786"/>
      <c r="L40" s="1329"/>
      <c r="M40" s="1313"/>
      <c r="N40" s="1313"/>
      <c r="O40" s="1313"/>
      <c r="P40" s="1748"/>
      <c r="Q40" s="717" t="str">
        <f t="shared" si="11"/>
        <v>房型</v>
      </c>
      <c r="R40" s="1379" t="s">
        <v>1152</v>
      </c>
      <c r="S40" s="1380">
        <f t="shared" si="12"/>
        <v>100</v>
      </c>
      <c r="T40" s="1379" t="s">
        <v>1152</v>
      </c>
      <c r="U40" s="1380">
        <f t="shared" si="13"/>
        <v>100</v>
      </c>
      <c r="V40" s="1379" t="s">
        <v>1152</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1620</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787"/>
      <c r="L41" s="1327"/>
      <c r="M41" s="1339"/>
      <c r="N41" s="1339"/>
      <c r="O41" s="1339"/>
      <c r="P41" s="1748"/>
      <c r="Q41" s="1616" t="str">
        <f t="shared" si="11"/>
        <v>单套/主力户型建筑面积</v>
      </c>
      <c r="R41" s="1381" t="s">
        <v>1152</v>
      </c>
      <c r="S41" s="1382">
        <f t="shared" si="12"/>
        <v>100</v>
      </c>
      <c r="T41" s="1381" t="s">
        <v>1152</v>
      </c>
      <c r="U41" s="1382">
        <f t="shared" si="13"/>
        <v>100</v>
      </c>
      <c r="V41" s="1381" t="s">
        <v>1152</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1195</v>
      </c>
      <c r="C42" s="1237"/>
      <c r="D42" s="1194">
        <v>100</v>
      </c>
      <c r="E42" s="1770"/>
      <c r="F42" s="1577">
        <f>SUMIF(122:122,E42,123:123)-SUMIF(122:122,C42,123:123)+100</f>
        <v>100</v>
      </c>
      <c r="G42" s="1237"/>
      <c r="H42" s="1194">
        <f>SUMIF(122:122,G42,123:123)-SUMIF(122:122,C42,123:123)+100</f>
        <v>100</v>
      </c>
      <c r="I42" s="1770"/>
      <c r="J42" s="1194">
        <f>SUMIF(122:122,I42,123:123)-SUMIF(122:122,C42,123:123)+100</f>
        <v>100</v>
      </c>
      <c r="K42" s="1786"/>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8"/>
        <v>内部装修</v>
      </c>
      <c r="AA42" s="1395">
        <f t="shared" si="15"/>
        <v>1</v>
      </c>
      <c r="AB42" s="1395">
        <f t="shared" si="16"/>
        <v>1</v>
      </c>
      <c r="AC42" s="1395">
        <f t="shared" si="17"/>
        <v>1</v>
      </c>
    </row>
    <row r="43" ht="15" spans="1:29">
      <c r="A43" s="1236"/>
      <c r="B43" s="1182" t="s">
        <v>1197</v>
      </c>
      <c r="C43" s="1237"/>
      <c r="D43" s="1194">
        <v>100</v>
      </c>
      <c r="E43" s="1770"/>
      <c r="F43" s="1577">
        <f>SUMIF(124:124,E43,125:125)-SUMIF(124:124,C43,125:125)+100</f>
        <v>100</v>
      </c>
      <c r="G43" s="1237"/>
      <c r="H43" s="1194">
        <f>SUMIF(124:124,G43,125:125)-SUMIF(124:124,C43,125:125)+100</f>
        <v>100</v>
      </c>
      <c r="I43" s="1770"/>
      <c r="J43" s="1194">
        <f>SUMIF(124:124,I43,125:125)-SUMIF(124:124,C43,125:125)+100</f>
        <v>100</v>
      </c>
      <c r="K43" s="1786"/>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787"/>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787"/>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787"/>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8"/>
        <v>111</v>
      </c>
      <c r="AA46" s="1395">
        <f t="shared" si="15"/>
        <v>1</v>
      </c>
      <c r="AB46" s="1395">
        <f t="shared" si="16"/>
        <v>1</v>
      </c>
      <c r="AC46" s="1395">
        <f t="shared" si="17"/>
        <v>1</v>
      </c>
    </row>
    <row r="47" ht="15" spans="1:29">
      <c r="A47" s="1243" t="s">
        <v>1198</v>
      </c>
      <c r="B47" s="1591"/>
      <c r="C47" s="1592" t="s">
        <v>124</v>
      </c>
      <c r="D47" s="1593"/>
      <c r="E47" s="1594"/>
      <c r="F47" s="1595"/>
      <c r="G47" s="1596"/>
      <c r="H47" s="1597"/>
      <c r="I47" s="1594"/>
      <c r="J47" s="1597"/>
      <c r="K47" s="1791"/>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792">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775" t="e">
        <f>R49</f>
        <v>#DIV/0!</v>
      </c>
      <c r="D49" s="1601"/>
      <c r="E49" s="1601"/>
      <c r="F49" s="1601"/>
      <c r="G49" s="1601"/>
      <c r="H49" s="1601"/>
      <c r="I49" s="1601"/>
      <c r="J49" s="1601"/>
      <c r="K49" s="1793"/>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94"/>
    </row>
    <row r="55" s="1135" customFormat="1" spans="1:16">
      <c r="A55" s="1265"/>
      <c r="B55" s="1266"/>
      <c r="C55" s="1602"/>
      <c r="D55" s="1265"/>
      <c r="E55" s="1265"/>
      <c r="F55" s="1265"/>
      <c r="G55" s="1265"/>
      <c r="H55" s="1265"/>
      <c r="I55" s="1265"/>
      <c r="J55" s="1265"/>
      <c r="K55" s="1351"/>
      <c r="L55" s="1352"/>
      <c r="M55" s="1265"/>
      <c r="N55" s="1265"/>
      <c r="O55" s="1265"/>
      <c r="P55" s="1794"/>
    </row>
    <row r="56" spans="1:15">
      <c r="A56" s="1260"/>
      <c r="B56" s="1266"/>
      <c r="C56" s="1602"/>
      <c r="D56" s="1260"/>
      <c r="E56" s="1260"/>
      <c r="F56" s="1260"/>
      <c r="G56" s="1260"/>
      <c r="H56" s="1260"/>
      <c r="I56" s="1260"/>
      <c r="J56" s="1260"/>
      <c r="K56" s="1349"/>
      <c r="L56" s="1350"/>
      <c r="M56" s="1260"/>
      <c r="N56" s="1260"/>
      <c r="O56" s="1260"/>
    </row>
    <row r="57" ht="21" spans="1:17">
      <c r="A57" s="1300" t="s">
        <v>1205</v>
      </c>
      <c r="B57" s="1301"/>
      <c r="C57" s="1302"/>
      <c r="D57" s="1302"/>
      <c r="E57" s="1302"/>
      <c r="F57" s="1303"/>
      <c r="G57" s="1303"/>
      <c r="H57" s="1302"/>
      <c r="I57" s="1302"/>
      <c r="J57" s="1302"/>
      <c r="K57" s="1546"/>
      <c r="L57" s="1547"/>
      <c r="M57" s="1361"/>
      <c r="N57" s="1361"/>
      <c r="O57" s="1361"/>
      <c r="P57" s="1795"/>
      <c r="Q57" s="1713"/>
    </row>
    <row r="58" s="1137" customFormat="1" ht="15" spans="1:16">
      <c r="A58" s="1603" t="s">
        <v>1150</v>
      </c>
      <c r="B58" s="1604"/>
      <c r="C58" s="1776" t="str">
        <f>YEAR(C7)&amp;"-"&amp;MONTH(C7)</f>
        <v>2025-7</v>
      </c>
      <c r="D58" s="1606">
        <f>EDATE(C58,-1)</f>
        <v>45809</v>
      </c>
      <c r="E58" s="1606">
        <f>EDATE(D58,-1)</f>
        <v>45778</v>
      </c>
      <c r="F58" s="1606">
        <f t="shared" ref="F58:O58" si="19">EDATE(E58,-1)</f>
        <v>45748</v>
      </c>
      <c r="G58" s="1606">
        <f t="shared" si="19"/>
        <v>45717</v>
      </c>
      <c r="H58" s="1606">
        <f t="shared" si="19"/>
        <v>45689</v>
      </c>
      <c r="I58" s="1606">
        <f t="shared" si="19"/>
        <v>45658</v>
      </c>
      <c r="J58" s="1606">
        <f t="shared" si="19"/>
        <v>45627</v>
      </c>
      <c r="K58" s="1606">
        <f t="shared" si="19"/>
        <v>45597</v>
      </c>
      <c r="L58" s="1606">
        <f t="shared" si="19"/>
        <v>45566</v>
      </c>
      <c r="M58" s="1606">
        <f t="shared" si="19"/>
        <v>45536</v>
      </c>
      <c r="N58" s="1606">
        <f t="shared" si="19"/>
        <v>45505</v>
      </c>
      <c r="O58" s="1606">
        <f t="shared" si="19"/>
        <v>45474</v>
      </c>
      <c r="P58" s="1796"/>
    </row>
    <row r="59" s="1132" customFormat="1" ht="15" spans="1:16">
      <c r="A59" s="1607"/>
      <c r="B59" s="1777"/>
      <c r="C59" s="1608">
        <v>100</v>
      </c>
      <c r="D59" s="1742"/>
      <c r="E59" s="1413"/>
      <c r="F59" s="1413"/>
      <c r="G59" s="1413"/>
      <c r="H59" s="1413"/>
      <c r="I59" s="1413"/>
      <c r="J59" s="1413"/>
      <c r="K59" s="1413"/>
      <c r="L59" s="1413"/>
      <c r="M59" s="1615"/>
      <c r="N59" s="1413"/>
      <c r="O59" s="1615"/>
      <c r="P59" s="1797"/>
    </row>
    <row r="60" s="1132" customFormat="1" ht="15.75" spans="1:17">
      <c r="A60" s="1404" t="s">
        <v>1206</v>
      </c>
      <c r="B60" s="1405"/>
      <c r="C60" s="1406"/>
      <c r="D60" s="1407"/>
      <c r="E60" s="1407"/>
      <c r="F60" s="1407"/>
      <c r="G60" s="1407"/>
      <c r="H60" s="1407"/>
      <c r="I60" s="1407"/>
      <c r="J60" s="1407"/>
      <c r="K60" s="1407"/>
      <c r="L60" s="1407"/>
      <c r="M60" s="1455"/>
      <c r="N60" s="1407"/>
      <c r="O60" s="1455"/>
      <c r="P60" s="1797"/>
      <c r="Q60" s="1713"/>
    </row>
    <row r="61" s="1132" customFormat="1" ht="15" spans="1:17">
      <c r="A61" s="1408" t="s">
        <v>1153</v>
      </c>
      <c r="B61" s="1409"/>
      <c r="C61" s="1410" t="s">
        <v>1207</v>
      </c>
      <c r="D61" s="1411"/>
      <c r="E61" s="1411"/>
      <c r="F61" s="1411"/>
      <c r="G61" s="1411"/>
      <c r="H61" s="1411"/>
      <c r="I61" s="1411"/>
      <c r="J61" s="1411"/>
      <c r="K61" s="1411"/>
      <c r="L61" s="1457"/>
      <c r="M61" s="1458"/>
      <c r="N61" s="1716"/>
      <c r="O61" s="1716"/>
      <c r="P61" s="1798"/>
      <c r="Q61" s="1713"/>
    </row>
    <row r="62" s="1132" customFormat="1" ht="15.75" spans="1:17">
      <c r="A62" s="1408"/>
      <c r="B62" s="1409"/>
      <c r="C62" s="1742">
        <v>100</v>
      </c>
      <c r="D62" s="1413"/>
      <c r="E62" s="1413"/>
      <c r="F62" s="1413"/>
      <c r="G62" s="1413"/>
      <c r="H62" s="1413"/>
      <c r="I62" s="1413"/>
      <c r="J62" s="1413"/>
      <c r="K62" s="1413"/>
      <c r="L62" s="1413"/>
      <c r="M62" s="1461"/>
      <c r="N62" s="1716"/>
      <c r="O62" s="1716"/>
      <c r="P62" s="1797"/>
      <c r="Q62" s="1713"/>
    </row>
    <row r="63" spans="1:17">
      <c r="A63" s="1414" t="s">
        <v>1208</v>
      </c>
      <c r="B63" s="1415" t="s">
        <v>1158</v>
      </c>
      <c r="C63" s="1437">
        <f>C9</f>
        <v>0</v>
      </c>
      <c r="D63" s="1342"/>
      <c r="E63" s="1342"/>
      <c r="F63" s="1342"/>
      <c r="G63" s="1342"/>
      <c r="H63" s="1342"/>
      <c r="I63" s="1342"/>
      <c r="J63" s="1342"/>
      <c r="K63" s="1462"/>
      <c r="L63" s="1463"/>
      <c r="M63" s="1464"/>
      <c r="N63" s="1718"/>
      <c r="O63" s="1718"/>
      <c r="P63" s="1799"/>
      <c r="Q63" s="1713"/>
    </row>
    <row r="64" ht="15.75" spans="1:17">
      <c r="A64" s="1416"/>
      <c r="B64" s="1417"/>
      <c r="C64" s="1418">
        <v>100</v>
      </c>
      <c r="D64" s="1418"/>
      <c r="E64" s="1418"/>
      <c r="F64" s="1418"/>
      <c r="G64" s="1418"/>
      <c r="H64" s="1418"/>
      <c r="I64" s="1418"/>
      <c r="J64" s="1418"/>
      <c r="K64" s="1418"/>
      <c r="L64" s="1418"/>
      <c r="M64" s="1467"/>
      <c r="N64" s="1720"/>
      <c r="O64" s="1720"/>
      <c r="P64" s="1799"/>
      <c r="Q64" s="1713"/>
    </row>
    <row r="65" ht="27.75" spans="1:17">
      <c r="A65" s="1416"/>
      <c r="B65" s="1419" t="s">
        <v>1161</v>
      </c>
      <c r="C65" s="1444"/>
      <c r="D65" s="1444"/>
      <c r="E65" s="1444"/>
      <c r="F65" s="1444"/>
      <c r="G65" s="1444"/>
      <c r="H65" s="1444"/>
      <c r="I65" s="1444"/>
      <c r="J65" s="1444"/>
      <c r="K65" s="1444"/>
      <c r="L65" s="1444"/>
      <c r="M65" s="1444"/>
      <c r="N65" s="1720"/>
      <c r="O65" s="1720"/>
      <c r="P65" s="1799"/>
      <c r="Q65" s="1713"/>
    </row>
    <row r="66" ht="15.75" spans="1:17">
      <c r="A66" s="1416"/>
      <c r="B66" s="1421"/>
      <c r="C66" s="1418"/>
      <c r="D66" s="1418"/>
      <c r="E66" s="1418"/>
      <c r="F66" s="1418"/>
      <c r="G66" s="1418"/>
      <c r="H66" s="1418"/>
      <c r="I66" s="1418"/>
      <c r="J66" s="1418"/>
      <c r="K66" s="1418"/>
      <c r="L66" s="1418"/>
      <c r="M66" s="1467"/>
      <c r="N66" s="1720"/>
      <c r="O66" s="1720"/>
      <c r="P66" s="1799"/>
      <c r="Q66" s="1713"/>
    </row>
    <row r="67" ht="15.75" spans="1:17">
      <c r="A67" s="1416"/>
      <c r="B67" s="1423" t="s">
        <v>1164</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799"/>
      <c r="Q67" s="1713"/>
    </row>
    <row r="68" ht="15" spans="1:17">
      <c r="A68" s="1416"/>
      <c r="B68" s="1425"/>
      <c r="C68" s="1191"/>
      <c r="D68" s="1191"/>
      <c r="E68" s="1191"/>
      <c r="F68" s="1191"/>
      <c r="G68" s="1191"/>
      <c r="H68" s="1191"/>
      <c r="I68" s="1191"/>
      <c r="J68" s="1191"/>
      <c r="K68" s="1473"/>
      <c r="L68" s="1474"/>
      <c r="M68" s="1475"/>
      <c r="N68" s="1718"/>
      <c r="O68" s="1718"/>
      <c r="P68" s="1799"/>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799"/>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03"/>
      <c r="Q70" s="1724"/>
    </row>
    <row r="71" s="1134" customFormat="1" ht="15.75" spans="1:17">
      <c r="A71" s="1426"/>
      <c r="B71" s="1421"/>
      <c r="C71" s="1429"/>
      <c r="D71" s="1418"/>
      <c r="E71" s="1418"/>
      <c r="F71" s="1418"/>
      <c r="G71" s="1418"/>
      <c r="H71" s="1418"/>
      <c r="I71" s="1418"/>
      <c r="J71" s="1418"/>
      <c r="K71" s="1418"/>
      <c r="L71" s="1418"/>
      <c r="M71" s="1467"/>
      <c r="N71" s="1720"/>
      <c r="O71" s="1720"/>
      <c r="P71" s="1803"/>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04"/>
      <c r="Q72" s="1730"/>
    </row>
    <row r="73" s="1134" customFormat="1" ht="15.75" spans="1:17">
      <c r="A73" s="1426"/>
      <c r="B73" s="1421"/>
      <c r="C73" s="1429"/>
      <c r="D73" s="1429"/>
      <c r="E73" s="1429"/>
      <c r="F73" s="1429"/>
      <c r="G73" s="1429"/>
      <c r="H73" s="1430"/>
      <c r="I73" s="1430"/>
      <c r="J73" s="1430"/>
      <c r="K73" s="1430"/>
      <c r="L73" s="1430"/>
      <c r="M73" s="1480"/>
      <c r="N73" s="1721"/>
      <c r="O73" s="1721"/>
      <c r="P73" s="1803"/>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05"/>
      <c r="Q74" s="1724"/>
    </row>
    <row r="75" s="1134" customFormat="1" ht="15.75" spans="1:17">
      <c r="A75" s="1432"/>
      <c r="B75" s="1433"/>
      <c r="C75" s="1434"/>
      <c r="D75" s="1434"/>
      <c r="E75" s="1434"/>
      <c r="F75" s="1434"/>
      <c r="G75" s="1434"/>
      <c r="H75" s="1435"/>
      <c r="I75" s="1435"/>
      <c r="J75" s="1435"/>
      <c r="K75" s="1435"/>
      <c r="L75" s="1435"/>
      <c r="M75" s="1484"/>
      <c r="N75" s="1721"/>
      <c r="O75" s="1721"/>
      <c r="P75" s="1803"/>
      <c r="Q75" s="1724"/>
    </row>
    <row r="76" spans="1:17">
      <c r="A76" s="1414" t="s">
        <v>1165</v>
      </c>
      <c r="B76" s="1415" t="s">
        <v>1615</v>
      </c>
      <c r="C76" s="1436" t="s">
        <v>1212</v>
      </c>
      <c r="D76" s="1436" t="s">
        <v>1213</v>
      </c>
      <c r="E76" s="1436" t="s">
        <v>1214</v>
      </c>
      <c r="F76" s="1436" t="s">
        <v>1215</v>
      </c>
      <c r="G76" s="1436" t="s">
        <v>1216</v>
      </c>
      <c r="H76" s="1437"/>
      <c r="I76" s="1437"/>
      <c r="J76" s="1437"/>
      <c r="K76" s="1485"/>
      <c r="L76" s="1486"/>
      <c r="M76" s="1487"/>
      <c r="N76" s="1718"/>
      <c r="O76" s="1718"/>
      <c r="P76" s="1806"/>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799"/>
      <c r="Q77" s="1713"/>
    </row>
    <row r="78" ht="15.75" spans="1:17">
      <c r="A78" s="1416"/>
      <c r="B78" s="1419" t="s">
        <v>1170</v>
      </c>
      <c r="C78" s="1438" t="s">
        <v>1212</v>
      </c>
      <c r="D78" s="1438" t="s">
        <v>1213</v>
      </c>
      <c r="E78" s="1438" t="s">
        <v>1214</v>
      </c>
      <c r="F78" s="1438" t="s">
        <v>1215</v>
      </c>
      <c r="G78" s="1438" t="s">
        <v>1216</v>
      </c>
      <c r="H78" s="1420"/>
      <c r="I78" s="1420"/>
      <c r="J78" s="1420"/>
      <c r="K78" s="1469"/>
      <c r="L78" s="1470"/>
      <c r="M78" s="1471"/>
      <c r="N78" s="1718"/>
      <c r="O78" s="1718"/>
      <c r="P78" s="1799"/>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799"/>
      <c r="Q79" s="1713"/>
    </row>
    <row r="80" ht="15.75" spans="1:17">
      <c r="A80" s="1416"/>
      <c r="B80" s="1419" t="s">
        <v>1171</v>
      </c>
      <c r="C80" s="1438" t="s">
        <v>1212</v>
      </c>
      <c r="D80" s="1438" t="s">
        <v>1213</v>
      </c>
      <c r="E80" s="1438" t="s">
        <v>1214</v>
      </c>
      <c r="F80" s="1438" t="s">
        <v>1215</v>
      </c>
      <c r="G80" s="1438" t="s">
        <v>1216</v>
      </c>
      <c r="H80" s="1420"/>
      <c r="I80" s="1420"/>
      <c r="J80" s="1420"/>
      <c r="K80" s="1469"/>
      <c r="L80" s="1470"/>
      <c r="M80" s="1471"/>
      <c r="N80" s="1718"/>
      <c r="O80" s="1718"/>
      <c r="P80" s="1799"/>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799"/>
      <c r="Q81" s="1713"/>
    </row>
    <row r="82" ht="15.75" spans="1:17">
      <c r="A82" s="1416"/>
      <c r="B82" s="1423" t="s">
        <v>1172</v>
      </c>
      <c r="C82" s="1420" t="s">
        <v>1217</v>
      </c>
      <c r="D82" s="1420" t="s">
        <v>1218</v>
      </c>
      <c r="E82" s="1420" t="s">
        <v>1219</v>
      </c>
      <c r="F82" s="1420" t="s">
        <v>1220</v>
      </c>
      <c r="G82" s="1420" t="s">
        <v>1221</v>
      </c>
      <c r="H82" s="1420"/>
      <c r="I82" s="1420"/>
      <c r="J82" s="1420"/>
      <c r="K82" s="1420"/>
      <c r="L82" s="1420"/>
      <c r="M82" s="1621"/>
      <c r="N82" s="1720"/>
      <c r="O82" s="1720"/>
      <c r="P82" s="1799"/>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799"/>
      <c r="Q83" s="1713"/>
    </row>
    <row r="84" ht="15.75" spans="1:17">
      <c r="A84" s="1416"/>
      <c r="B84" s="1419" t="s">
        <v>1616</v>
      </c>
      <c r="C84" s="1438" t="s">
        <v>1212</v>
      </c>
      <c r="D84" s="1438" t="s">
        <v>1213</v>
      </c>
      <c r="E84" s="1438" t="s">
        <v>1214</v>
      </c>
      <c r="F84" s="1438" t="s">
        <v>1215</v>
      </c>
      <c r="G84" s="1438" t="s">
        <v>1216</v>
      </c>
      <c r="H84" s="1420"/>
      <c r="I84" s="1420"/>
      <c r="J84" s="1420"/>
      <c r="K84" s="1469"/>
      <c r="L84" s="1470"/>
      <c r="M84" s="1471"/>
      <c r="N84" s="1718"/>
      <c r="O84" s="1718"/>
      <c r="P84" s="1799"/>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799"/>
      <c r="Q85" s="1713"/>
    </row>
    <row r="86" s="1132" customFormat="1" ht="15.75" spans="1:17">
      <c r="A86" s="1439"/>
      <c r="B86" s="1419" t="s">
        <v>1617</v>
      </c>
      <c r="C86" s="1427"/>
      <c r="D86" s="1427"/>
      <c r="E86" s="1427"/>
      <c r="F86" s="1427"/>
      <c r="G86" s="1427"/>
      <c r="H86" s="1427"/>
      <c r="I86" s="1427"/>
      <c r="J86" s="1427"/>
      <c r="K86" s="1427"/>
      <c r="L86" s="1622"/>
      <c r="M86" s="1623"/>
      <c r="N86" s="1716"/>
      <c r="O86" s="1716"/>
      <c r="P86" s="1799"/>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799"/>
      <c r="Q87" s="1713"/>
    </row>
    <row r="88" s="1132" customFormat="1" ht="15.75" spans="1:17">
      <c r="A88" s="1439"/>
      <c r="B88" s="1419" t="s">
        <v>1179</v>
      </c>
      <c r="C88" s="1427"/>
      <c r="D88" s="1427"/>
      <c r="E88" s="1427"/>
      <c r="F88" s="1760"/>
      <c r="G88" s="1427"/>
      <c r="H88" s="1427"/>
      <c r="I88" s="1427"/>
      <c r="J88" s="1427"/>
      <c r="K88" s="1427"/>
      <c r="L88" s="1427"/>
      <c r="M88" s="1623"/>
      <c r="N88" s="1716"/>
      <c r="O88" s="1716"/>
      <c r="P88" s="1799"/>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799"/>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03"/>
      <c r="Q90" s="1724"/>
    </row>
    <row r="91" s="1134" customFormat="1" ht="15.75" spans="1:17">
      <c r="A91" s="1426"/>
      <c r="B91" s="1421"/>
      <c r="C91" s="1429"/>
      <c r="D91" s="1429"/>
      <c r="E91" s="1429"/>
      <c r="F91" s="1429"/>
      <c r="G91" s="1429"/>
      <c r="H91" s="1430"/>
      <c r="I91" s="1430"/>
      <c r="J91" s="1430"/>
      <c r="K91" s="1430"/>
      <c r="L91" s="1430"/>
      <c r="M91" s="1480"/>
      <c r="N91" s="1721"/>
      <c r="O91" s="1721"/>
      <c r="P91" s="1803"/>
      <c r="Q91" s="1724"/>
    </row>
    <row r="92" ht="15.75" spans="1:17">
      <c r="A92" s="1416"/>
      <c r="B92" s="1419">
        <f>B28</f>
        <v>111</v>
      </c>
      <c r="C92" s="1427"/>
      <c r="D92" s="1427"/>
      <c r="E92" s="1427"/>
      <c r="F92" s="1427"/>
      <c r="G92" s="1444"/>
      <c r="H92" s="1444"/>
      <c r="I92" s="1444"/>
      <c r="J92" s="1444"/>
      <c r="K92" s="1495"/>
      <c r="L92" s="1496"/>
      <c r="M92" s="1497"/>
      <c r="N92" s="1718"/>
      <c r="O92" s="1718"/>
      <c r="P92" s="1799"/>
      <c r="Q92" s="1713"/>
    </row>
    <row r="93" ht="15.75" spans="1:17">
      <c r="A93" s="1416"/>
      <c r="B93" s="1421"/>
      <c r="C93" s="1429"/>
      <c r="D93" s="1418"/>
      <c r="E93" s="1418"/>
      <c r="F93" s="1418"/>
      <c r="G93" s="1418"/>
      <c r="H93" s="1418"/>
      <c r="I93" s="1418"/>
      <c r="J93" s="1418"/>
      <c r="K93" s="1418"/>
      <c r="L93" s="1418"/>
      <c r="M93" s="1467"/>
      <c r="N93" s="1720"/>
      <c r="O93" s="1720"/>
      <c r="P93" s="1799"/>
      <c r="Q93" s="1713"/>
    </row>
    <row r="94" ht="15.75" spans="1:17">
      <c r="A94" s="1416"/>
      <c r="B94" s="1419">
        <f>B29</f>
        <v>111</v>
      </c>
      <c r="C94" s="1427"/>
      <c r="D94" s="1427"/>
      <c r="E94" s="1427"/>
      <c r="F94" s="1427"/>
      <c r="G94" s="1444"/>
      <c r="H94" s="1444"/>
      <c r="I94" s="1444"/>
      <c r="J94" s="1444"/>
      <c r="K94" s="1495"/>
      <c r="L94" s="1496"/>
      <c r="M94" s="1497"/>
      <c r="N94" s="1718"/>
      <c r="O94" s="1718"/>
      <c r="P94" s="1799"/>
      <c r="Q94" s="1713"/>
    </row>
    <row r="95" ht="15.75" spans="1:17">
      <c r="A95" s="1416"/>
      <c r="B95" s="1421"/>
      <c r="C95" s="1429"/>
      <c r="D95" s="1429"/>
      <c r="E95" s="1429"/>
      <c r="F95" s="1429"/>
      <c r="G95" s="1418"/>
      <c r="H95" s="1418"/>
      <c r="I95" s="1418"/>
      <c r="J95" s="1418"/>
      <c r="K95" s="1418"/>
      <c r="L95" s="1418"/>
      <c r="M95" s="1467"/>
      <c r="N95" s="1720"/>
      <c r="O95" s="1720"/>
      <c r="P95" s="1799"/>
      <c r="Q95" s="1713"/>
    </row>
    <row r="96" ht="15.75" spans="1:17">
      <c r="A96" s="1416"/>
      <c r="B96" s="1419">
        <f>B30</f>
        <v>111</v>
      </c>
      <c r="C96" s="1427"/>
      <c r="D96" s="1427"/>
      <c r="E96" s="1427"/>
      <c r="F96" s="1427"/>
      <c r="G96" s="1444"/>
      <c r="H96" s="1444"/>
      <c r="I96" s="1444"/>
      <c r="J96" s="1444"/>
      <c r="K96" s="1495"/>
      <c r="L96" s="1496"/>
      <c r="M96" s="1497"/>
      <c r="N96" s="1718"/>
      <c r="O96" s="1718"/>
      <c r="P96" s="1799"/>
      <c r="Q96" s="1713"/>
    </row>
    <row r="97" ht="15.75" spans="1:17">
      <c r="A97" s="1416"/>
      <c r="B97" s="1421"/>
      <c r="C97" s="1434"/>
      <c r="D97" s="1434"/>
      <c r="E97" s="1434"/>
      <c r="F97" s="1434"/>
      <c r="G97" s="1418"/>
      <c r="H97" s="1418"/>
      <c r="I97" s="1418"/>
      <c r="J97" s="1418"/>
      <c r="K97" s="1418"/>
      <c r="L97" s="1418"/>
      <c r="M97" s="1467"/>
      <c r="N97" s="1720"/>
      <c r="O97" s="1720"/>
      <c r="P97" s="1799"/>
      <c r="Q97" s="1713"/>
    </row>
    <row r="98" ht="15.75" spans="1:17">
      <c r="A98" s="1416"/>
      <c r="B98" s="1423">
        <f>B31</f>
        <v>111</v>
      </c>
      <c r="C98" s="1445"/>
      <c r="D98" s="1445"/>
      <c r="E98" s="1445"/>
      <c r="F98" s="1445"/>
      <c r="G98" s="1445"/>
      <c r="H98" s="1445"/>
      <c r="I98" s="1445"/>
      <c r="J98" s="1445"/>
      <c r="K98" s="1498"/>
      <c r="L98" s="1499"/>
      <c r="M98" s="1500"/>
      <c r="N98" s="1718"/>
      <c r="O98" s="1718"/>
      <c r="P98" s="1799"/>
      <c r="Q98" s="1713"/>
    </row>
    <row r="99" ht="15.75" spans="1:17">
      <c r="A99" s="1725"/>
      <c r="B99" s="1433"/>
      <c r="C99" s="1446"/>
      <c r="D99" s="1446"/>
      <c r="E99" s="1446"/>
      <c r="F99" s="1446"/>
      <c r="G99" s="1446"/>
      <c r="H99" s="1446"/>
      <c r="I99" s="1446"/>
      <c r="J99" s="1446"/>
      <c r="K99" s="1446"/>
      <c r="L99" s="1446"/>
      <c r="M99" s="1501"/>
      <c r="N99" s="1720"/>
      <c r="O99" s="1720"/>
      <c r="P99" s="1799"/>
      <c r="Q99" s="1713"/>
    </row>
    <row r="100" spans="1:17">
      <c r="A100" s="1414" t="s">
        <v>1180</v>
      </c>
      <c r="B100" s="1415" t="s">
        <v>1181</v>
      </c>
      <c r="C100" s="1342"/>
      <c r="D100" s="1342"/>
      <c r="E100" s="1342"/>
      <c r="F100" s="1342"/>
      <c r="G100" s="1342"/>
      <c r="H100" s="1342"/>
      <c r="I100" s="1342"/>
      <c r="J100" s="1342"/>
      <c r="K100" s="1462"/>
      <c r="L100" s="1463"/>
      <c r="M100" s="1464"/>
      <c r="N100" s="1718"/>
      <c r="O100" s="1718"/>
      <c r="P100" s="1799"/>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799"/>
      <c r="Q101" s="1713"/>
    </row>
    <row r="102" ht="15.75" spans="1:17">
      <c r="A102" s="1416"/>
      <c r="B102" s="1419" t="s">
        <v>1184</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799"/>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03"/>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03"/>
      <c r="Q104" s="1724"/>
    </row>
    <row r="105" ht="15.75" spans="1:17">
      <c r="A105" s="1450"/>
      <c r="B105" s="1419" t="s">
        <v>1185</v>
      </c>
      <c r="C105" s="1427"/>
      <c r="D105" s="1427"/>
      <c r="E105" s="1444"/>
      <c r="F105" s="1444"/>
      <c r="G105" s="1444"/>
      <c r="H105" s="1444"/>
      <c r="I105" s="1444"/>
      <c r="J105" s="1444"/>
      <c r="K105" s="1495"/>
      <c r="L105" s="1496"/>
      <c r="M105" s="1497"/>
      <c r="N105" s="1718"/>
      <c r="O105" s="1718"/>
      <c r="P105" s="1799"/>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799"/>
      <c r="Q106" s="1713"/>
    </row>
    <row r="107" ht="15.75" spans="1:17">
      <c r="A107" s="1450"/>
      <c r="B107" s="1419" t="s">
        <v>1618</v>
      </c>
      <c r="C107" s="1444"/>
      <c r="D107" s="1444"/>
      <c r="E107" s="1444"/>
      <c r="F107" s="1444"/>
      <c r="G107" s="1444"/>
      <c r="H107" s="1444"/>
      <c r="I107" s="1444"/>
      <c r="J107" s="1444"/>
      <c r="K107" s="1495"/>
      <c r="L107" s="1496"/>
      <c r="M107" s="1497"/>
      <c r="N107" s="1718"/>
      <c r="O107" s="1718"/>
      <c r="P107" s="1799"/>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799"/>
      <c r="Q108" s="1713"/>
    </row>
    <row r="109" ht="15.75" spans="1:17">
      <c r="A109" s="1450"/>
      <c r="B109" s="1419" t="s">
        <v>1187</v>
      </c>
      <c r="C109" s="1427"/>
      <c r="D109" s="1427"/>
      <c r="E109" s="1427"/>
      <c r="F109" s="1444"/>
      <c r="G109" s="1444"/>
      <c r="H109" s="1444"/>
      <c r="I109" s="1444"/>
      <c r="J109" s="1444"/>
      <c r="K109" s="1495"/>
      <c r="L109" s="1496"/>
      <c r="M109" s="1497"/>
      <c r="N109" s="1718"/>
      <c r="O109" s="1718"/>
      <c r="P109" s="1799"/>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799"/>
      <c r="Q110" s="1713"/>
    </row>
    <row r="111" s="1134" customFormat="1" ht="15.75" spans="1:17">
      <c r="A111" s="1447"/>
      <c r="B111" s="1419" t="s">
        <v>681</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03"/>
      <c r="Q111" s="1724"/>
    </row>
    <row r="112" s="1134" customFormat="1" ht="15" spans="1:17">
      <c r="A112" s="1447"/>
      <c r="B112" s="1423"/>
      <c r="C112" s="896">
        <v>0.5</v>
      </c>
      <c r="D112" s="896">
        <v>0.6</v>
      </c>
      <c r="E112" s="896">
        <v>0.7</v>
      </c>
      <c r="F112" s="896">
        <v>0.8</v>
      </c>
      <c r="G112" s="896">
        <v>0.9</v>
      </c>
      <c r="H112" s="896">
        <v>1.0001</v>
      </c>
      <c r="I112" s="896"/>
      <c r="J112" s="1807"/>
      <c r="K112" s="1807"/>
      <c r="L112" s="1808"/>
      <c r="M112" s="1809"/>
      <c r="N112" s="1721"/>
      <c r="O112" s="1721"/>
      <c r="P112" s="1803"/>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03"/>
      <c r="Q113" s="1724"/>
    </row>
    <row r="114" ht="15.75" spans="1:17">
      <c r="A114" s="1450"/>
      <c r="B114" s="1419" t="s">
        <v>1190</v>
      </c>
      <c r="C114" s="1427"/>
      <c r="D114" s="1427"/>
      <c r="E114" s="1444"/>
      <c r="F114" s="1444"/>
      <c r="G114" s="1444"/>
      <c r="H114" s="1444"/>
      <c r="I114" s="1444"/>
      <c r="J114" s="1444"/>
      <c r="K114" s="1495"/>
      <c r="L114" s="1496"/>
      <c r="M114" s="1497"/>
      <c r="N114" s="1718"/>
      <c r="O114" s="1718"/>
      <c r="P114" s="1799"/>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799"/>
      <c r="Q115" s="1713"/>
    </row>
    <row r="116" ht="15.75" spans="1:17">
      <c r="A116" s="1450"/>
      <c r="B116" s="1419" t="s">
        <v>1191</v>
      </c>
      <c r="C116" s="1427"/>
      <c r="D116" s="1427"/>
      <c r="E116" s="1427"/>
      <c r="F116" s="1427"/>
      <c r="G116" s="1427"/>
      <c r="H116" s="1444"/>
      <c r="I116" s="1444"/>
      <c r="J116" s="1444"/>
      <c r="K116" s="1495"/>
      <c r="L116" s="1496"/>
      <c r="M116" s="1497"/>
      <c r="N116" s="1718"/>
      <c r="O116" s="1718"/>
      <c r="P116" s="1799"/>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799"/>
      <c r="Q117" s="1713"/>
    </row>
    <row r="118" ht="15.75" spans="1:17">
      <c r="A118" s="1450"/>
      <c r="B118" s="1419" t="s">
        <v>1619</v>
      </c>
      <c r="C118" s="1444"/>
      <c r="D118" s="1444"/>
      <c r="E118" s="1444"/>
      <c r="F118" s="1444"/>
      <c r="G118" s="1444"/>
      <c r="H118" s="1444"/>
      <c r="I118" s="1444"/>
      <c r="J118" s="1444"/>
      <c r="K118" s="1495"/>
      <c r="L118" s="1496"/>
      <c r="M118" s="1497"/>
      <c r="N118" s="1718"/>
      <c r="O118" s="1718"/>
      <c r="P118" s="1799"/>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799"/>
      <c r="Q119" s="1713"/>
    </row>
    <row r="120" s="1134" customFormat="1" ht="28.5" spans="1:17">
      <c r="A120" s="1447"/>
      <c r="B120" s="1419" t="s">
        <v>1620</v>
      </c>
      <c r="C120" s="1427"/>
      <c r="D120" s="1427"/>
      <c r="E120" s="1427"/>
      <c r="F120" s="1427"/>
      <c r="G120" s="1427"/>
      <c r="H120" s="1427"/>
      <c r="I120" s="1427"/>
      <c r="J120" s="1427"/>
      <c r="K120" s="1427"/>
      <c r="L120" s="1622"/>
      <c r="M120" s="1623"/>
      <c r="N120" s="1721"/>
      <c r="O120" s="1721"/>
      <c r="P120" s="1803"/>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03"/>
      <c r="Q121" s="1724"/>
    </row>
    <row r="122" ht="15.75" spans="1:17">
      <c r="A122" s="1450"/>
      <c r="B122" s="1419" t="s">
        <v>1195</v>
      </c>
      <c r="C122" s="1427"/>
      <c r="D122" s="1427"/>
      <c r="E122" s="1427"/>
      <c r="F122" s="1444"/>
      <c r="G122" s="1444"/>
      <c r="H122" s="1444"/>
      <c r="I122" s="1444"/>
      <c r="J122" s="1444"/>
      <c r="K122" s="1495"/>
      <c r="L122" s="1496"/>
      <c r="M122" s="1497"/>
      <c r="N122" s="1718"/>
      <c r="O122" s="1718"/>
      <c r="P122" s="1799"/>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799"/>
      <c r="Q123" s="1713"/>
    </row>
    <row r="124" ht="15.75" spans="1:17">
      <c r="A124" s="1450"/>
      <c r="B124" s="1419" t="s">
        <v>1197</v>
      </c>
      <c r="C124" s="1438" t="s">
        <v>1212</v>
      </c>
      <c r="D124" s="1438" t="s">
        <v>1213</v>
      </c>
      <c r="E124" s="1438" t="s">
        <v>1214</v>
      </c>
      <c r="F124" s="1438" t="s">
        <v>1215</v>
      </c>
      <c r="G124" s="1438" t="s">
        <v>1216</v>
      </c>
      <c r="H124" s="1420"/>
      <c r="I124" s="1420"/>
      <c r="J124" s="1420"/>
      <c r="K124" s="1469"/>
      <c r="L124" s="1470"/>
      <c r="M124" s="1471"/>
      <c r="N124" s="1718"/>
      <c r="O124" s="1718"/>
      <c r="P124" s="1803"/>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799"/>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03"/>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03"/>
      <c r="Q127" s="1724"/>
    </row>
    <row r="128" ht="15.75" spans="1:17">
      <c r="A128" s="1450"/>
      <c r="B128" s="1419">
        <f>B45</f>
        <v>111</v>
      </c>
      <c r="C128" s="1427"/>
      <c r="D128" s="1427"/>
      <c r="E128" s="1427"/>
      <c r="F128" s="1427"/>
      <c r="G128" s="1444"/>
      <c r="H128" s="1444"/>
      <c r="I128" s="1444"/>
      <c r="J128" s="1444"/>
      <c r="K128" s="1495"/>
      <c r="L128" s="1496"/>
      <c r="M128" s="1497"/>
      <c r="N128" s="1718"/>
      <c r="O128" s="1718"/>
      <c r="P128" s="1799"/>
      <c r="Q128" s="1713"/>
    </row>
    <row r="129" ht="15.75" spans="1:17">
      <c r="A129" s="1416"/>
      <c r="B129" s="1421"/>
      <c r="C129" s="1429"/>
      <c r="D129" s="1429"/>
      <c r="E129" s="1429"/>
      <c r="F129" s="1429"/>
      <c r="G129" s="1418"/>
      <c r="H129" s="1418"/>
      <c r="I129" s="1418"/>
      <c r="J129" s="1418"/>
      <c r="K129" s="1418"/>
      <c r="L129" s="1418"/>
      <c r="M129" s="1467"/>
      <c r="N129" s="1720"/>
      <c r="O129" s="1720"/>
      <c r="P129" s="1799"/>
      <c r="Q129" s="1713"/>
    </row>
    <row r="130" ht="15.75" spans="1:17">
      <c r="A130" s="1450"/>
      <c r="B130" s="1423">
        <f>B46</f>
        <v>111</v>
      </c>
      <c r="C130" s="1427"/>
      <c r="D130" s="1427"/>
      <c r="E130" s="1427"/>
      <c r="F130" s="1427"/>
      <c r="G130" s="1445"/>
      <c r="H130" s="1445"/>
      <c r="I130" s="1445"/>
      <c r="J130" s="1445"/>
      <c r="K130" s="1411"/>
      <c r="L130" s="1457"/>
      <c r="M130" s="1500"/>
      <c r="N130" s="1718"/>
      <c r="O130" s="1718"/>
      <c r="P130" s="1799"/>
      <c r="Q130" s="1713"/>
    </row>
    <row r="131" ht="15.75" spans="1:17">
      <c r="A131" s="1725"/>
      <c r="B131" s="1433"/>
      <c r="C131" s="1434"/>
      <c r="D131" s="1434"/>
      <c r="E131" s="1434"/>
      <c r="F131" s="1434"/>
      <c r="G131" s="1446"/>
      <c r="H131" s="1446"/>
      <c r="I131" s="1446"/>
      <c r="J131" s="1446"/>
      <c r="K131" s="1446"/>
      <c r="L131" s="1446"/>
      <c r="M131" s="1501"/>
      <c r="N131" s="1720"/>
      <c r="O131" s="1720"/>
      <c r="P131" s="1799"/>
      <c r="Q131" s="1713"/>
    </row>
    <row r="136" ht="15" spans="2:2">
      <c r="B136" s="1810" t="s">
        <v>1621</v>
      </c>
    </row>
    <row r="137" ht="15" spans="2:11">
      <c r="B137" s="1811" t="s">
        <v>1622</v>
      </c>
      <c r="C137" s="1812"/>
      <c r="D137" s="1812"/>
      <c r="E137" s="1812"/>
      <c r="F137" s="1812"/>
      <c r="G137" s="1813"/>
      <c r="H137" s="1814"/>
      <c r="I137" s="1839" t="s">
        <v>1623</v>
      </c>
      <c r="J137" s="1812"/>
      <c r="K137" s="1840"/>
    </row>
    <row r="138" ht="15" spans="2:11">
      <c r="B138" s="1815"/>
      <c r="C138" s="1816" t="s">
        <v>1624</v>
      </c>
      <c r="D138" s="1816" t="s">
        <v>1625</v>
      </c>
      <c r="E138" s="1817" t="s">
        <v>1626</v>
      </c>
      <c r="F138" s="1818" t="s">
        <v>1627</v>
      </c>
      <c r="G138" s="1816" t="s">
        <v>1625</v>
      </c>
      <c r="H138" s="1819" t="s">
        <v>1626</v>
      </c>
      <c r="I138" s="1841"/>
      <c r="J138" s="1816" t="s">
        <v>1628</v>
      </c>
      <c r="K138" s="1819" t="s">
        <v>1629</v>
      </c>
    </row>
    <row r="139" ht="15" spans="2:11">
      <c r="B139" s="1820">
        <v>6</v>
      </c>
      <c r="C139" s="1821">
        <v>96</v>
      </c>
      <c r="D139" s="1822" t="s">
        <v>1630</v>
      </c>
      <c r="E139" s="1823">
        <v>100</v>
      </c>
      <c r="F139" s="1824">
        <v>102.5</v>
      </c>
      <c r="G139" s="1822" t="s">
        <v>1630</v>
      </c>
      <c r="H139" s="1825">
        <v>105</v>
      </c>
      <c r="I139" s="1842" t="s">
        <v>1631</v>
      </c>
      <c r="J139" s="1821">
        <v>20</v>
      </c>
      <c r="K139" s="1843">
        <f>C145/(J139-2)</f>
        <v>0.00405555555555556</v>
      </c>
    </row>
    <row r="140" ht="15" spans="2:11">
      <c r="B140" s="1826">
        <v>5</v>
      </c>
      <c r="C140" s="1827">
        <v>100</v>
      </c>
      <c r="D140" s="1827"/>
      <c r="E140" s="1828"/>
      <c r="F140" s="1829">
        <v>102</v>
      </c>
      <c r="G140" s="1827"/>
      <c r="H140" s="1830"/>
      <c r="I140" s="1844" t="s">
        <v>1632</v>
      </c>
      <c r="J140" s="482">
        <f>ROUNDUP((J139-1)/2,0)</f>
        <v>10</v>
      </c>
      <c r="K140" s="1845">
        <v>100</v>
      </c>
    </row>
    <row r="141" ht="15" spans="2:11">
      <c r="B141" s="1826">
        <v>4</v>
      </c>
      <c r="C141" s="1827">
        <v>102</v>
      </c>
      <c r="D141" s="1827"/>
      <c r="E141" s="1828"/>
      <c r="F141" s="1829">
        <v>101.5</v>
      </c>
      <c r="G141" s="1827"/>
      <c r="H141" s="1830"/>
      <c r="I141" s="1844" t="s">
        <v>1633</v>
      </c>
      <c r="J141" s="482">
        <v>1</v>
      </c>
      <c r="K141" s="1846">
        <f>ROUND(100+(J141-J140)*K139*100,1)</f>
        <v>96.4</v>
      </c>
    </row>
    <row r="142" ht="15" spans="2:11">
      <c r="B142" s="1826">
        <v>3</v>
      </c>
      <c r="C142" s="1827">
        <v>103</v>
      </c>
      <c r="D142" s="1827"/>
      <c r="E142" s="1828"/>
      <c r="F142" s="1829">
        <v>101</v>
      </c>
      <c r="G142" s="1827"/>
      <c r="H142" s="1830"/>
      <c r="I142" s="1844" t="s">
        <v>1634</v>
      </c>
      <c r="J142" s="482">
        <f>J139</f>
        <v>20</v>
      </c>
      <c r="K142" s="1847">
        <v>95</v>
      </c>
    </row>
    <row r="143" ht="15" spans="2:11">
      <c r="B143" s="1826">
        <v>2</v>
      </c>
      <c r="C143" s="1827">
        <v>100</v>
      </c>
      <c r="D143" s="1827"/>
      <c r="E143" s="1828"/>
      <c r="F143" s="1829">
        <v>100.5</v>
      </c>
      <c r="G143" s="1827"/>
      <c r="H143" s="1830"/>
      <c r="I143" s="1844" t="s">
        <v>1635</v>
      </c>
      <c r="J143" s="1827">
        <v>15</v>
      </c>
      <c r="K143" s="1846">
        <f>ROUND(100+(J143-J140)*K139*100,1)</f>
        <v>102</v>
      </c>
    </row>
    <row r="144" ht="15" spans="2:11">
      <c r="B144" s="1826">
        <v>1</v>
      </c>
      <c r="C144" s="1827">
        <v>98</v>
      </c>
      <c r="D144" s="1831" t="s">
        <v>1636</v>
      </c>
      <c r="E144" s="1828">
        <v>102</v>
      </c>
      <c r="F144" s="1832">
        <v>100</v>
      </c>
      <c r="G144" s="1831" t="s">
        <v>1636</v>
      </c>
      <c r="H144" s="1830">
        <v>105</v>
      </c>
      <c r="I144" s="1844" t="s">
        <v>1635</v>
      </c>
      <c r="J144" s="1827">
        <v>18</v>
      </c>
      <c r="K144" s="1846">
        <f>ROUND(100+(J144-J140)*K139*100,1)</f>
        <v>103.2</v>
      </c>
    </row>
    <row r="145" ht="15.75" spans="2:11">
      <c r="B145" s="1833" t="s">
        <v>1637</v>
      </c>
      <c r="C145" s="1834">
        <f>ROUND(MAX(C139:C144)/MIN(C139:C144)-1,3)</f>
        <v>0.073</v>
      </c>
      <c r="D145" s="1835"/>
      <c r="E145" s="1835"/>
      <c r="F145" s="1836" t="s">
        <v>1638</v>
      </c>
      <c r="G145" s="1837"/>
      <c r="H145" s="1838"/>
      <c r="I145" s="1848" t="s">
        <v>1635</v>
      </c>
      <c r="J145" s="1849">
        <v>8</v>
      </c>
      <c r="K145" s="1850">
        <f>ROUND(100+(J145-J140)*K139*100,1)</f>
        <v>99.2</v>
      </c>
    </row>
    <row r="147" spans="2:2">
      <c r="B147" s="1810" t="s">
        <v>1639</v>
      </c>
    </row>
    <row r="148" spans="2:2">
      <c r="B148" s="1810" t="s">
        <v>1640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733" t="s">
        <v>1641</v>
      </c>
      <c r="C1" s="1611" t="s">
        <v>1132</v>
      </c>
      <c r="D1" s="1554"/>
      <c r="E1" s="1734"/>
      <c r="F1" s="1556"/>
      <c r="G1" s="1557" t="s">
        <v>1135</v>
      </c>
      <c r="H1" s="1558"/>
      <c r="I1" s="1558"/>
      <c r="J1" s="1558"/>
      <c r="K1" s="1609"/>
      <c r="L1" s="1610"/>
      <c r="M1" s="1611"/>
      <c r="N1" s="1611"/>
      <c r="O1" s="1611"/>
      <c r="P1" s="1743"/>
      <c r="Q1" s="1757"/>
      <c r="R1" s="1757"/>
      <c r="S1" s="1757"/>
      <c r="T1" s="1757"/>
      <c r="U1" s="1757"/>
      <c r="V1" s="1757"/>
      <c r="W1" s="1757"/>
      <c r="X1" s="1757"/>
      <c r="Y1" s="1757"/>
      <c r="Z1" s="1757"/>
      <c r="AA1" s="1757"/>
      <c r="AB1" s="1757"/>
      <c r="AC1" s="1758"/>
    </row>
    <row r="2" s="1131" customFormat="1" ht="28.5" customHeight="1" spans="1:29">
      <c r="A2" s="1559" t="s">
        <v>1034</v>
      </c>
      <c r="B2" s="1560"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744"/>
      <c r="Q2" s="1693"/>
      <c r="R2" s="1693"/>
      <c r="S2" s="1693"/>
      <c r="T2" s="1693"/>
      <c r="U2" s="1693"/>
      <c r="V2" s="1693"/>
      <c r="W2" s="1693"/>
      <c r="X2" s="1693"/>
      <c r="Y2" s="1693"/>
      <c r="Z2" s="1693"/>
      <c r="AA2" s="1693"/>
      <c r="AB2" s="1693"/>
      <c r="AC2" s="1759"/>
    </row>
    <row r="3" s="1131" customFormat="1" ht="28.5" customHeight="1" spans="1:29">
      <c r="A3" s="405" t="s">
        <v>1036</v>
      </c>
      <c r="B3" s="1149">
        <f ca="1">IF(C2="——",C49,ROUND(B2*10000/D3,0))</f>
        <v>0</v>
      </c>
      <c r="C3" s="1564" t="s">
        <v>1136</v>
      </c>
      <c r="D3" s="1565">
        <f>IF(D1="",'数据-汇总表'!E3,SUMIF('数据-汇总表'!$C19:$C33,D1,'数据-汇总表'!$E19:$E33))</f>
        <v>112.13</v>
      </c>
      <c r="E3" s="1736"/>
      <c r="F3" s="1148"/>
      <c r="G3" s="1147"/>
      <c r="H3" s="1147"/>
      <c r="I3" s="1147"/>
      <c r="J3" s="1147"/>
      <c r="K3" s="1308"/>
      <c r="L3" s="1309"/>
      <c r="M3" s="1310"/>
      <c r="N3" s="1310"/>
      <c r="O3" s="1310"/>
      <c r="P3" s="1744"/>
      <c r="Q3" s="1693"/>
      <c r="R3" s="1693"/>
      <c r="S3" s="1693"/>
      <c r="T3" s="1693"/>
      <c r="U3" s="1693"/>
      <c r="V3" s="1693"/>
      <c r="W3" s="1693"/>
      <c r="X3" s="1693"/>
      <c r="Y3" s="1693"/>
      <c r="Z3" s="1693"/>
      <c r="AA3" s="1693"/>
      <c r="AB3" s="1693"/>
      <c r="AC3" s="1736"/>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53"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1150</v>
      </c>
      <c r="B7" s="1170"/>
      <c r="C7" s="1171">
        <f>'数据-取费表'!B2</f>
        <v>45846</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6" si="3">D8/F8</f>
        <v>1</v>
      </c>
      <c r="AB8" s="1393">
        <f t="shared" ref="AB8:AB46" si="4">D8/H8</f>
        <v>1</v>
      </c>
      <c r="AC8" s="1393">
        <f t="shared" ref="AC8:AC46" si="5">D8/J8</f>
        <v>1</v>
      </c>
    </row>
    <row r="9" s="1132" customFormat="1" spans="1:29">
      <c r="A9" s="1177" t="s">
        <v>1157</v>
      </c>
      <c r="B9" s="1178" t="s">
        <v>1158</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68.25" spans="1:29">
      <c r="A15" s="1199" t="s">
        <v>1165</v>
      </c>
      <c r="B15" s="1520" t="s">
        <v>1642</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5" t="s">
        <v>1167</v>
      </c>
      <c r="Q15" s="717" t="str">
        <f t="shared" si="6"/>
        <v>商业繁华度</v>
      </c>
      <c r="R15" s="1379" t="s">
        <v>1152</v>
      </c>
      <c r="S15" s="1380">
        <f t="shared" si="0"/>
        <v>100</v>
      </c>
      <c r="T15" s="1379" t="s">
        <v>1152</v>
      </c>
      <c r="U15" s="1380">
        <f t="shared" si="1"/>
        <v>100</v>
      </c>
      <c r="V15" s="1379" t="s">
        <v>1152</v>
      </c>
      <c r="W15" s="1380">
        <f t="shared" si="2"/>
        <v>100</v>
      </c>
      <c r="X15" s="1366"/>
      <c r="Y15" s="1331" t="s">
        <v>1167</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6"/>
      <c r="Q16" s="717"/>
      <c r="R16" s="1379"/>
      <c r="S16" s="1380"/>
      <c r="T16" s="1379"/>
      <c r="U16" s="1380"/>
      <c r="V16" s="1379"/>
      <c r="W16" s="1380"/>
      <c r="X16" s="1366"/>
      <c r="Y16" s="1332"/>
      <c r="Z16" s="1353"/>
      <c r="AA16" s="1395">
        <v>1</v>
      </c>
      <c r="AB16" s="1395">
        <v>1</v>
      </c>
      <c r="AC16" s="1395">
        <v>1</v>
      </c>
    </row>
    <row r="17" ht="81" spans="1:29">
      <c r="A17" s="1185"/>
      <c r="B17" s="1523" t="s">
        <v>1170</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6"/>
      <c r="Q22" s="717"/>
      <c r="R22" s="1379"/>
      <c r="S22" s="1380"/>
      <c r="T22" s="1379"/>
      <c r="U22" s="1380"/>
      <c r="V22" s="1379"/>
      <c r="W22" s="1380"/>
      <c r="X22" s="1366"/>
      <c r="Y22" s="1332"/>
      <c r="Z22" s="1353"/>
      <c r="AA22" s="1395">
        <v>1</v>
      </c>
      <c r="AB22" s="1395">
        <v>1</v>
      </c>
      <c r="AC22" s="1395">
        <v>1</v>
      </c>
    </row>
    <row r="23" ht="54" spans="1:29">
      <c r="A23" s="1185"/>
      <c r="B23" s="1523" t="s">
        <v>1616</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1643</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6"/>
      <c r="Q25" s="717" t="str">
        <f t="shared" ref="Q25:Q46" si="11">B25</f>
        <v>临街状况</v>
      </c>
      <c r="R25" s="1379" t="s">
        <v>1152</v>
      </c>
      <c r="S25" s="1380">
        <f>F25</f>
        <v>100</v>
      </c>
      <c r="T25" s="1379" t="s">
        <v>1152</v>
      </c>
      <c r="U25" s="1380">
        <f>H25</f>
        <v>100</v>
      </c>
      <c r="V25" s="1379" t="s">
        <v>1152</v>
      </c>
      <c r="W25" s="1380">
        <f>J25</f>
        <v>100</v>
      </c>
      <c r="X25" s="1366"/>
      <c r="Y25" s="1332"/>
      <c r="Z25" s="1353" t="str">
        <f>Q25</f>
        <v>临街状况</v>
      </c>
      <c r="AA25" s="1395">
        <f t="shared" si="3"/>
        <v>1</v>
      </c>
      <c r="AB25" s="1395">
        <f t="shared" si="4"/>
        <v>1</v>
      </c>
      <c r="AC25" s="1395">
        <f t="shared" si="5"/>
        <v>1</v>
      </c>
    </row>
    <row r="26" ht="15" spans="1:29">
      <c r="A26" s="1185"/>
      <c r="B26" s="1528" t="s">
        <v>1644</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6"/>
      <c r="Q26" s="717" t="str">
        <f t="shared" si="11"/>
        <v>平面位置/可视性</v>
      </c>
      <c r="R26" s="1379" t="s">
        <v>1152</v>
      </c>
      <c r="S26" s="1380">
        <f>F26</f>
        <v>100</v>
      </c>
      <c r="T26" s="1379" t="s">
        <v>1152</v>
      </c>
      <c r="U26" s="1380">
        <f>H26</f>
        <v>100</v>
      </c>
      <c r="V26" s="1379" t="s">
        <v>1152</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1645</v>
      </c>
      <c r="C27" s="1737"/>
      <c r="D27" s="1690">
        <v>100</v>
      </c>
      <c r="E27" s="1737"/>
      <c r="F27" s="1691">
        <f>SUMIF(90:90,E27,91:91)-SUMIF(90:90,C27,91:91)+100</f>
        <v>100</v>
      </c>
      <c r="G27" s="1737"/>
      <c r="H27" s="1690">
        <f>SUMIF(90:90,G27,91:91)-SUMIF(90:90,C27,91:91)+100</f>
        <v>100</v>
      </c>
      <c r="I27" s="1737"/>
      <c r="J27" s="1690">
        <f>SUMIF(90:90,I27,91:91)-SUMIF(90:90,C27,91:91)+100</f>
        <v>100</v>
      </c>
      <c r="K27" s="1337"/>
      <c r="L27" s="1318"/>
      <c r="M27" s="1319"/>
      <c r="N27" s="1319"/>
      <c r="O27" s="1319"/>
      <c r="P27" s="1746"/>
      <c r="Q27" s="1378" t="str">
        <f t="shared" si="11"/>
        <v>人流量</v>
      </c>
      <c r="R27" s="1374" t="s">
        <v>1152</v>
      </c>
      <c r="S27" s="1375">
        <f>F27</f>
        <v>100</v>
      </c>
      <c r="T27" s="1374" t="s">
        <v>1152</v>
      </c>
      <c r="U27" s="1375">
        <f>H27</f>
        <v>100</v>
      </c>
      <c r="V27" s="1374" t="s">
        <v>1152</v>
      </c>
      <c r="W27" s="1375">
        <f>J27</f>
        <v>100</v>
      </c>
      <c r="X27" s="1376"/>
      <c r="Y27" s="1332"/>
      <c r="Z27" s="1394" t="str">
        <f>Q27</f>
        <v>人流量</v>
      </c>
      <c r="AA27" s="1395">
        <f t="shared" si="3"/>
        <v>1</v>
      </c>
      <c r="AB27" s="1395">
        <f t="shared" si="4"/>
        <v>1</v>
      </c>
      <c r="AC27" s="1395">
        <f t="shared" si="5"/>
        <v>1</v>
      </c>
    </row>
    <row r="28" ht="15" spans="1:29">
      <c r="A28" s="1185"/>
      <c r="B28" s="1182" t="s">
        <v>1175</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6"/>
      <c r="Q28" s="717" t="str">
        <f t="shared" si="11"/>
        <v>楼层</v>
      </c>
      <c r="R28" s="1379" t="s">
        <v>1152</v>
      </c>
      <c r="S28" s="1380">
        <f t="shared" ref="S28:S46" si="12">F28</f>
        <v>100</v>
      </c>
      <c r="T28" s="1379" t="s">
        <v>1152</v>
      </c>
      <c r="U28" s="1380">
        <f t="shared" ref="U28:U46" si="13">H28</f>
        <v>100</v>
      </c>
      <c r="V28" s="1379" t="s">
        <v>1152</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1395">
        <f t="shared" si="5"/>
        <v>1</v>
      </c>
    </row>
    <row r="32" ht="15" spans="1:29">
      <c r="A32" s="1199" t="s">
        <v>1180</v>
      </c>
      <c r="B32" s="1178" t="s">
        <v>1646</v>
      </c>
      <c r="C32" s="1738"/>
      <c r="D32" s="1235">
        <v>100</v>
      </c>
      <c r="E32" s="1738"/>
      <c r="F32" s="1577">
        <f>SUMIF(100:100,E32,101:101)-SUMIF(100:100,C32,101:101)+100</f>
        <v>100</v>
      </c>
      <c r="G32" s="1738"/>
      <c r="H32" s="1194">
        <f>SUMIF(100:100,G32,101:101)-SUMIF(100:100,C32,101:101)+100</f>
        <v>100</v>
      </c>
      <c r="I32" s="1738"/>
      <c r="J32" s="1235">
        <f>SUMIF(100:100,I32,101:101)-SUMIF(100:100,C32,101:101)+100</f>
        <v>100</v>
      </c>
      <c r="K32" s="1337"/>
      <c r="L32" s="1329"/>
      <c r="M32" s="1313"/>
      <c r="N32" s="1313"/>
      <c r="O32" s="1313"/>
      <c r="P32" s="1747" t="s">
        <v>1183</v>
      </c>
      <c r="Q32" s="717" t="str">
        <f t="shared" si="11"/>
        <v>商业类型</v>
      </c>
      <c r="R32" s="1379" t="s">
        <v>1152</v>
      </c>
      <c r="S32" s="1380">
        <f t="shared" si="12"/>
        <v>100</v>
      </c>
      <c r="T32" s="1379" t="s">
        <v>1152</v>
      </c>
      <c r="U32" s="1380">
        <f t="shared" si="13"/>
        <v>100</v>
      </c>
      <c r="V32" s="1379" t="s">
        <v>1152</v>
      </c>
      <c r="W32" s="1380">
        <f t="shared" si="14"/>
        <v>100</v>
      </c>
      <c r="X32" s="1366"/>
      <c r="Y32" s="1341" t="s">
        <v>1183</v>
      </c>
      <c r="Z32" s="1353" t="str">
        <f t="shared" si="15"/>
        <v>商业类型</v>
      </c>
      <c r="AA32" s="1395">
        <f t="shared" si="3"/>
        <v>1</v>
      </c>
      <c r="AB32" s="1395">
        <f t="shared" si="4"/>
        <v>1</v>
      </c>
      <c r="AC32" s="1395">
        <f t="shared" si="5"/>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1185</v>
      </c>
      <c r="C34" s="1739"/>
      <c r="D34" s="1194">
        <v>100</v>
      </c>
      <c r="E34" s="1739"/>
      <c r="F34" s="1577">
        <f>SUMIF(105:105,E34,106:106)-SUMIF(105:105,C34,106:106)+100</f>
        <v>100</v>
      </c>
      <c r="G34" s="1739"/>
      <c r="H34" s="1194">
        <f>SUMIF(105:105,G34,106:106)-SUMIF(105:105,C34,106:106)+100</f>
        <v>100</v>
      </c>
      <c r="I34" s="1739"/>
      <c r="J34" s="1194">
        <f>SUMIF(105:105,I34,106:106)-SUMIF(105:105,C34,106:106)+100</f>
        <v>100</v>
      </c>
      <c r="K34" s="1337"/>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5"/>
        <v>建筑结构</v>
      </c>
      <c r="AA34" s="1395">
        <f t="shared" si="3"/>
        <v>1</v>
      </c>
      <c r="AB34" s="1395">
        <f t="shared" si="4"/>
        <v>1</v>
      </c>
      <c r="AC34" s="1395">
        <f t="shared" si="5"/>
        <v>1</v>
      </c>
    </row>
    <row r="35" ht="15" spans="1:29">
      <c r="A35" s="1236"/>
      <c r="B35" s="1182" t="s">
        <v>1187</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48"/>
      <c r="Q35" s="717" t="str">
        <f t="shared" si="11"/>
        <v>公共部分装修</v>
      </c>
      <c r="R35" s="1379" t="s">
        <v>1152</v>
      </c>
      <c r="S35" s="1380">
        <f t="shared" si="12"/>
        <v>100</v>
      </c>
      <c r="T35" s="1379" t="s">
        <v>1152</v>
      </c>
      <c r="U35" s="1380">
        <f t="shared" si="13"/>
        <v>100</v>
      </c>
      <c r="V35" s="1379" t="s">
        <v>1152</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681</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48"/>
      <c r="Q36" s="717" t="str">
        <f t="shared" si="11"/>
        <v>成新度</v>
      </c>
      <c r="R36" s="1379" t="s">
        <v>1152</v>
      </c>
      <c r="S36" s="1380" t="e">
        <f t="shared" si="12"/>
        <v>#N/A</v>
      </c>
      <c r="T36" s="1379" t="s">
        <v>1152</v>
      </c>
      <c r="U36" s="1380" t="e">
        <f t="shared" si="13"/>
        <v>#N/A</v>
      </c>
      <c r="V36" s="1379" t="s">
        <v>1152</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1191</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48"/>
      <c r="Q37" s="1378" t="str">
        <f t="shared" si="11"/>
        <v>市政基础设施</v>
      </c>
      <c r="R37" s="1374" t="s">
        <v>1152</v>
      </c>
      <c r="S37" s="1375">
        <f t="shared" si="12"/>
        <v>100</v>
      </c>
      <c r="T37" s="1374" t="s">
        <v>1152</v>
      </c>
      <c r="U37" s="1375">
        <f t="shared" si="13"/>
        <v>100</v>
      </c>
      <c r="V37" s="1374" t="s">
        <v>1152</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1647</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48" t="s">
        <v>1183</v>
      </c>
      <c r="Q38" s="717" t="str">
        <f t="shared" si="11"/>
        <v>业态</v>
      </c>
      <c r="R38" s="1379" t="s">
        <v>1152</v>
      </c>
      <c r="S38" s="1380">
        <f t="shared" si="12"/>
        <v>100</v>
      </c>
      <c r="T38" s="1379" t="s">
        <v>1152</v>
      </c>
      <c r="U38" s="1380">
        <f t="shared" si="13"/>
        <v>100</v>
      </c>
      <c r="V38" s="1379" t="s">
        <v>1152</v>
      </c>
      <c r="W38" s="1380">
        <f t="shared" si="14"/>
        <v>100</v>
      </c>
      <c r="X38" s="1366"/>
      <c r="Y38" s="1341" t="s">
        <v>1183</v>
      </c>
      <c r="Z38" s="1353" t="str">
        <f t="shared" si="15"/>
        <v>业态</v>
      </c>
      <c r="AA38" s="1395">
        <f t="shared" si="3"/>
        <v>1</v>
      </c>
      <c r="AB38" s="1395">
        <f t="shared" si="4"/>
        <v>1</v>
      </c>
      <c r="AC38" s="1395">
        <f t="shared" si="5"/>
        <v>1</v>
      </c>
    </row>
    <row r="39" ht="15" spans="1:29">
      <c r="A39" s="1236"/>
      <c r="B39" s="1182" t="s">
        <v>1192</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48"/>
      <c r="Q39" s="717" t="str">
        <f t="shared" si="11"/>
        <v>层高</v>
      </c>
      <c r="R39" s="1379" t="s">
        <v>1152</v>
      </c>
      <c r="S39" s="1380">
        <f t="shared" si="12"/>
        <v>100</v>
      </c>
      <c r="T39" s="1379" t="s">
        <v>1152</v>
      </c>
      <c r="U39" s="1380">
        <f t="shared" si="13"/>
        <v>100</v>
      </c>
      <c r="V39" s="1379" t="s">
        <v>1152</v>
      </c>
      <c r="W39" s="1380">
        <f t="shared" si="14"/>
        <v>100</v>
      </c>
      <c r="X39" s="1366"/>
      <c r="Y39" s="1341"/>
      <c r="Z39" s="1353" t="str">
        <f t="shared" si="15"/>
        <v>层高</v>
      </c>
      <c r="AA39" s="1395">
        <f t="shared" si="3"/>
        <v>1</v>
      </c>
      <c r="AB39" s="1395">
        <f t="shared" si="4"/>
        <v>1</v>
      </c>
      <c r="AC39" s="1395">
        <f t="shared" si="5"/>
        <v>1</v>
      </c>
    </row>
    <row r="40" ht="15" spans="1:29">
      <c r="A40" s="1236"/>
      <c r="B40" s="1182" t="s">
        <v>1223</v>
      </c>
      <c r="C40" s="1740"/>
      <c r="D40" s="1194">
        <v>100</v>
      </c>
      <c r="E40" s="1741"/>
      <c r="F40" s="1577">
        <f>SUMIF(118:118,E40,119:119)-SUMIF(118:118,C40,119:119)+100</f>
        <v>100</v>
      </c>
      <c r="G40" s="1741"/>
      <c r="H40" s="1194">
        <f>SUMIF(118:118,G40,119:119)-SUMIF(118:118,C40,119:119)+100</f>
        <v>100</v>
      </c>
      <c r="I40" s="1741"/>
      <c r="J40" s="1194">
        <f>SUMIF(118:118,I40,119:119)-SUMIF(118:118,C40,119:119)+100</f>
        <v>100</v>
      </c>
      <c r="K40" s="1336"/>
      <c r="L40" s="1329"/>
      <c r="M40" s="1313"/>
      <c r="N40" s="1313"/>
      <c r="O40" s="1313"/>
      <c r="P40" s="1748"/>
      <c r="Q40" s="717" t="str">
        <f t="shared" si="11"/>
        <v>单套建筑面积</v>
      </c>
      <c r="R40" s="1379" t="s">
        <v>1152</v>
      </c>
      <c r="S40" s="1380">
        <f t="shared" si="12"/>
        <v>100</v>
      </c>
      <c r="T40" s="1379" t="s">
        <v>1152</v>
      </c>
      <c r="U40" s="1380">
        <f t="shared" si="13"/>
        <v>100</v>
      </c>
      <c r="V40" s="1379" t="s">
        <v>1152</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1648</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48"/>
      <c r="Q41" s="1616" t="str">
        <f t="shared" si="11"/>
        <v>进深比</v>
      </c>
      <c r="R41" s="1381" t="s">
        <v>1152</v>
      </c>
      <c r="S41" s="1382">
        <f t="shared" si="12"/>
        <v>100</v>
      </c>
      <c r="T41" s="1381" t="s">
        <v>1152</v>
      </c>
      <c r="U41" s="1382">
        <f t="shared" si="13"/>
        <v>100</v>
      </c>
      <c r="V41" s="1381" t="s">
        <v>1152</v>
      </c>
      <c r="W41" s="1382">
        <f t="shared" si="14"/>
        <v>100</v>
      </c>
      <c r="X41" s="1383"/>
      <c r="Y41" s="1341"/>
      <c r="Z41" s="1396" t="str">
        <f t="shared" si="15"/>
        <v>进深比</v>
      </c>
      <c r="AA41" s="1395">
        <f t="shared" si="3"/>
        <v>1</v>
      </c>
      <c r="AB41" s="1395">
        <f t="shared" si="4"/>
        <v>1</v>
      </c>
      <c r="AC41" s="1395">
        <f t="shared" si="5"/>
        <v>1</v>
      </c>
    </row>
    <row r="42" ht="15" spans="1:29">
      <c r="A42" s="1236"/>
      <c r="B42" s="1182" t="s">
        <v>1195</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5"/>
        <v>内部装修</v>
      </c>
      <c r="AA42" s="1395">
        <f t="shared" si="3"/>
        <v>1</v>
      </c>
      <c r="AB42" s="1395">
        <f t="shared" si="4"/>
        <v>1</v>
      </c>
      <c r="AC42" s="1395">
        <f t="shared" si="5"/>
        <v>1</v>
      </c>
    </row>
    <row r="43" ht="15" spans="1:29">
      <c r="A43" s="1236"/>
      <c r="B43" s="1182" t="s">
        <v>1197</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5"/>
        <v>111</v>
      </c>
      <c r="AA46" s="1395">
        <f t="shared" si="3"/>
        <v>1</v>
      </c>
      <c r="AB46" s="1395">
        <f t="shared" si="4"/>
        <v>1</v>
      </c>
      <c r="AC46" s="1395">
        <f t="shared" si="5"/>
        <v>1</v>
      </c>
    </row>
    <row r="47" ht="15" spans="1:29">
      <c r="A47" s="1243" t="s">
        <v>1198</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50"/>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50"/>
      <c r="Q51" s="1260"/>
      <c r="R51" s="1260"/>
      <c r="S51" s="1260"/>
      <c r="T51" s="1260"/>
      <c r="U51" s="1260"/>
      <c r="V51" s="1260"/>
      <c r="W51" s="1260"/>
      <c r="X51" s="1260"/>
      <c r="Y51" s="1260"/>
      <c r="Z51" s="1260"/>
      <c r="AA51" s="1260"/>
      <c r="AB51" s="1260"/>
      <c r="AC51" s="1260"/>
    </row>
    <row r="52" ht="13.5" customHeight="1" spans="1:29">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50"/>
      <c r="Q52" s="1260"/>
      <c r="R52" s="1260"/>
      <c r="S52" s="1260"/>
      <c r="T52" s="1260"/>
      <c r="U52" s="1260"/>
      <c r="V52" s="1260"/>
      <c r="W52" s="1260"/>
      <c r="X52" s="1260"/>
      <c r="Y52" s="1260"/>
      <c r="Z52" s="1260"/>
      <c r="AA52" s="1260"/>
      <c r="AB52" s="1260"/>
      <c r="AC52" s="1260"/>
    </row>
    <row r="53" ht="13.5" customHeight="1" spans="1:29">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50"/>
      <c r="Q53" s="1260"/>
      <c r="R53" s="1260"/>
      <c r="S53" s="1260"/>
      <c r="T53" s="1260"/>
      <c r="U53" s="1260"/>
      <c r="V53" s="1260"/>
      <c r="W53" s="1260"/>
      <c r="X53" s="1260"/>
      <c r="Y53" s="1260"/>
      <c r="Z53" s="1260"/>
      <c r="AA53" s="1260"/>
      <c r="AB53" s="1260"/>
      <c r="AC53" s="1260"/>
    </row>
    <row r="54" s="1135" customFormat="1" ht="13.5" customHeight="1" spans="1:29">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51"/>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51"/>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50"/>
      <c r="Q56" s="1260"/>
      <c r="R56" s="1260"/>
      <c r="S56" s="1260"/>
      <c r="T56" s="1260"/>
      <c r="U56" s="1260"/>
      <c r="V56" s="1260"/>
      <c r="W56" s="1260"/>
      <c r="X56" s="1260"/>
      <c r="Y56" s="1260"/>
      <c r="Z56" s="1260"/>
      <c r="AA56" s="1260"/>
      <c r="AB56" s="1260"/>
      <c r="AC56" s="1260"/>
    </row>
    <row r="57" ht="21" spans="1:29">
      <c r="A57" s="1300" t="s">
        <v>1205</v>
      </c>
      <c r="B57" s="1301"/>
      <c r="C57" s="1302"/>
      <c r="D57" s="1302"/>
      <c r="E57" s="1302"/>
      <c r="F57" s="1303"/>
      <c r="G57" s="1303"/>
      <c r="H57" s="1302"/>
      <c r="I57" s="1302"/>
      <c r="J57" s="1302"/>
      <c r="K57" s="1359"/>
      <c r="L57" s="1547"/>
      <c r="M57" s="1361"/>
      <c r="N57" s="1361"/>
      <c r="O57" s="1361"/>
      <c r="P57" s="1752"/>
      <c r="Q57" s="1387"/>
      <c r="R57" s="1260"/>
      <c r="S57" s="1260"/>
      <c r="T57" s="1260"/>
      <c r="U57" s="1260"/>
      <c r="V57" s="1260"/>
      <c r="W57" s="1260"/>
      <c r="X57" s="1260"/>
      <c r="Y57" s="1260"/>
      <c r="Z57" s="1260"/>
      <c r="AA57" s="1260"/>
      <c r="AB57" s="1260"/>
      <c r="AC57" s="1260"/>
    </row>
    <row r="58" s="1137" customFormat="1" ht="15" spans="1:29">
      <c r="A58" s="1603" t="s">
        <v>1150</v>
      </c>
      <c r="B58" s="1604"/>
      <c r="C58" s="1605" t="str">
        <f>YEAR(C7)&amp;"-"&amp;MONTH(C7)</f>
        <v>2025-7</v>
      </c>
      <c r="D58" s="1606">
        <f>EDATE(C58,-1)</f>
        <v>45809</v>
      </c>
      <c r="E58" s="1606">
        <f t="shared" ref="E58:O58" si="16">EDATE(D58,-1)</f>
        <v>45778</v>
      </c>
      <c r="F58" s="1606">
        <f t="shared" si="16"/>
        <v>45748</v>
      </c>
      <c r="G58" s="1606">
        <f t="shared" si="16"/>
        <v>45717</v>
      </c>
      <c r="H58" s="1606">
        <f t="shared" si="16"/>
        <v>45689</v>
      </c>
      <c r="I58" s="1606">
        <f t="shared" si="16"/>
        <v>45658</v>
      </c>
      <c r="J58" s="1606">
        <f t="shared" si="16"/>
        <v>45627</v>
      </c>
      <c r="K58" s="1606">
        <f t="shared" si="16"/>
        <v>45597</v>
      </c>
      <c r="L58" s="1606">
        <f t="shared" si="16"/>
        <v>45566</v>
      </c>
      <c r="M58" s="1606">
        <f t="shared" si="16"/>
        <v>45536</v>
      </c>
      <c r="N58" s="1606">
        <f t="shared" si="16"/>
        <v>45505</v>
      </c>
      <c r="O58" s="1606">
        <f t="shared" si="16"/>
        <v>45474</v>
      </c>
      <c r="P58" s="1753"/>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54"/>
      <c r="Q59" s="1509"/>
      <c r="R59" s="1509"/>
      <c r="S59" s="1509"/>
      <c r="T59" s="1509"/>
      <c r="U59" s="1509"/>
      <c r="V59" s="1509"/>
      <c r="W59" s="1509"/>
      <c r="X59" s="1509"/>
      <c r="Y59" s="1509"/>
      <c r="Z59" s="1509"/>
      <c r="AA59" s="1509"/>
      <c r="AB59" s="1509"/>
      <c r="AC59" s="1509"/>
    </row>
    <row r="60" s="1132" customFormat="1" ht="15.75" spans="1:29">
      <c r="A60" s="1404" t="s">
        <v>1206</v>
      </c>
      <c r="B60" s="1405"/>
      <c r="C60" s="1406"/>
      <c r="D60" s="1407"/>
      <c r="E60" s="1407"/>
      <c r="F60" s="1407"/>
      <c r="G60" s="1407"/>
      <c r="H60" s="1407"/>
      <c r="I60" s="1407"/>
      <c r="J60" s="1407"/>
      <c r="K60" s="1407"/>
      <c r="L60" s="1407"/>
      <c r="M60" s="1455"/>
      <c r="N60" s="1407"/>
      <c r="O60" s="1455"/>
      <c r="P60" s="1754"/>
      <c r="Q60" s="1387"/>
      <c r="R60" s="1509"/>
      <c r="S60" s="1509"/>
      <c r="T60" s="1509"/>
      <c r="U60" s="1509"/>
      <c r="V60" s="1509"/>
      <c r="W60" s="1509"/>
      <c r="X60" s="1509"/>
      <c r="Y60" s="1509"/>
      <c r="Z60" s="1509"/>
      <c r="AA60" s="1509"/>
      <c r="AB60" s="1509"/>
      <c r="AC60" s="1509"/>
    </row>
    <row r="61" s="1132" customFormat="1" ht="15" spans="1:29">
      <c r="A61" s="1408" t="s">
        <v>1153</v>
      </c>
      <c r="B61" s="1409"/>
      <c r="C61" s="1410" t="s">
        <v>1207</v>
      </c>
      <c r="D61" s="1411"/>
      <c r="E61" s="1411"/>
      <c r="F61" s="1411"/>
      <c r="G61" s="1411"/>
      <c r="H61" s="1411"/>
      <c r="I61" s="1411"/>
      <c r="J61" s="1411"/>
      <c r="K61" s="1411"/>
      <c r="L61" s="1457"/>
      <c r="M61" s="1458"/>
      <c r="N61" s="1459"/>
      <c r="O61" s="1459"/>
      <c r="P61" s="1755"/>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54"/>
      <c r="Q62" s="1387"/>
      <c r="R62" s="1509"/>
      <c r="S62" s="1509"/>
      <c r="T62" s="1509"/>
      <c r="U62" s="1509"/>
      <c r="V62" s="1509"/>
      <c r="W62" s="1509"/>
      <c r="X62" s="1509"/>
      <c r="Y62" s="1509"/>
      <c r="Z62" s="1509"/>
      <c r="AA62" s="1509"/>
      <c r="AB62" s="1509"/>
      <c r="AC62" s="1509"/>
    </row>
    <row r="63" spans="1:29">
      <c r="A63" s="1414" t="s">
        <v>1208</v>
      </c>
      <c r="B63" s="1415" t="s">
        <v>1158</v>
      </c>
      <c r="C63" s="1437">
        <f>C9</f>
        <v>0</v>
      </c>
      <c r="D63" s="1342"/>
      <c r="E63" s="1342"/>
      <c r="F63" s="1342"/>
      <c r="G63" s="1342"/>
      <c r="H63" s="1342"/>
      <c r="I63" s="1342"/>
      <c r="J63" s="1342"/>
      <c r="K63" s="1462"/>
      <c r="L63" s="1463"/>
      <c r="M63" s="1464"/>
      <c r="N63" s="1465"/>
      <c r="O63" s="1465"/>
      <c r="P63" s="1756"/>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56"/>
      <c r="Q64" s="1387"/>
      <c r="R64" s="1260"/>
      <c r="S64" s="1260"/>
      <c r="T64" s="1260"/>
      <c r="U64" s="1260"/>
      <c r="V64" s="1260"/>
      <c r="W64" s="1260"/>
      <c r="X64" s="1260"/>
      <c r="Y64" s="1260"/>
      <c r="Z64" s="1260"/>
      <c r="AA64" s="1260"/>
      <c r="AB64" s="1260"/>
      <c r="AC64" s="1260"/>
    </row>
    <row r="65" ht="27.75" spans="1:29">
      <c r="A65" s="1416"/>
      <c r="B65" s="1419" t="s">
        <v>1161</v>
      </c>
      <c r="C65" s="1444"/>
      <c r="D65" s="1444"/>
      <c r="E65" s="1444"/>
      <c r="F65" s="1444"/>
      <c r="G65" s="1444"/>
      <c r="H65" s="1444"/>
      <c r="I65" s="1444"/>
      <c r="J65" s="1444"/>
      <c r="K65" s="1495"/>
      <c r="L65" s="1496"/>
      <c r="M65" s="1497"/>
      <c r="N65" s="1465"/>
      <c r="O65" s="1465"/>
      <c r="P65" s="1756"/>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56"/>
      <c r="Q66" s="1387"/>
      <c r="R66" s="1260"/>
      <c r="S66" s="1260"/>
      <c r="T66" s="1260"/>
      <c r="U66" s="1260"/>
      <c r="V66" s="1260"/>
      <c r="W66" s="1260"/>
      <c r="X66" s="1260"/>
      <c r="Y66" s="1260"/>
      <c r="Z66" s="1260"/>
      <c r="AA66" s="1260"/>
      <c r="AB66" s="1260"/>
      <c r="AC66" s="1260"/>
    </row>
    <row r="67" ht="15.75" spans="1:29">
      <c r="A67" s="1416"/>
      <c r="B67" s="1423" t="s">
        <v>1164</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56"/>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56"/>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56"/>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62"/>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62"/>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63"/>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62"/>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64"/>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62"/>
      <c r="Q75" s="1510"/>
      <c r="R75" s="1511"/>
      <c r="S75" s="1511"/>
      <c r="T75" s="1511"/>
      <c r="U75" s="1511"/>
      <c r="V75" s="1511"/>
      <c r="W75" s="1511"/>
      <c r="X75" s="1511"/>
      <c r="Y75" s="1511"/>
      <c r="Z75" s="1511"/>
      <c r="AA75" s="1511"/>
      <c r="AB75" s="1511"/>
      <c r="AC75" s="1511"/>
    </row>
    <row r="76" spans="1:29">
      <c r="A76" s="1414" t="s">
        <v>1165</v>
      </c>
      <c r="B76" s="1415" t="s">
        <v>1615</v>
      </c>
      <c r="C76" s="1436" t="s">
        <v>1212</v>
      </c>
      <c r="D76" s="1436" t="s">
        <v>1213</v>
      </c>
      <c r="E76" s="1436" t="s">
        <v>1214</v>
      </c>
      <c r="F76" s="1436" t="s">
        <v>1215</v>
      </c>
      <c r="G76" s="1436" t="s">
        <v>1216</v>
      </c>
      <c r="H76" s="1437"/>
      <c r="I76" s="1437"/>
      <c r="J76" s="1437"/>
      <c r="K76" s="1485"/>
      <c r="L76" s="1486"/>
      <c r="M76" s="1487"/>
      <c r="N76" s="1465"/>
      <c r="O76" s="1465"/>
      <c r="P76" s="1765"/>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56"/>
      <c r="Q77" s="1387"/>
      <c r="R77" s="1260"/>
      <c r="S77" s="1260"/>
      <c r="T77" s="1260"/>
      <c r="U77" s="1260"/>
      <c r="V77" s="1260"/>
      <c r="W77" s="1260"/>
      <c r="X77" s="1260"/>
      <c r="Y77" s="1260"/>
      <c r="Z77" s="1260"/>
      <c r="AA77" s="1260"/>
      <c r="AB77" s="1260"/>
      <c r="AC77" s="1260"/>
    </row>
    <row r="78" ht="15.75" spans="1:29">
      <c r="A78" s="1416"/>
      <c r="B78" s="1419" t="s">
        <v>1170</v>
      </c>
      <c r="C78" s="1438" t="s">
        <v>1212</v>
      </c>
      <c r="D78" s="1438" t="s">
        <v>1213</v>
      </c>
      <c r="E78" s="1438" t="s">
        <v>1214</v>
      </c>
      <c r="F78" s="1438" t="s">
        <v>1215</v>
      </c>
      <c r="G78" s="1438" t="s">
        <v>1216</v>
      </c>
      <c r="H78" s="1420"/>
      <c r="I78" s="1420"/>
      <c r="J78" s="1420"/>
      <c r="K78" s="1469"/>
      <c r="L78" s="1470"/>
      <c r="M78" s="1471"/>
      <c r="N78" s="1465"/>
      <c r="O78" s="1465"/>
      <c r="P78" s="1756"/>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56"/>
      <c r="Q79" s="1387"/>
      <c r="R79" s="1260"/>
      <c r="S79" s="1260"/>
      <c r="T79" s="1260"/>
      <c r="U79" s="1260"/>
      <c r="V79" s="1260"/>
      <c r="W79" s="1260"/>
      <c r="X79" s="1260"/>
      <c r="Y79" s="1260"/>
      <c r="Z79" s="1260"/>
      <c r="AA79" s="1260"/>
      <c r="AB79" s="1260"/>
      <c r="AC79" s="1260"/>
    </row>
    <row r="80" ht="15.75" spans="1:29">
      <c r="A80" s="1416"/>
      <c r="B80" s="1419" t="s">
        <v>1171</v>
      </c>
      <c r="C80" s="1438" t="s">
        <v>1212</v>
      </c>
      <c r="D80" s="1438" t="s">
        <v>1213</v>
      </c>
      <c r="E80" s="1438" t="s">
        <v>1214</v>
      </c>
      <c r="F80" s="1438" t="s">
        <v>1215</v>
      </c>
      <c r="G80" s="1438" t="s">
        <v>1216</v>
      </c>
      <c r="H80" s="1420"/>
      <c r="I80" s="1420"/>
      <c r="J80" s="1420"/>
      <c r="K80" s="1469"/>
      <c r="L80" s="1470"/>
      <c r="M80" s="1471"/>
      <c r="N80" s="1465"/>
      <c r="O80" s="1465"/>
      <c r="P80" s="1756"/>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56"/>
      <c r="Q81" s="1387"/>
      <c r="R81" s="1260"/>
      <c r="S81" s="1260"/>
      <c r="T81" s="1260"/>
      <c r="U81" s="1260"/>
      <c r="V81" s="1260"/>
      <c r="W81" s="1260"/>
      <c r="X81" s="1260"/>
      <c r="Y81" s="1260"/>
      <c r="Z81" s="1260"/>
      <c r="AA81" s="1260"/>
      <c r="AB81" s="1260"/>
      <c r="AC81" s="1260"/>
    </row>
    <row r="82" ht="15.75" spans="1:29">
      <c r="A82" s="1416"/>
      <c r="B82" s="1423" t="s">
        <v>1172</v>
      </c>
      <c r="C82" s="1443" t="s">
        <v>1217</v>
      </c>
      <c r="D82" s="1443" t="s">
        <v>1218</v>
      </c>
      <c r="E82" s="1443" t="s">
        <v>1219</v>
      </c>
      <c r="F82" s="1443" t="s">
        <v>1220</v>
      </c>
      <c r="G82" s="1443" t="s">
        <v>1221</v>
      </c>
      <c r="H82" s="1420"/>
      <c r="I82" s="1420"/>
      <c r="J82" s="1420"/>
      <c r="K82" s="1420"/>
      <c r="L82" s="1420"/>
      <c r="M82" s="1621"/>
      <c r="N82" s="1468"/>
      <c r="O82" s="1468"/>
      <c r="P82" s="1756"/>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56"/>
      <c r="Q83" s="1387"/>
      <c r="R83" s="1260"/>
      <c r="S83" s="1260"/>
      <c r="T83" s="1260"/>
      <c r="U83" s="1260"/>
      <c r="V83" s="1260"/>
      <c r="W83" s="1260"/>
      <c r="X83" s="1260"/>
      <c r="Y83" s="1260"/>
      <c r="Z83" s="1260"/>
      <c r="AA83" s="1260"/>
      <c r="AB83" s="1260"/>
      <c r="AC83" s="1260"/>
    </row>
    <row r="84" ht="15.75" spans="1:29">
      <c r="A84" s="1416"/>
      <c r="B84" s="1419" t="s">
        <v>1616</v>
      </c>
      <c r="C84" s="1438" t="s">
        <v>1212</v>
      </c>
      <c r="D84" s="1438" t="s">
        <v>1213</v>
      </c>
      <c r="E84" s="1438" t="s">
        <v>1214</v>
      </c>
      <c r="F84" s="1438" t="s">
        <v>1215</v>
      </c>
      <c r="G84" s="1438" t="s">
        <v>1216</v>
      </c>
      <c r="H84" s="1420"/>
      <c r="I84" s="1420"/>
      <c r="J84" s="1420"/>
      <c r="K84" s="1469"/>
      <c r="L84" s="1470"/>
      <c r="M84" s="1471"/>
      <c r="N84" s="1465"/>
      <c r="O84" s="1465"/>
      <c r="P84" s="1756"/>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56"/>
      <c r="Q85" s="1387"/>
      <c r="R85" s="1260"/>
      <c r="S85" s="1260"/>
      <c r="T85" s="1260"/>
      <c r="U85" s="1260"/>
      <c r="V85" s="1260"/>
      <c r="W85" s="1260"/>
      <c r="X85" s="1260"/>
      <c r="Y85" s="1260"/>
      <c r="Z85" s="1260"/>
      <c r="AA85" s="1260"/>
      <c r="AB85" s="1260"/>
      <c r="AC85" s="1260"/>
    </row>
    <row r="86" s="1132" customFormat="1" ht="15.75" spans="1:29">
      <c r="A86" s="1439"/>
      <c r="B86" s="1419" t="s">
        <v>1643</v>
      </c>
      <c r="C86" s="1427"/>
      <c r="D86" s="1427"/>
      <c r="E86" s="1427"/>
      <c r="F86" s="1427"/>
      <c r="G86" s="1427"/>
      <c r="H86" s="1427"/>
      <c r="I86" s="1427"/>
      <c r="J86" s="1427"/>
      <c r="K86" s="1427"/>
      <c r="L86" s="1622"/>
      <c r="M86" s="1623"/>
      <c r="N86" s="1459"/>
      <c r="O86" s="1459"/>
      <c r="P86" s="1756"/>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56"/>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0"/>
      <c r="G88" s="1427"/>
      <c r="H88" s="1427"/>
      <c r="I88" s="1427"/>
      <c r="J88" s="1427"/>
      <c r="K88" s="1427"/>
      <c r="L88" s="1427"/>
      <c r="M88" s="1623"/>
      <c r="N88" s="1459"/>
      <c r="O88" s="1459"/>
      <c r="P88" s="1756"/>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56"/>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62"/>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62"/>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56"/>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56"/>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56"/>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56"/>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56"/>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56"/>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56"/>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56"/>
      <c r="Q99" s="1387"/>
      <c r="R99" s="1260"/>
      <c r="S99" s="1260"/>
      <c r="T99" s="1260"/>
      <c r="U99" s="1260"/>
      <c r="V99" s="1260"/>
      <c r="W99" s="1260"/>
      <c r="X99" s="1260"/>
      <c r="Y99" s="1260"/>
      <c r="Z99" s="1260"/>
      <c r="AA99" s="1260"/>
      <c r="AB99" s="1260"/>
      <c r="AC99" s="1260"/>
    </row>
    <row r="100" spans="1:29">
      <c r="A100" s="1414" t="s">
        <v>1180</v>
      </c>
      <c r="B100" s="1415" t="s">
        <v>1646</v>
      </c>
      <c r="C100" s="1342"/>
      <c r="D100" s="1342"/>
      <c r="E100" s="1342"/>
      <c r="F100" s="1342"/>
      <c r="G100" s="1342"/>
      <c r="H100" s="1342"/>
      <c r="I100" s="1342"/>
      <c r="J100" s="1342"/>
      <c r="K100" s="1462"/>
      <c r="L100" s="1463"/>
      <c r="M100" s="1464"/>
      <c r="N100" s="1465"/>
      <c r="O100" s="1465"/>
      <c r="P100" s="1756"/>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56"/>
      <c r="Q101" s="1387"/>
      <c r="R101" s="1260"/>
      <c r="S101" s="1260"/>
      <c r="T101" s="1260"/>
      <c r="U101" s="1260"/>
      <c r="V101" s="1260"/>
      <c r="W101" s="1260"/>
      <c r="X101" s="1260"/>
      <c r="Y101" s="1260"/>
      <c r="Z101" s="1260"/>
      <c r="AA101" s="1260"/>
      <c r="AB101" s="1260"/>
      <c r="AC101" s="1260"/>
    </row>
    <row r="102" ht="15.75" spans="1:29">
      <c r="A102" s="1416"/>
      <c r="B102" s="1419" t="s">
        <v>1184</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56"/>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62"/>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62"/>
      <c r="Q104" s="1510"/>
      <c r="R104" s="1511"/>
      <c r="S104" s="1511"/>
      <c r="T104" s="1511"/>
      <c r="U104" s="1511"/>
      <c r="V104" s="1511"/>
      <c r="W104" s="1511"/>
      <c r="X104" s="1511"/>
      <c r="Y104" s="1511"/>
      <c r="Z104" s="1511"/>
      <c r="AA104" s="1511"/>
      <c r="AB104" s="1511"/>
      <c r="AC104" s="1511"/>
    </row>
    <row r="105" ht="15.75" spans="1:29">
      <c r="A105" s="1450"/>
      <c r="B105" s="1419" t="s">
        <v>1185</v>
      </c>
      <c r="C105" s="1427"/>
      <c r="D105" s="1427"/>
      <c r="E105" s="1444"/>
      <c r="F105" s="1444"/>
      <c r="G105" s="1444"/>
      <c r="H105" s="1444"/>
      <c r="I105" s="1444"/>
      <c r="J105" s="1444"/>
      <c r="K105" s="1495"/>
      <c r="L105" s="1496"/>
      <c r="M105" s="1497"/>
      <c r="N105" s="1465"/>
      <c r="O105" s="1465"/>
      <c r="P105" s="175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56"/>
      <c r="Q106" s="1387"/>
      <c r="R106" s="1260"/>
      <c r="S106" s="1260"/>
      <c r="T106" s="1260"/>
      <c r="U106" s="1260"/>
      <c r="V106" s="1260"/>
      <c r="W106" s="1260"/>
      <c r="X106" s="1260"/>
      <c r="Y106" s="1260"/>
      <c r="Z106" s="1260"/>
      <c r="AA106" s="1260"/>
      <c r="AB106" s="1260"/>
      <c r="AC106" s="1260"/>
    </row>
    <row r="107" ht="15.75" spans="1:29">
      <c r="A107" s="1450"/>
      <c r="B107" s="1419" t="s">
        <v>1187</v>
      </c>
      <c r="C107" s="1427"/>
      <c r="D107" s="1427"/>
      <c r="E107" s="1427"/>
      <c r="F107" s="1444"/>
      <c r="G107" s="1444"/>
      <c r="H107" s="1444"/>
      <c r="I107" s="1444"/>
      <c r="J107" s="1444"/>
      <c r="K107" s="1495"/>
      <c r="L107" s="1496"/>
      <c r="M107" s="1497"/>
      <c r="N107" s="1465"/>
      <c r="O107" s="1465"/>
      <c r="P107" s="175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56"/>
      <c r="Q108" s="1387"/>
      <c r="R108" s="1260"/>
      <c r="S108" s="1260"/>
      <c r="T108" s="1260"/>
      <c r="U108" s="1260"/>
      <c r="V108" s="1260"/>
      <c r="W108" s="1260"/>
      <c r="X108" s="1260"/>
      <c r="Y108" s="1260"/>
      <c r="Z108" s="1260"/>
      <c r="AA108" s="1260"/>
      <c r="AB108" s="1260"/>
      <c r="AC108" s="1260"/>
    </row>
    <row r="109" ht="15.75" spans="1:29">
      <c r="A109" s="1450"/>
      <c r="B109" s="1419" t="s">
        <v>681</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56"/>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56"/>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56"/>
      <c r="Q111" s="1387"/>
      <c r="R111" s="1260"/>
      <c r="S111" s="1260"/>
      <c r="T111" s="1260"/>
      <c r="U111" s="1260"/>
      <c r="V111" s="1260"/>
      <c r="W111" s="1260"/>
      <c r="X111" s="1260"/>
      <c r="Y111" s="1260"/>
      <c r="Z111" s="1260"/>
      <c r="AA111" s="1260"/>
      <c r="AB111" s="1260"/>
      <c r="AC111" s="1260"/>
    </row>
    <row r="112" s="1134" customFormat="1" ht="15.75" spans="1:29">
      <c r="A112" s="1447"/>
      <c r="B112" s="1419" t="s">
        <v>1191</v>
      </c>
      <c r="C112" s="1427"/>
      <c r="D112" s="1427"/>
      <c r="E112" s="1427"/>
      <c r="F112" s="1427"/>
      <c r="G112" s="1427"/>
      <c r="H112" s="1444"/>
      <c r="I112" s="1444"/>
      <c r="J112" s="1444"/>
      <c r="K112" s="1495"/>
      <c r="L112" s="1496"/>
      <c r="M112" s="1497"/>
      <c r="N112" s="1478"/>
      <c r="O112" s="1478"/>
      <c r="P112" s="1762"/>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62"/>
      <c r="Q113" s="1510"/>
      <c r="R113" s="1511"/>
      <c r="S113" s="1511"/>
      <c r="T113" s="1511"/>
      <c r="U113" s="1511"/>
      <c r="V113" s="1511"/>
      <c r="W113" s="1511"/>
      <c r="X113" s="1511"/>
      <c r="Y113" s="1511"/>
      <c r="Z113" s="1511"/>
      <c r="AA113" s="1511"/>
      <c r="AB113" s="1511"/>
      <c r="AC113" s="1511"/>
    </row>
    <row r="114" ht="15.75" spans="1:29">
      <c r="A114" s="1450"/>
      <c r="B114" s="1419" t="s">
        <v>1647</v>
      </c>
      <c r="C114" s="1427"/>
      <c r="D114" s="1427"/>
      <c r="E114" s="1444"/>
      <c r="F114" s="1444"/>
      <c r="G114" s="1444"/>
      <c r="H114" s="1444"/>
      <c r="I114" s="1444"/>
      <c r="J114" s="1444"/>
      <c r="K114" s="1495"/>
      <c r="L114" s="1496"/>
      <c r="M114" s="1497"/>
      <c r="N114" s="1465"/>
      <c r="O114" s="1465"/>
      <c r="P114" s="1756"/>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56"/>
      <c r="Q115" s="1387"/>
      <c r="R115" s="1260"/>
      <c r="S115" s="1260"/>
      <c r="T115" s="1260"/>
      <c r="U115" s="1260"/>
      <c r="V115" s="1260"/>
      <c r="W115" s="1260"/>
      <c r="X115" s="1260"/>
      <c r="Y115" s="1260"/>
      <c r="Z115" s="1260"/>
      <c r="AA115" s="1260"/>
      <c r="AB115" s="1260"/>
      <c r="AC115" s="1260"/>
    </row>
    <row r="116" ht="15.75" spans="1:29">
      <c r="A116" s="1450"/>
      <c r="B116" s="1419" t="s">
        <v>1192</v>
      </c>
      <c r="C116" s="1427"/>
      <c r="D116" s="1427"/>
      <c r="E116" s="1427"/>
      <c r="F116" s="1427"/>
      <c r="G116" s="1427"/>
      <c r="H116" s="1444"/>
      <c r="I116" s="1444"/>
      <c r="J116" s="1444"/>
      <c r="K116" s="1495"/>
      <c r="L116" s="1496"/>
      <c r="M116" s="1497"/>
      <c r="N116" s="1465"/>
      <c r="O116" s="1465"/>
      <c r="P116" s="1756"/>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56"/>
      <c r="Q117" s="1387"/>
      <c r="R117" s="1260"/>
      <c r="S117" s="1260"/>
      <c r="T117" s="1260"/>
      <c r="U117" s="1260"/>
      <c r="V117" s="1260"/>
      <c r="W117" s="1260"/>
      <c r="X117" s="1260"/>
      <c r="Y117" s="1260"/>
      <c r="Z117" s="1260"/>
      <c r="AA117" s="1260"/>
      <c r="AB117" s="1260"/>
      <c r="AC117" s="1260"/>
    </row>
    <row r="118" ht="15.75" spans="1:29">
      <c r="A118" s="1450"/>
      <c r="B118" s="1419" t="s">
        <v>1223</v>
      </c>
      <c r="C118" s="1761"/>
      <c r="D118" s="1761"/>
      <c r="E118" s="1761"/>
      <c r="F118" s="1761"/>
      <c r="G118" s="1761"/>
      <c r="H118" s="1428"/>
      <c r="I118" s="1428"/>
      <c r="J118" s="1428"/>
      <c r="K118" s="1428"/>
      <c r="L118" s="1476"/>
      <c r="M118" s="1477"/>
      <c r="N118" s="1465"/>
      <c r="O118" s="1465"/>
      <c r="P118" s="1756"/>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56"/>
      <c r="Q119" s="1387"/>
      <c r="R119" s="1260"/>
      <c r="S119" s="1260"/>
      <c r="T119" s="1260"/>
      <c r="U119" s="1260"/>
      <c r="V119" s="1260"/>
      <c r="W119" s="1260"/>
      <c r="X119" s="1260"/>
      <c r="Y119" s="1260"/>
      <c r="Z119" s="1260"/>
      <c r="AA119" s="1260"/>
      <c r="AB119" s="1260"/>
      <c r="AC119" s="1260"/>
    </row>
    <row r="120" s="1134" customFormat="1" ht="15.75" spans="1:29">
      <c r="A120" s="1447"/>
      <c r="B120" s="1419" t="s">
        <v>1649</v>
      </c>
      <c r="C120" s="1444"/>
      <c r="D120" s="1444"/>
      <c r="E120" s="1444"/>
      <c r="F120" s="1444"/>
      <c r="G120" s="1428"/>
      <c r="H120" s="1428"/>
      <c r="I120" s="1428"/>
      <c r="J120" s="1428"/>
      <c r="K120" s="1428"/>
      <c r="L120" s="1476"/>
      <c r="M120" s="1477"/>
      <c r="N120" s="1478"/>
      <c r="O120" s="1478"/>
      <c r="P120" s="1762"/>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62"/>
      <c r="Q121" s="1510"/>
      <c r="R121" s="1511"/>
      <c r="S121" s="1511"/>
      <c r="T121" s="1511"/>
      <c r="U121" s="1511"/>
      <c r="V121" s="1511"/>
      <c r="W121" s="1511"/>
      <c r="X121" s="1511"/>
      <c r="Y121" s="1511"/>
      <c r="Z121" s="1511"/>
      <c r="AA121" s="1511"/>
      <c r="AB121" s="1511"/>
      <c r="AC121" s="1511"/>
    </row>
    <row r="122" ht="15.75" spans="1:29">
      <c r="A122" s="1450"/>
      <c r="B122" s="1419" t="s">
        <v>1195</v>
      </c>
      <c r="C122" s="1427"/>
      <c r="D122" s="1427"/>
      <c r="E122" s="1427"/>
      <c r="F122" s="1444"/>
      <c r="G122" s="1444"/>
      <c r="H122" s="1444"/>
      <c r="I122" s="1444"/>
      <c r="J122" s="1444"/>
      <c r="K122" s="1495"/>
      <c r="L122" s="1496"/>
      <c r="M122" s="1497"/>
      <c r="N122" s="1465"/>
      <c r="O122" s="1465"/>
      <c r="P122" s="1756"/>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56"/>
      <c r="Q123" s="1387"/>
      <c r="R123" s="1260"/>
      <c r="S123" s="1260"/>
      <c r="T123" s="1260"/>
      <c r="U123" s="1260"/>
      <c r="V123" s="1260"/>
      <c r="W123" s="1260"/>
      <c r="X123" s="1260"/>
      <c r="Y123" s="1260"/>
      <c r="Z123" s="1260"/>
      <c r="AA123" s="1260"/>
      <c r="AB123" s="1260"/>
      <c r="AC123" s="1260"/>
    </row>
    <row r="124" ht="15.75" spans="1:29">
      <c r="A124" s="1450"/>
      <c r="B124" s="1419" t="s">
        <v>1197</v>
      </c>
      <c r="C124" s="1438" t="s">
        <v>1212</v>
      </c>
      <c r="D124" s="1438" t="s">
        <v>1213</v>
      </c>
      <c r="E124" s="1438" t="s">
        <v>1214</v>
      </c>
      <c r="F124" s="1438" t="s">
        <v>1215</v>
      </c>
      <c r="G124" s="1438" t="s">
        <v>1216</v>
      </c>
      <c r="H124" s="1420"/>
      <c r="I124" s="1420"/>
      <c r="J124" s="1420"/>
      <c r="K124" s="1469"/>
      <c r="L124" s="1470"/>
      <c r="M124" s="1471"/>
      <c r="N124" s="1465"/>
      <c r="O124" s="1465"/>
      <c r="P124" s="1762"/>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56"/>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62"/>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62"/>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56"/>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56"/>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56"/>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56"/>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688" t="s">
        <v>1650</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1036</v>
      </c>
      <c r="B3" s="1149">
        <f ca="1">IF(C2="——",C43,ROUND(B2*10000/D3,0))</f>
        <v>0</v>
      </c>
      <c r="C3" s="1564" t="s">
        <v>1136</v>
      </c>
      <c r="D3" s="1565">
        <f>IF(D1="",'数据-汇总表'!E3,SUMIF('数据-汇总表'!$C19:$C33,D1,'数据-汇总表'!$E19:$E33))</f>
        <v>112.13</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694"/>
      <c r="M4" s="1695"/>
      <c r="N4" s="1695"/>
      <c r="O4" s="1695"/>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0" si="3">D8/F8</f>
        <v>1</v>
      </c>
      <c r="AB8" s="1393">
        <f t="shared" ref="AB8:AB40" si="4">D8/H8</f>
        <v>1</v>
      </c>
      <c r="AC8" s="1393">
        <f t="shared" ref="AC8:AC40" si="5">D8/J8</f>
        <v>1</v>
      </c>
    </row>
    <row r="9" s="1132" customFormat="1" spans="1:29">
      <c r="A9" s="1177" t="s">
        <v>1157</v>
      </c>
      <c r="B9" s="1178" t="s">
        <v>1158</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1165</v>
      </c>
      <c r="B15" s="1520" t="s">
        <v>1651</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1167</v>
      </c>
      <c r="Q15" s="717" t="str">
        <f t="shared" si="6"/>
        <v>产业集聚程度</v>
      </c>
      <c r="R15" s="1379" t="s">
        <v>1152</v>
      </c>
      <c r="S15" s="1380">
        <f t="shared" si="0"/>
        <v>100</v>
      </c>
      <c r="T15" s="1379" t="s">
        <v>1152</v>
      </c>
      <c r="U15" s="1380">
        <f t="shared" si="1"/>
        <v>100</v>
      </c>
      <c r="V15" s="1379" t="s">
        <v>1152</v>
      </c>
      <c r="W15" s="1380">
        <f t="shared" si="2"/>
        <v>100</v>
      </c>
      <c r="X15" s="1366"/>
      <c r="Y15" s="1331" t="s">
        <v>1167</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1170</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1173</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1152</v>
      </c>
      <c r="S25" s="1380">
        <f>F25</f>
        <v>100</v>
      </c>
      <c r="T25" s="1379" t="s">
        <v>1152</v>
      </c>
      <c r="U25" s="1380">
        <f>H25</f>
        <v>100</v>
      </c>
      <c r="V25" s="1379" t="s">
        <v>1152</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1152</v>
      </c>
      <c r="S26" s="1380">
        <f>F26</f>
        <v>100</v>
      </c>
      <c r="T26" s="1379" t="s">
        <v>1152</v>
      </c>
      <c r="U26" s="1380">
        <f>H26</f>
        <v>100</v>
      </c>
      <c r="V26" s="1379" t="s">
        <v>1152</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1152</v>
      </c>
      <c r="S27" s="1375">
        <f>F27</f>
        <v>100</v>
      </c>
      <c r="T27" s="1374" t="s">
        <v>1152</v>
      </c>
      <c r="U27" s="1375">
        <f>H27</f>
        <v>100</v>
      </c>
      <c r="V27" s="1374" t="s">
        <v>1152</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1152</v>
      </c>
      <c r="S28" s="1380">
        <f t="shared" ref="S28:S40" si="12">F28</f>
        <v>100</v>
      </c>
      <c r="T28" s="1379" t="s">
        <v>1152</v>
      </c>
      <c r="U28" s="1380">
        <f t="shared" ref="U28:U40" si="13">H28</f>
        <v>100</v>
      </c>
      <c r="V28" s="1379" t="s">
        <v>1152</v>
      </c>
      <c r="W28" s="1380">
        <f t="shared" ref="W28:W40" si="14">J28</f>
        <v>100</v>
      </c>
      <c r="X28" s="1366"/>
      <c r="Y28" s="1332"/>
      <c r="Z28" s="1353">
        <f t="shared" ref="Z28:Z40" si="15">Q28</f>
        <v>111</v>
      </c>
      <c r="AA28" s="1395">
        <f t="shared" si="3"/>
        <v>1</v>
      </c>
      <c r="AB28" s="1395">
        <f t="shared" si="4"/>
        <v>1</v>
      </c>
      <c r="AC28" s="1395">
        <f t="shared" si="5"/>
        <v>1</v>
      </c>
    </row>
    <row r="29" ht="28.5" spans="1:29">
      <c r="A29" s="1581" t="s">
        <v>1180</v>
      </c>
      <c r="B29" s="1178" t="s">
        <v>1181</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1183</v>
      </c>
      <c r="Q29" s="717" t="str">
        <f t="shared" si="11"/>
        <v>建筑类型</v>
      </c>
      <c r="R29" s="1379" t="s">
        <v>1152</v>
      </c>
      <c r="S29" s="1380">
        <f t="shared" si="12"/>
        <v>100</v>
      </c>
      <c r="T29" s="1379" t="s">
        <v>1152</v>
      </c>
      <c r="U29" s="1380">
        <f t="shared" si="13"/>
        <v>100</v>
      </c>
      <c r="V29" s="1379" t="s">
        <v>1152</v>
      </c>
      <c r="W29" s="1380">
        <f t="shared" si="14"/>
        <v>100</v>
      </c>
      <c r="X29" s="1366"/>
      <c r="Y29" s="1341" t="s">
        <v>1183</v>
      </c>
      <c r="Z29" s="1353" t="str">
        <f t="shared" si="15"/>
        <v>建筑类型</v>
      </c>
      <c r="AA29" s="1395">
        <f t="shared" si="3"/>
        <v>1</v>
      </c>
      <c r="AB29" s="1395">
        <f t="shared" si="4"/>
        <v>1</v>
      </c>
      <c r="AC29" s="1395">
        <f t="shared" si="5"/>
        <v>1</v>
      </c>
    </row>
    <row r="30" s="1134" customFormat="1" ht="15" spans="1:29">
      <c r="A30" s="1241"/>
      <c r="B30" s="1182" t="s">
        <v>1184</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1152</v>
      </c>
      <c r="S30" s="1382" t="e">
        <f t="shared" si="12"/>
        <v>#N/A</v>
      </c>
      <c r="T30" s="1381" t="s">
        <v>1152</v>
      </c>
      <c r="U30" s="1382" t="e">
        <f t="shared" si="13"/>
        <v>#N/A</v>
      </c>
      <c r="V30" s="1381" t="s">
        <v>1152</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1185</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1152</v>
      </c>
      <c r="S31" s="1380">
        <f t="shared" si="12"/>
        <v>100</v>
      </c>
      <c r="T31" s="1379" t="s">
        <v>1152</v>
      </c>
      <c r="U31" s="1380">
        <f t="shared" si="13"/>
        <v>100</v>
      </c>
      <c r="V31" s="1379" t="s">
        <v>1152</v>
      </c>
      <c r="W31" s="1380">
        <f t="shared" si="14"/>
        <v>100</v>
      </c>
      <c r="X31" s="1366"/>
      <c r="Y31" s="1341"/>
      <c r="Z31" s="1353" t="str">
        <f t="shared" si="15"/>
        <v>建筑结构</v>
      </c>
      <c r="AA31" s="1395">
        <f t="shared" si="3"/>
        <v>1</v>
      </c>
      <c r="AB31" s="1395">
        <f t="shared" si="4"/>
        <v>1</v>
      </c>
      <c r="AC31" s="1395">
        <f t="shared" si="5"/>
        <v>1</v>
      </c>
    </row>
    <row r="32" ht="15" spans="1:29">
      <c r="A32" s="1236"/>
      <c r="B32" s="1182" t="s">
        <v>1187</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1152</v>
      </c>
      <c r="S32" s="1380">
        <f t="shared" si="12"/>
        <v>100</v>
      </c>
      <c r="T32" s="1379" t="s">
        <v>1152</v>
      </c>
      <c r="U32" s="1380">
        <f t="shared" si="13"/>
        <v>100</v>
      </c>
      <c r="V32" s="1379" t="s">
        <v>1152</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681</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1152</v>
      </c>
      <c r="S33" s="1380" t="e">
        <f t="shared" si="12"/>
        <v>#N/A</v>
      </c>
      <c r="T33" s="1379" t="s">
        <v>1152</v>
      </c>
      <c r="U33" s="1380" t="e">
        <f t="shared" si="13"/>
        <v>#N/A</v>
      </c>
      <c r="V33" s="1379" t="s">
        <v>1152</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1190</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1152</v>
      </c>
      <c r="S34" s="1375">
        <f t="shared" si="12"/>
        <v>100</v>
      </c>
      <c r="T34" s="1374" t="s">
        <v>1152</v>
      </c>
      <c r="U34" s="1375">
        <f t="shared" si="13"/>
        <v>100</v>
      </c>
      <c r="V34" s="1374" t="s">
        <v>1152</v>
      </c>
      <c r="W34" s="1375">
        <f t="shared" si="14"/>
        <v>100</v>
      </c>
      <c r="X34" s="1376"/>
      <c r="Y34" s="1341"/>
      <c r="Z34" s="1394" t="str">
        <f t="shared" si="15"/>
        <v>物业管理</v>
      </c>
      <c r="AA34" s="1393">
        <f t="shared" si="3"/>
        <v>1</v>
      </c>
      <c r="AB34" s="1393">
        <f t="shared" si="4"/>
        <v>1</v>
      </c>
      <c r="AC34" s="1393">
        <f t="shared" si="5"/>
        <v>1</v>
      </c>
    </row>
    <row r="35" ht="15" spans="1:29">
      <c r="A35" s="1236"/>
      <c r="B35" s="1182" t="s">
        <v>1191</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1183</v>
      </c>
      <c r="Q35" s="717" t="str">
        <f t="shared" si="11"/>
        <v>市政基础设施</v>
      </c>
      <c r="R35" s="1379" t="s">
        <v>1152</v>
      </c>
      <c r="S35" s="1380">
        <f t="shared" si="12"/>
        <v>100</v>
      </c>
      <c r="T35" s="1379" t="s">
        <v>1152</v>
      </c>
      <c r="U35" s="1380">
        <f t="shared" si="13"/>
        <v>100</v>
      </c>
      <c r="V35" s="1379" t="s">
        <v>1152</v>
      </c>
      <c r="W35" s="1380">
        <f t="shared" si="14"/>
        <v>100</v>
      </c>
      <c r="X35" s="1366"/>
      <c r="Y35" s="1341" t="s">
        <v>1183</v>
      </c>
      <c r="Z35" s="1353" t="str">
        <f t="shared" si="15"/>
        <v>市政基础设施</v>
      </c>
      <c r="AA35" s="1395">
        <f t="shared" si="3"/>
        <v>1</v>
      </c>
      <c r="AB35" s="1395">
        <f t="shared" si="4"/>
        <v>1</v>
      </c>
      <c r="AC35" s="1395">
        <f t="shared" si="5"/>
        <v>1</v>
      </c>
    </row>
    <row r="36" ht="15" spans="1:29">
      <c r="A36" s="1236"/>
      <c r="B36" s="1182" t="s">
        <v>1195</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1152</v>
      </c>
      <c r="S36" s="1380">
        <f t="shared" si="12"/>
        <v>100</v>
      </c>
      <c r="T36" s="1379" t="s">
        <v>1152</v>
      </c>
      <c r="U36" s="1380">
        <f t="shared" si="13"/>
        <v>100</v>
      </c>
      <c r="V36" s="1379" t="s">
        <v>1152</v>
      </c>
      <c r="W36" s="1380">
        <f t="shared" si="14"/>
        <v>100</v>
      </c>
      <c r="X36" s="1366"/>
      <c r="Y36" s="1341"/>
      <c r="Z36" s="1353" t="str">
        <f t="shared" si="15"/>
        <v>内部装修</v>
      </c>
      <c r="AA36" s="1395">
        <f t="shared" si="3"/>
        <v>1</v>
      </c>
      <c r="AB36" s="1395">
        <f t="shared" si="4"/>
        <v>1</v>
      </c>
      <c r="AC36" s="1395">
        <f t="shared" si="5"/>
        <v>1</v>
      </c>
    </row>
    <row r="37" ht="15" spans="1:29">
      <c r="A37" s="1236"/>
      <c r="B37" s="1182" t="s">
        <v>1652</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1152</v>
      </c>
      <c r="S37" s="1380">
        <f t="shared" si="12"/>
        <v>100</v>
      </c>
      <c r="T37" s="1379" t="s">
        <v>1152</v>
      </c>
      <c r="U37" s="1380">
        <f t="shared" si="13"/>
        <v>100</v>
      </c>
      <c r="V37" s="1379" t="s">
        <v>1152</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1152</v>
      </c>
      <c r="S38" s="1382">
        <f t="shared" si="12"/>
        <v>100</v>
      </c>
      <c r="T38" s="1381" t="s">
        <v>1152</v>
      </c>
      <c r="U38" s="1382">
        <f t="shared" si="13"/>
        <v>100</v>
      </c>
      <c r="V38" s="1381" t="s">
        <v>1152</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1152</v>
      </c>
      <c r="S39" s="1380">
        <f t="shared" si="12"/>
        <v>100</v>
      </c>
      <c r="T39" s="1379" t="s">
        <v>1152</v>
      </c>
      <c r="U39" s="1380">
        <f t="shared" si="13"/>
        <v>100</v>
      </c>
      <c r="V39" s="1379" t="s">
        <v>1152</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1152</v>
      </c>
      <c r="S40" s="1380">
        <f t="shared" si="12"/>
        <v>100</v>
      </c>
      <c r="T40" s="1379" t="s">
        <v>1152</v>
      </c>
      <c r="U40" s="1380">
        <f t="shared" si="13"/>
        <v>100</v>
      </c>
      <c r="V40" s="1379" t="s">
        <v>1152</v>
      </c>
      <c r="W40" s="1380">
        <f t="shared" si="14"/>
        <v>100</v>
      </c>
      <c r="X40" s="1366"/>
      <c r="Y40" s="1707"/>
      <c r="Z40" s="1353">
        <f t="shared" si="15"/>
        <v>111</v>
      </c>
      <c r="AA40" s="1395">
        <f t="shared" si="3"/>
        <v>1</v>
      </c>
      <c r="AB40" s="1395">
        <f t="shared" si="4"/>
        <v>1</v>
      </c>
      <c r="AC40" s="1395">
        <f t="shared" si="5"/>
        <v>1</v>
      </c>
    </row>
    <row r="41" ht="15" spans="1:29">
      <c r="A41" s="1243" t="s">
        <v>1198</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1199</v>
      </c>
      <c r="B42" s="1598"/>
      <c r="C42" s="1599" t="e">
        <f>R43</f>
        <v>#DIV/0!</v>
      </c>
      <c r="D42" s="1254" t="s">
        <v>1200</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1201</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1205</v>
      </c>
      <c r="B51" s="1301"/>
      <c r="C51" s="1302"/>
      <c r="D51" s="1302"/>
      <c r="E51" s="1302"/>
      <c r="F51" s="1303"/>
      <c r="G51" s="1303"/>
      <c r="H51" s="1302"/>
      <c r="I51" s="1302"/>
      <c r="J51" s="1302"/>
      <c r="K51" s="1546"/>
      <c r="L51" s="1547"/>
      <c r="M51" s="1361"/>
      <c r="N51" s="1361"/>
      <c r="O51" s="1361"/>
      <c r="P51" s="1711"/>
      <c r="Q51" s="1713"/>
    </row>
    <row r="52" s="1137" customFormat="1" ht="15" spans="1:16">
      <c r="A52" s="1603" t="s">
        <v>1150</v>
      </c>
      <c r="B52" s="1604"/>
      <c r="C52" s="1605" t="str">
        <f>YEAR(C7)&amp;"-"&amp;MONTH(C7)</f>
        <v>2025-7</v>
      </c>
      <c r="D52" s="1606">
        <f>EDATE(C52,-1)</f>
        <v>45809</v>
      </c>
      <c r="E52" s="1606">
        <f t="shared" ref="E52:O52" si="16">EDATE(D52,-1)</f>
        <v>45778</v>
      </c>
      <c r="F52" s="1606">
        <f t="shared" si="16"/>
        <v>45748</v>
      </c>
      <c r="G52" s="1606">
        <f t="shared" si="16"/>
        <v>45717</v>
      </c>
      <c r="H52" s="1606">
        <f t="shared" si="16"/>
        <v>45689</v>
      </c>
      <c r="I52" s="1606">
        <f t="shared" si="16"/>
        <v>45658</v>
      </c>
      <c r="J52" s="1606">
        <f t="shared" si="16"/>
        <v>45627</v>
      </c>
      <c r="K52" s="1606">
        <f t="shared" si="16"/>
        <v>45597</v>
      </c>
      <c r="L52" s="1606">
        <f t="shared" si="16"/>
        <v>45566</v>
      </c>
      <c r="M52" s="1606">
        <f t="shared" si="16"/>
        <v>45536</v>
      </c>
      <c r="N52" s="1606">
        <f t="shared" si="16"/>
        <v>45505</v>
      </c>
      <c r="O52" s="1606">
        <f t="shared" si="16"/>
        <v>45474</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1206</v>
      </c>
      <c r="B54" s="1405"/>
      <c r="C54" s="1406"/>
      <c r="D54" s="1407"/>
      <c r="E54" s="1407"/>
      <c r="F54" s="1407"/>
      <c r="G54" s="1407"/>
      <c r="H54" s="1407"/>
      <c r="I54" s="1407"/>
      <c r="J54" s="1407"/>
      <c r="K54" s="1407"/>
      <c r="L54" s="1407"/>
      <c r="M54" s="1455"/>
      <c r="N54" s="1714"/>
      <c r="O54" s="1715"/>
      <c r="P54" s="1713"/>
      <c r="Q54" s="1713"/>
    </row>
    <row r="55" s="1132" customFormat="1" ht="15" spans="1:17">
      <c r="A55" s="1408" t="s">
        <v>1153</v>
      </c>
      <c r="B55" s="1409"/>
      <c r="C55" s="1410" t="s">
        <v>1207</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1208</v>
      </c>
      <c r="B57" s="1415" t="s">
        <v>1158</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1161</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1164</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1165</v>
      </c>
      <c r="B70" s="1415" t="s">
        <v>1651</v>
      </c>
      <c r="C70" s="1436" t="s">
        <v>1212</v>
      </c>
      <c r="D70" s="1436" t="s">
        <v>1213</v>
      </c>
      <c r="E70" s="1436" t="s">
        <v>1214</v>
      </c>
      <c r="F70" s="1436" t="s">
        <v>1215</v>
      </c>
      <c r="G70" s="1436" t="s">
        <v>1216</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1170</v>
      </c>
      <c r="C72" s="1438" t="s">
        <v>1212</v>
      </c>
      <c r="D72" s="1438" t="s">
        <v>1213</v>
      </c>
      <c r="E72" s="1438" t="s">
        <v>1214</v>
      </c>
      <c r="F72" s="1438" t="s">
        <v>1215</v>
      </c>
      <c r="G72" s="1438" t="s">
        <v>1216</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1171</v>
      </c>
      <c r="C74" s="1438" t="s">
        <v>1212</v>
      </c>
      <c r="D74" s="1438" t="s">
        <v>1213</v>
      </c>
      <c r="E74" s="1438" t="s">
        <v>1214</v>
      </c>
      <c r="F74" s="1438" t="s">
        <v>1215</v>
      </c>
      <c r="G74" s="1438" t="s">
        <v>1216</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1172</v>
      </c>
      <c r="C76" s="1443" t="s">
        <v>1217</v>
      </c>
      <c r="D76" s="1443" t="s">
        <v>1218</v>
      </c>
      <c r="E76" s="1443" t="s">
        <v>1219</v>
      </c>
      <c r="F76" s="1443" t="s">
        <v>1220</v>
      </c>
      <c r="G76" s="1443" t="s">
        <v>1221</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1173</v>
      </c>
      <c r="C78" s="1438" t="s">
        <v>1212</v>
      </c>
      <c r="D78" s="1438" t="s">
        <v>1213</v>
      </c>
      <c r="E78" s="1438" t="s">
        <v>1214</v>
      </c>
      <c r="F78" s="1438" t="s">
        <v>1215</v>
      </c>
      <c r="G78" s="1438" t="s">
        <v>1216</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1180</v>
      </c>
      <c r="B88" s="1415" t="s">
        <v>1181</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1184</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1185</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1187</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681</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1190</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1191</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1195</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1653</v>
      </c>
      <c r="C106" s="1438" t="s">
        <v>1212</v>
      </c>
      <c r="D106" s="1438" t="s">
        <v>1213</v>
      </c>
      <c r="E106" s="1438" t="s">
        <v>1214</v>
      </c>
      <c r="F106" s="1438" t="s">
        <v>1215</v>
      </c>
      <c r="G106" s="1438" t="s">
        <v>1216</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98" t="s">
        <v>82</v>
      </c>
    </row>
    <row r="2" spans="1:1">
      <c r="A2" s="3699"/>
    </row>
    <row r="3" ht="18" spans="1:1">
      <c r="A3" s="3700" t="str">
        <f>项目基本情况!B5&amp;"："</f>
        <v>：</v>
      </c>
    </row>
    <row r="4" ht="18.75" spans="1:1">
      <c r="A4" s="3701" t="str">
        <f>"受贵公司委托，我公司对"&amp;项目基本情况!S1&amp;"进行了预评估。"</f>
        <v>受贵公司委托，我公司对北京市房地产抵押价值进行了预评估。</v>
      </c>
    </row>
    <row r="5" ht="18.75" spans="1:1">
      <c r="A5" s="3702" t="s">
        <v>83</v>
      </c>
    </row>
    <row r="6" ht="18.75" spans="1:1">
      <c r="A6" s="3703" t="s">
        <v>84</v>
      </c>
    </row>
    <row r="7" ht="37.5" spans="1:1">
      <c r="A7" s="37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估价对象为北京市房地产，为所有。根据《国有土地使用证》[]，估价对象（分摊）出让国有建设用地使用权面积为0平方米，建筑面积为112.13平方米。</v>
      </c>
    </row>
    <row r="8" ht="56.25" spans="1:1">
      <c r="A8" s="3704" t="s">
        <v>85</v>
      </c>
    </row>
    <row r="9" ht="18.75" spans="1:1">
      <c r="A9" s="3703" t="s">
        <v>86</v>
      </c>
    </row>
    <row r="10" ht="56.25" spans="1:1">
      <c r="A10" s="37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估价对象为北京市房地产,属开发建设的，该项目尚在开发建设中。根据《国有土地使用证》[]，估价对象（分摊）出让国有建设用地使用权面积为0平方米，规划建筑面积为112.13平方米。</v>
      </c>
    </row>
    <row r="11" ht="75" spans="1:1">
      <c r="A11" s="3704" t="s">
        <v>87</v>
      </c>
    </row>
    <row r="12" ht="18.75" spans="1:1">
      <c r="A12" s="3702" t="s">
        <v>88</v>
      </c>
    </row>
    <row r="13" ht="38.25" customHeight="1" spans="1:1">
      <c r="A13" s="370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6" t="s">
        <v>89</v>
      </c>
    </row>
    <row r="15" ht="18" spans="1:1">
      <c r="A15" s="3707" t="str">
        <f>TEXT(项目基本情况!D3,"yyyy年m月d日;;")&amp;IF(项目基本情况!D3=项目基本情况!B3,"（评估专业人员实地查勘之日）","")</f>
        <v>2025年7月8日</v>
      </c>
    </row>
    <row r="16" ht="18.75" spans="1:1">
      <c r="A16" s="3706" t="s">
        <v>90</v>
      </c>
    </row>
    <row r="17" ht="75" spans="1:1">
      <c r="A17" s="3701" t="s">
        <v>91</v>
      </c>
    </row>
    <row r="18" ht="56.25" spans="1:1">
      <c r="A18" s="37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8日，估价对象规划用途为，土地取得方式为出让，出让国有建设用地使用权剩余土地使用年限为，假定未设立法定优先受偿款下的房地产市场价值。</v>
      </c>
    </row>
    <row r="19" ht="157.5" customHeight="1" spans="1:1">
      <c r="A19" s="37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6" t="s">
        <v>92</v>
      </c>
    </row>
    <row r="24" ht="18" spans="1:1">
      <c r="A24" s="3655" t="str">
        <f>"本次评估采用的主估价方法为"&amp;结果表!K4&amp;"和"&amp;结果表!L4&amp;"。"</f>
        <v>本次评估采用的主估价方法为比较法和收益法。</v>
      </c>
    </row>
    <row r="25" ht="18" spans="1:1">
      <c r="A25" s="3655"/>
    </row>
    <row r="26" ht="18.75" spans="1:1">
      <c r="A26" s="3708"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1654</v>
      </c>
      <c r="B1" s="1552" t="s">
        <v>1655</v>
      </c>
      <c r="C1" s="1553" t="s">
        <v>1132</v>
      </c>
      <c r="D1" s="1554"/>
      <c r="E1" s="1555"/>
      <c r="F1" s="1556"/>
      <c r="G1" s="1632" t="s">
        <v>1135</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1036</v>
      </c>
      <c r="B3" s="1149" t="e">
        <f ca="1">IF(AND(C2="——",B37="元/平方米"),C39,ROUND(B2*10000/D3,0))</f>
        <v>#DIV/0!</v>
      </c>
      <c r="C3" s="1564" t="s">
        <v>1136</v>
      </c>
      <c r="D3" s="1565">
        <f>SUMIF('数据-汇总表'!$C19:$C33,D1,'数据-汇总表'!$E19:$E33)</f>
        <v>0</v>
      </c>
      <c r="E3" s="1564" t="s">
        <v>1656</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6" si="3">D8/F8</f>
        <v>1</v>
      </c>
      <c r="AB8" s="1393">
        <f t="shared" ref="AB8:AB36" si="4">D8/H8</f>
        <v>1</v>
      </c>
      <c r="AC8" s="1393">
        <f t="shared" ref="AC8:AC36" si="5">D8/J8</f>
        <v>1</v>
      </c>
    </row>
    <row r="9" s="1132" customFormat="1" spans="1:29">
      <c r="A9" s="1634" t="s">
        <v>1157</v>
      </c>
      <c r="B9" s="1635" t="s">
        <v>1158</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637"/>
      <c r="B10" s="1638" t="s">
        <v>1161</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51" t="s">
        <v>1165</v>
      </c>
      <c r="B14" s="1200" t="s">
        <v>1170</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1167</v>
      </c>
      <c r="Q14" s="717" t="str">
        <f t="shared" si="6"/>
        <v>交通便捷度</v>
      </c>
      <c r="R14" s="1379" t="s">
        <v>1152</v>
      </c>
      <c r="S14" s="1380">
        <f t="shared" si="0"/>
        <v>100</v>
      </c>
      <c r="T14" s="1379" t="s">
        <v>1152</v>
      </c>
      <c r="U14" s="1380">
        <f t="shared" si="1"/>
        <v>100</v>
      </c>
      <c r="V14" s="1379" t="s">
        <v>1152</v>
      </c>
      <c r="W14" s="1380">
        <f t="shared" si="2"/>
        <v>100</v>
      </c>
      <c r="X14" s="1366"/>
      <c r="Y14" s="1331" t="s">
        <v>1167</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1171</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1172</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1616</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1175</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650" t="s">
        <v>1180</v>
      </c>
      <c r="B26" s="1651" t="s">
        <v>1657</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1183</v>
      </c>
      <c r="Q26" s="717" t="str">
        <f t="shared" si="11"/>
        <v>配套类型</v>
      </c>
      <c r="R26" s="1379" t="s">
        <v>1152</v>
      </c>
      <c r="S26" s="1380">
        <f t="shared" ref="S26:S36" si="12">F26</f>
        <v>0</v>
      </c>
      <c r="T26" s="1379" t="s">
        <v>1152</v>
      </c>
      <c r="U26" s="1380">
        <f t="shared" ref="U26:U36" si="13">H26</f>
        <v>0</v>
      </c>
      <c r="V26" s="1379" t="s">
        <v>1152</v>
      </c>
      <c r="W26" s="1380">
        <f t="shared" ref="W26:W36" si="14">J26</f>
        <v>0</v>
      </c>
      <c r="X26" s="1366"/>
      <c r="Y26" s="1341" t="s">
        <v>1183</v>
      </c>
      <c r="Z26" s="1353" t="str">
        <f t="shared" ref="Z26:Z36" si="15">Q26</f>
        <v>配套类型</v>
      </c>
      <c r="AA26" s="1395" t="e">
        <f t="shared" si="3"/>
        <v>#DIV/0!</v>
      </c>
      <c r="AB26" s="1395" t="e">
        <f t="shared" si="4"/>
        <v>#DIV/0!</v>
      </c>
      <c r="AC26" s="1395" t="e">
        <f t="shared" si="5"/>
        <v>#DIV/0!</v>
      </c>
    </row>
    <row r="27" s="1134" customFormat="1" ht="15" spans="1:29">
      <c r="A27" s="1653"/>
      <c r="B27" s="1222" t="s">
        <v>1658</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1152</v>
      </c>
      <c r="S27" s="1382">
        <f t="shared" si="12"/>
        <v>100</v>
      </c>
      <c r="T27" s="1381" t="s">
        <v>1152</v>
      </c>
      <c r="U27" s="1382">
        <f t="shared" si="13"/>
        <v>100</v>
      </c>
      <c r="V27" s="1381" t="s">
        <v>1152</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1187</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1152</v>
      </c>
      <c r="S28" s="1380">
        <f t="shared" si="12"/>
        <v>100</v>
      </c>
      <c r="T28" s="1379" t="s">
        <v>1152</v>
      </c>
      <c r="U28" s="1380">
        <f t="shared" si="13"/>
        <v>100</v>
      </c>
      <c r="V28" s="1379" t="s">
        <v>1152</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1659</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1152</v>
      </c>
      <c r="S29" s="1380" t="e">
        <f t="shared" si="12"/>
        <v>#N/A</v>
      </c>
      <c r="T29" s="1379" t="s">
        <v>1152</v>
      </c>
      <c r="U29" s="1380" t="e">
        <f t="shared" si="13"/>
        <v>#N/A</v>
      </c>
      <c r="V29" s="1379" t="s">
        <v>1152</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1660</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1152</v>
      </c>
      <c r="S30" s="1380">
        <f t="shared" si="12"/>
        <v>100</v>
      </c>
      <c r="T30" s="1379" t="s">
        <v>1152</v>
      </c>
      <c r="U30" s="1380">
        <f t="shared" si="13"/>
        <v>100</v>
      </c>
      <c r="V30" s="1379" t="s">
        <v>1152</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1661</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1152</v>
      </c>
      <c r="S31" s="1375" t="e">
        <f t="shared" si="12"/>
        <v>#N/A</v>
      </c>
      <c r="T31" s="1374" t="s">
        <v>1152</v>
      </c>
      <c r="U31" s="1375" t="e">
        <f t="shared" si="13"/>
        <v>#N/A</v>
      </c>
      <c r="V31" s="1374" t="s">
        <v>1152</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1662</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1183</v>
      </c>
      <c r="Q32" s="717" t="str">
        <f t="shared" si="11"/>
        <v>车位类型</v>
      </c>
      <c r="R32" s="1379" t="s">
        <v>1152</v>
      </c>
      <c r="S32" s="1380">
        <f t="shared" si="12"/>
        <v>100</v>
      </c>
      <c r="T32" s="1379" t="s">
        <v>1152</v>
      </c>
      <c r="U32" s="1380">
        <f t="shared" si="13"/>
        <v>100</v>
      </c>
      <c r="V32" s="1379" t="s">
        <v>1152</v>
      </c>
      <c r="W32" s="1380">
        <f t="shared" si="14"/>
        <v>100</v>
      </c>
      <c r="X32" s="1366"/>
      <c r="Y32" s="1341" t="s">
        <v>1183</v>
      </c>
      <c r="Z32" s="1353" t="str">
        <f t="shared" si="15"/>
        <v>车位类型</v>
      </c>
      <c r="AA32" s="1395">
        <f t="shared" si="3"/>
        <v>1</v>
      </c>
      <c r="AB32" s="1395">
        <f t="shared" si="4"/>
        <v>1</v>
      </c>
      <c r="AC32" s="1395">
        <f t="shared" si="5"/>
        <v>1</v>
      </c>
    </row>
    <row r="33" ht="15" spans="1:29">
      <c r="A33" s="1655"/>
      <c r="B33" s="1222" t="s">
        <v>1663</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1152</v>
      </c>
      <c r="S33" s="1380">
        <f t="shared" si="12"/>
        <v>100</v>
      </c>
      <c r="T33" s="1379" t="s">
        <v>1152</v>
      </c>
      <c r="U33" s="1380">
        <f t="shared" si="13"/>
        <v>100</v>
      </c>
      <c r="V33" s="1379" t="s">
        <v>1152</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1152</v>
      </c>
      <c r="S35" s="1382">
        <f t="shared" si="12"/>
        <v>100</v>
      </c>
      <c r="T35" s="1381" t="s">
        <v>1152</v>
      </c>
      <c r="U35" s="1382">
        <f t="shared" si="13"/>
        <v>100</v>
      </c>
      <c r="V35" s="1381" t="s">
        <v>1152</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1152</v>
      </c>
      <c r="S36" s="1380">
        <f t="shared" si="12"/>
        <v>100</v>
      </c>
      <c r="T36" s="1379" t="s">
        <v>1152</v>
      </c>
      <c r="U36" s="1380">
        <f t="shared" si="13"/>
        <v>100</v>
      </c>
      <c r="V36" s="1379" t="s">
        <v>1152</v>
      </c>
      <c r="W36" s="1380">
        <f t="shared" si="14"/>
        <v>100</v>
      </c>
      <c r="X36" s="1366"/>
      <c r="Y36" s="1341"/>
      <c r="Z36" s="1353">
        <f t="shared" si="15"/>
        <v>111</v>
      </c>
      <c r="AA36" s="1395">
        <f t="shared" si="3"/>
        <v>1</v>
      </c>
      <c r="AB36" s="1395">
        <f t="shared" si="4"/>
        <v>1</v>
      </c>
      <c r="AC36" s="1395">
        <f t="shared" si="5"/>
        <v>1</v>
      </c>
    </row>
    <row r="37" ht="15" spans="1:29">
      <c r="A37" s="1243" t="s">
        <v>1664</v>
      </c>
      <c r="B37" s="1658" t="s">
        <v>1665</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1199</v>
      </c>
      <c r="B38" s="1598" t="str">
        <f>B37</f>
        <v>元/平方米</v>
      </c>
      <c r="C38" s="1599" t="e">
        <f>R39</f>
        <v>#DIV/0!</v>
      </c>
      <c r="D38" s="1254" t="s">
        <v>1200</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1666</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1202</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1203</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1204</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1205</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1150</v>
      </c>
      <c r="B48" s="1604"/>
      <c r="C48" s="1605" t="str">
        <f>YEAR(C7)&amp;"-"&amp;MONTH(C7)</f>
        <v>2025-7</v>
      </c>
      <c r="D48" s="1606">
        <f>EDATE(C48,-1)</f>
        <v>45809</v>
      </c>
      <c r="E48" s="1606">
        <f t="shared" ref="E48:O48" si="16">EDATE(D48,-1)</f>
        <v>45778</v>
      </c>
      <c r="F48" s="1606">
        <f t="shared" si="16"/>
        <v>45748</v>
      </c>
      <c r="G48" s="1606">
        <f t="shared" si="16"/>
        <v>45717</v>
      </c>
      <c r="H48" s="1606">
        <f t="shared" si="16"/>
        <v>45689</v>
      </c>
      <c r="I48" s="1606">
        <f t="shared" si="16"/>
        <v>45658</v>
      </c>
      <c r="J48" s="1606">
        <f t="shared" si="16"/>
        <v>45627</v>
      </c>
      <c r="K48" s="1606">
        <f t="shared" si="16"/>
        <v>45597</v>
      </c>
      <c r="L48" s="1606">
        <f t="shared" si="16"/>
        <v>45566</v>
      </c>
      <c r="M48" s="1606">
        <f t="shared" si="16"/>
        <v>45536</v>
      </c>
      <c r="N48" s="1606">
        <f t="shared" si="16"/>
        <v>45505</v>
      </c>
      <c r="O48" s="1606">
        <f t="shared" si="16"/>
        <v>45474</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1206</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1153</v>
      </c>
      <c r="B51" s="1409"/>
      <c r="C51" s="1410" t="s">
        <v>1207</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1208</v>
      </c>
      <c r="B53" s="1415" t="s">
        <v>1158</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1161</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1165</v>
      </c>
      <c r="B63" s="1415" t="s">
        <v>1170</v>
      </c>
      <c r="C63" s="1436" t="s">
        <v>1212</v>
      </c>
      <c r="D63" s="1436" t="s">
        <v>1213</v>
      </c>
      <c r="E63" s="1436" t="s">
        <v>1214</v>
      </c>
      <c r="F63" s="1436" t="s">
        <v>1215</v>
      </c>
      <c r="G63" s="1436" t="s">
        <v>1216</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1171</v>
      </c>
      <c r="C65" s="1438" t="s">
        <v>1212</v>
      </c>
      <c r="D65" s="1438" t="s">
        <v>1213</v>
      </c>
      <c r="E65" s="1438" t="s">
        <v>1214</v>
      </c>
      <c r="F65" s="1438" t="s">
        <v>1215</v>
      </c>
      <c r="G65" s="1438" t="s">
        <v>1216</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1172</v>
      </c>
      <c r="C67" s="1443" t="s">
        <v>1217</v>
      </c>
      <c r="D67" s="1443" t="s">
        <v>1218</v>
      </c>
      <c r="E67" s="1443" t="s">
        <v>1219</v>
      </c>
      <c r="F67" s="1443" t="s">
        <v>1220</v>
      </c>
      <c r="G67" s="1443" t="s">
        <v>1221</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1616</v>
      </c>
      <c r="C69" s="1438" t="s">
        <v>1212</v>
      </c>
      <c r="D69" s="1438" t="s">
        <v>1213</v>
      </c>
      <c r="E69" s="1438" t="s">
        <v>1214</v>
      </c>
      <c r="F69" s="1438" t="s">
        <v>1215</v>
      </c>
      <c r="G69" s="1438" t="s">
        <v>1216</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1175</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1180</v>
      </c>
      <c r="B79" s="1415" t="s">
        <v>1667</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1658</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1187</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1659</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1660</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1661</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1662</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1663</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1654</v>
      </c>
      <c r="B1" s="1552" t="s">
        <v>1668</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 ca="1">IF(C2="——",C37,ROUND(B2*10000/D3,0))</f>
        <v>#DIV/0!</v>
      </c>
      <c r="C3" s="1564" t="s">
        <v>1136</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4" si="3">D8/F8</f>
        <v>1</v>
      </c>
      <c r="AB8" s="1393">
        <f t="shared" ref="AB8:AB34" si="4">D8/H8</f>
        <v>1</v>
      </c>
      <c r="AC8" s="1393">
        <f t="shared" ref="AC8:AC34" si="5">D8/J8</f>
        <v>1</v>
      </c>
    </row>
    <row r="9" s="1132" customFormat="1" spans="1:29">
      <c r="A9" s="1177" t="s">
        <v>1157</v>
      </c>
      <c r="B9" s="1178" t="s">
        <v>1158</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181"/>
      <c r="B10" s="1182" t="s">
        <v>1161</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99" t="s">
        <v>1165</v>
      </c>
      <c r="B14" s="1520" t="s">
        <v>1170</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1167</v>
      </c>
      <c r="Q14" s="717" t="str">
        <f t="shared" si="6"/>
        <v>交通便捷度</v>
      </c>
      <c r="R14" s="1379" t="s">
        <v>1152</v>
      </c>
      <c r="S14" s="1380">
        <f t="shared" si="0"/>
        <v>100</v>
      </c>
      <c r="T14" s="1379" t="s">
        <v>1152</v>
      </c>
      <c r="U14" s="1380">
        <f t="shared" si="1"/>
        <v>100</v>
      </c>
      <c r="V14" s="1379" t="s">
        <v>1152</v>
      </c>
      <c r="W14" s="1380">
        <f t="shared" si="2"/>
        <v>100</v>
      </c>
      <c r="X14" s="1366"/>
      <c r="Y14" s="1331" t="s">
        <v>1167</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1171</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1172</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1616</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1175</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581" t="s">
        <v>1180</v>
      </c>
      <c r="B26" s="1178" t="s">
        <v>1187</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1183</v>
      </c>
      <c r="Q26" s="717" t="str">
        <f t="shared" si="11"/>
        <v>公共部分装修</v>
      </c>
      <c r="R26" s="1379" t="s">
        <v>1152</v>
      </c>
      <c r="S26" s="1380">
        <f t="shared" ref="S26:S34" si="12">F26</f>
        <v>100</v>
      </c>
      <c r="T26" s="1379" t="s">
        <v>1152</v>
      </c>
      <c r="U26" s="1380">
        <f t="shared" ref="U26:U34" si="13">H26</f>
        <v>100</v>
      </c>
      <c r="V26" s="1379" t="s">
        <v>1152</v>
      </c>
      <c r="W26" s="1380">
        <f t="shared" ref="W26:W34" si="14">J26</f>
        <v>100</v>
      </c>
      <c r="X26" s="1366"/>
      <c r="Y26" s="1341" t="s">
        <v>1183</v>
      </c>
      <c r="Z26" s="1353" t="str">
        <f t="shared" ref="Z26:Z34" si="15">Q26</f>
        <v>公共部分装修</v>
      </c>
      <c r="AA26" s="1395">
        <f t="shared" si="3"/>
        <v>1</v>
      </c>
      <c r="AB26" s="1395">
        <f t="shared" si="4"/>
        <v>1</v>
      </c>
      <c r="AC26" s="1395">
        <f t="shared" si="5"/>
        <v>1</v>
      </c>
    </row>
    <row r="27" s="1134" customFormat="1" ht="15" spans="1:29">
      <c r="A27" s="1241"/>
      <c r="B27" s="1182" t="s">
        <v>1659</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1152</v>
      </c>
      <c r="S27" s="1382" t="e">
        <f t="shared" si="12"/>
        <v>#N/A</v>
      </c>
      <c r="T27" s="1381" t="s">
        <v>1152</v>
      </c>
      <c r="U27" s="1382" t="e">
        <f t="shared" si="13"/>
        <v>#N/A</v>
      </c>
      <c r="V27" s="1381" t="s">
        <v>1152</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1660</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1152</v>
      </c>
      <c r="S28" s="1380">
        <f t="shared" si="12"/>
        <v>100</v>
      </c>
      <c r="T28" s="1379" t="s">
        <v>1152</v>
      </c>
      <c r="U28" s="1380">
        <f t="shared" si="13"/>
        <v>100</v>
      </c>
      <c r="V28" s="1379" t="s">
        <v>1152</v>
      </c>
      <c r="W28" s="1380">
        <f t="shared" si="14"/>
        <v>100</v>
      </c>
      <c r="X28" s="1366"/>
      <c r="Y28" s="1341"/>
      <c r="Z28" s="1353" t="str">
        <f t="shared" si="15"/>
        <v>物业等级</v>
      </c>
      <c r="AA28" s="1395">
        <f t="shared" si="3"/>
        <v>1</v>
      </c>
      <c r="AB28" s="1395">
        <f t="shared" si="4"/>
        <v>1</v>
      </c>
      <c r="AC28" s="1395">
        <f t="shared" si="5"/>
        <v>1</v>
      </c>
    </row>
    <row r="29" ht="15" spans="1:29">
      <c r="A29" s="1236"/>
      <c r="B29" s="1182" t="s">
        <v>1669</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1152</v>
      </c>
      <c r="S29" s="1380">
        <f t="shared" si="12"/>
        <v>100</v>
      </c>
      <c r="T29" s="1379" t="s">
        <v>1152</v>
      </c>
      <c r="U29" s="1380">
        <f t="shared" si="13"/>
        <v>100</v>
      </c>
      <c r="V29" s="1379" t="s">
        <v>1152</v>
      </c>
      <c r="W29" s="1380">
        <f t="shared" si="14"/>
        <v>100</v>
      </c>
      <c r="X29" s="1366"/>
      <c r="Y29" s="1341"/>
      <c r="Z29" s="1353" t="str">
        <f t="shared" si="15"/>
        <v>有无电梯</v>
      </c>
      <c r="AA29" s="1395">
        <f t="shared" si="3"/>
        <v>1</v>
      </c>
      <c r="AB29" s="1395">
        <f t="shared" si="4"/>
        <v>1</v>
      </c>
      <c r="AC29" s="1395">
        <f t="shared" si="5"/>
        <v>1</v>
      </c>
    </row>
    <row r="30" ht="15" spans="1:29">
      <c r="A30" s="1236"/>
      <c r="B30" s="1182" t="s">
        <v>642</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1152</v>
      </c>
      <c r="S30" s="1380" t="e">
        <f t="shared" si="12"/>
        <v>#N/A</v>
      </c>
      <c r="T30" s="1379" t="s">
        <v>1152</v>
      </c>
      <c r="U30" s="1380" t="e">
        <f t="shared" si="13"/>
        <v>#N/A</v>
      </c>
      <c r="V30" s="1379" t="s">
        <v>1152</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1670</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1152</v>
      </c>
      <c r="S31" s="1375">
        <f t="shared" si="12"/>
        <v>100</v>
      </c>
      <c r="T31" s="1374" t="s">
        <v>1152</v>
      </c>
      <c r="U31" s="1375">
        <f t="shared" si="13"/>
        <v>100</v>
      </c>
      <c r="V31" s="1374" t="s">
        <v>1152</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1183</v>
      </c>
      <c r="Q32" s="717">
        <f t="shared" si="11"/>
        <v>111</v>
      </c>
      <c r="R32" s="1379" t="s">
        <v>1152</v>
      </c>
      <c r="S32" s="1380">
        <f t="shared" si="12"/>
        <v>100</v>
      </c>
      <c r="T32" s="1379" t="s">
        <v>1152</v>
      </c>
      <c r="U32" s="1380">
        <f t="shared" si="13"/>
        <v>100</v>
      </c>
      <c r="V32" s="1379" t="s">
        <v>1152</v>
      </c>
      <c r="W32" s="1380">
        <f t="shared" si="14"/>
        <v>100</v>
      </c>
      <c r="X32" s="1366"/>
      <c r="Y32" s="1341" t="s">
        <v>1183</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1152</v>
      </c>
      <c r="S33" s="1380">
        <f t="shared" si="12"/>
        <v>100</v>
      </c>
      <c r="T33" s="1379" t="s">
        <v>1152</v>
      </c>
      <c r="U33" s="1380">
        <f t="shared" si="13"/>
        <v>100</v>
      </c>
      <c r="V33" s="1379" t="s">
        <v>1152</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ht="15" spans="1:29">
      <c r="A35" s="1243" t="s">
        <v>1198</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1199</v>
      </c>
      <c r="B36" s="1598"/>
      <c r="C36" s="1599" t="e">
        <f>R37</f>
        <v>#DIV/0!</v>
      </c>
      <c r="D36" s="1254" t="s">
        <v>1200</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1201</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1202</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1203</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1204</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1205</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1150</v>
      </c>
      <c r="B46" s="1604"/>
      <c r="C46" s="1605" t="str">
        <f>YEAR(C7)&amp;"-"&amp;MONTH(C7)</f>
        <v>2025-7</v>
      </c>
      <c r="D46" s="1606">
        <f>EDATE(C46,-1)</f>
        <v>45809</v>
      </c>
      <c r="E46" s="1606">
        <f t="shared" ref="E46:O46" si="16">EDATE(D46,-1)</f>
        <v>45778</v>
      </c>
      <c r="F46" s="1606">
        <f t="shared" si="16"/>
        <v>45748</v>
      </c>
      <c r="G46" s="1606">
        <f t="shared" si="16"/>
        <v>45717</v>
      </c>
      <c r="H46" s="1606">
        <f t="shared" si="16"/>
        <v>45689</v>
      </c>
      <c r="I46" s="1606">
        <f t="shared" si="16"/>
        <v>45658</v>
      </c>
      <c r="J46" s="1606">
        <f t="shared" si="16"/>
        <v>45627</v>
      </c>
      <c r="K46" s="1606">
        <f t="shared" si="16"/>
        <v>45597</v>
      </c>
      <c r="L46" s="1606">
        <f t="shared" si="16"/>
        <v>45566</v>
      </c>
      <c r="M46" s="1606">
        <f t="shared" si="16"/>
        <v>45536</v>
      </c>
      <c r="N46" s="1606">
        <f t="shared" si="16"/>
        <v>45505</v>
      </c>
      <c r="O46" s="1606">
        <f t="shared" si="16"/>
        <v>45474</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1206</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1153</v>
      </c>
      <c r="B49" s="1409"/>
      <c r="C49" s="1410" t="s">
        <v>1207</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1208</v>
      </c>
      <c r="B51" s="1415" t="s">
        <v>1158</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1161</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1165</v>
      </c>
      <c r="B61" s="1415" t="s">
        <v>1170</v>
      </c>
      <c r="C61" s="1436" t="s">
        <v>1212</v>
      </c>
      <c r="D61" s="1436" t="s">
        <v>1213</v>
      </c>
      <c r="E61" s="1436" t="s">
        <v>1214</v>
      </c>
      <c r="F61" s="1436" t="s">
        <v>1215</v>
      </c>
      <c r="G61" s="1436" t="s">
        <v>1216</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1671</v>
      </c>
      <c r="C63" s="1438" t="s">
        <v>1212</v>
      </c>
      <c r="D63" s="1438" t="s">
        <v>1213</v>
      </c>
      <c r="E63" s="1438" t="s">
        <v>1214</v>
      </c>
      <c r="F63" s="1438" t="s">
        <v>1215</v>
      </c>
      <c r="G63" s="1438" t="s">
        <v>1216</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1172</v>
      </c>
      <c r="C65" s="1443" t="s">
        <v>1217</v>
      </c>
      <c r="D65" s="1443" t="s">
        <v>1218</v>
      </c>
      <c r="E65" s="1443" t="s">
        <v>1219</v>
      </c>
      <c r="F65" s="1443" t="s">
        <v>1220</v>
      </c>
      <c r="G65" s="1443" t="s">
        <v>1221</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1616</v>
      </c>
      <c r="C67" s="1438" t="s">
        <v>1212</v>
      </c>
      <c r="D67" s="1438" t="s">
        <v>1213</v>
      </c>
      <c r="E67" s="1438" t="s">
        <v>1214</v>
      </c>
      <c r="F67" s="1438" t="s">
        <v>1215</v>
      </c>
      <c r="G67" s="1438" t="s">
        <v>1216</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1175</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1180</v>
      </c>
      <c r="B77" s="1415" t="s">
        <v>1187</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1659</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1660</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1669</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642</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1670</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1672</v>
      </c>
      <c r="B1" s="1142"/>
      <c r="C1" s="1143" t="s">
        <v>1673</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1034</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5" si="3">D8/F8</f>
        <v>#DIV/0!</v>
      </c>
      <c r="AB8" s="1393" t="e">
        <f t="shared" ref="AB8:AB45" si="4">D8/H8</f>
        <v>#DIV/0!</v>
      </c>
      <c r="AC8" s="1393" t="e">
        <f t="shared" ref="AC8:AC45" si="5">D8/J8</f>
        <v>#DIV/0!</v>
      </c>
    </row>
    <row r="9" s="1132" customFormat="1" spans="1:29">
      <c r="A9" s="1177" t="s">
        <v>1157</v>
      </c>
      <c r="B9" s="1178" t="s">
        <v>1158</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518"/>
      <c r="F10" s="1184">
        <f>ROUND(100/'数据-取费表'!G16,0)</f>
        <v>120</v>
      </c>
      <c r="G10" s="1519"/>
      <c r="H10" s="1184">
        <f>ROUND(100/'数据-取费表'!G16,0)</f>
        <v>120</v>
      </c>
      <c r="I10" s="1519"/>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1164</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1674</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1152</v>
      </c>
      <c r="S12" s="1375">
        <f t="shared" si="0"/>
        <v>100</v>
      </c>
      <c r="T12" s="1374" t="s">
        <v>1152</v>
      </c>
      <c r="U12" s="1375">
        <f t="shared" si="1"/>
        <v>100</v>
      </c>
      <c r="V12" s="1374" t="s">
        <v>1152</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94.5" spans="1:29">
      <c r="A15" s="1199" t="s">
        <v>1165</v>
      </c>
      <c r="B15" s="1520" t="s">
        <v>1615</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1167</v>
      </c>
      <c r="Q15" s="717" t="str">
        <f t="shared" si="6"/>
        <v>居住社区成熟度</v>
      </c>
      <c r="R15" s="1379" t="s">
        <v>1152</v>
      </c>
      <c r="S15" s="1380">
        <f t="shared" si="0"/>
        <v>100</v>
      </c>
      <c r="T15" s="1379" t="s">
        <v>1152</v>
      </c>
      <c r="U15" s="1380">
        <f t="shared" si="1"/>
        <v>100</v>
      </c>
      <c r="V15" s="1379" t="s">
        <v>1152</v>
      </c>
      <c r="W15" s="1380">
        <f t="shared" si="2"/>
        <v>100</v>
      </c>
      <c r="X15" s="1366"/>
      <c r="Y15" s="1331" t="s">
        <v>1167</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1642</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1152</v>
      </c>
      <c r="S17" s="1380">
        <f>F17</f>
        <v>100</v>
      </c>
      <c r="T17" s="1379" t="s">
        <v>1152</v>
      </c>
      <c r="U17" s="1380">
        <f>H17</f>
        <v>100</v>
      </c>
      <c r="V17" s="1379" t="s">
        <v>1152</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1166</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1152</v>
      </c>
      <c r="S19" s="1380">
        <f>F19</f>
        <v>100</v>
      </c>
      <c r="T19" s="1379" t="s">
        <v>1152</v>
      </c>
      <c r="U19" s="1380">
        <f>H19</f>
        <v>100</v>
      </c>
      <c r="V19" s="1379" t="s">
        <v>1152</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1170</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1152</v>
      </c>
      <c r="S21" s="1380">
        <f>F21</f>
        <v>100</v>
      </c>
      <c r="T21" s="1379" t="s">
        <v>1152</v>
      </c>
      <c r="U21" s="1380">
        <f>H21</f>
        <v>100</v>
      </c>
      <c r="V21" s="1379" t="s">
        <v>1152</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1675</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1152</v>
      </c>
      <c r="S23" s="1380">
        <f>F23</f>
        <v>100</v>
      </c>
      <c r="T23" s="1379" t="s">
        <v>1152</v>
      </c>
      <c r="U23" s="1380">
        <f>H23</f>
        <v>100</v>
      </c>
      <c r="V23" s="1379" t="s">
        <v>1152</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1676</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1152</v>
      </c>
      <c r="S25" s="1380">
        <f>F25</f>
        <v>100</v>
      </c>
      <c r="T25" s="1379" t="s">
        <v>1152</v>
      </c>
      <c r="U25" s="1380">
        <f>H25</f>
        <v>100</v>
      </c>
      <c r="V25" s="1379" t="s">
        <v>1152</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1171</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1152</v>
      </c>
      <c r="S27" s="1375">
        <f>F27</f>
        <v>100</v>
      </c>
      <c r="T27" s="1374" t="s">
        <v>1152</v>
      </c>
      <c r="U27" s="1375">
        <f>H27</f>
        <v>100</v>
      </c>
      <c r="V27" s="1374" t="s">
        <v>1152</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1172</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1152</v>
      </c>
      <c r="S29" s="1375">
        <f>F29</f>
        <v>100</v>
      </c>
      <c r="T29" s="1374" t="s">
        <v>1152</v>
      </c>
      <c r="U29" s="1375">
        <f>H29</f>
        <v>100</v>
      </c>
      <c r="V29" s="1374" t="s">
        <v>1152</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1643</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1152</v>
      </c>
      <c r="S31" s="1380">
        <f t="shared" ref="S31:S45" si="10">F31</f>
        <v>100</v>
      </c>
      <c r="T31" s="1379" t="s">
        <v>1152</v>
      </c>
      <c r="U31" s="1380">
        <f t="shared" ref="U31:U45" si="11">H31</f>
        <v>100</v>
      </c>
      <c r="V31" s="1379" t="s">
        <v>1152</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1174</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1152</v>
      </c>
      <c r="S32" s="1380">
        <f t="shared" si="10"/>
        <v>100</v>
      </c>
      <c r="T32" s="1379" t="s">
        <v>1152</v>
      </c>
      <c r="U32" s="1380">
        <f t="shared" si="11"/>
        <v>100</v>
      </c>
      <c r="V32" s="1379" t="s">
        <v>1152</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1677</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1152</v>
      </c>
      <c r="S34" s="1380">
        <f t="shared" si="10"/>
        <v>100</v>
      </c>
      <c r="T34" s="1379" t="s">
        <v>1152</v>
      </c>
      <c r="U34" s="1380">
        <f t="shared" si="11"/>
        <v>100</v>
      </c>
      <c r="V34" s="1379" t="s">
        <v>1152</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1152</v>
      </c>
      <c r="S35" s="1380">
        <f t="shared" si="10"/>
        <v>100</v>
      </c>
      <c r="T35" s="1379" t="s">
        <v>1152</v>
      </c>
      <c r="U35" s="1380">
        <f t="shared" si="11"/>
        <v>100</v>
      </c>
      <c r="V35" s="1379" t="s">
        <v>1152</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1183</v>
      </c>
      <c r="Q36" s="717">
        <f t="shared" si="8"/>
        <v>111</v>
      </c>
      <c r="R36" s="1379" t="s">
        <v>1152</v>
      </c>
      <c r="S36" s="1380">
        <f t="shared" si="10"/>
        <v>100</v>
      </c>
      <c r="T36" s="1379" t="s">
        <v>1152</v>
      </c>
      <c r="U36" s="1380">
        <f t="shared" si="11"/>
        <v>100</v>
      </c>
      <c r="V36" s="1379" t="s">
        <v>1152</v>
      </c>
      <c r="W36" s="1380">
        <f t="shared" si="12"/>
        <v>100</v>
      </c>
      <c r="X36" s="1366"/>
      <c r="Y36" s="1341" t="s">
        <v>1183</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1152</v>
      </c>
      <c r="S37" s="1382">
        <f t="shared" si="10"/>
        <v>100</v>
      </c>
      <c r="T37" s="1381" t="s">
        <v>1152</v>
      </c>
      <c r="U37" s="1382">
        <f t="shared" si="11"/>
        <v>100</v>
      </c>
      <c r="V37" s="1381" t="s">
        <v>1152</v>
      </c>
      <c r="W37" s="1382">
        <f t="shared" si="12"/>
        <v>100</v>
      </c>
      <c r="X37" s="1383"/>
      <c r="Y37" s="1341"/>
      <c r="Z37" s="1396">
        <f t="shared" si="13"/>
        <v>111</v>
      </c>
      <c r="AA37" s="1395">
        <f t="shared" si="3"/>
        <v>1</v>
      </c>
      <c r="AB37" s="1395">
        <f t="shared" si="4"/>
        <v>1</v>
      </c>
      <c r="AC37" s="1395">
        <f t="shared" si="5"/>
        <v>1</v>
      </c>
    </row>
    <row r="38" ht="15" spans="1:29">
      <c r="A38" s="1236" t="s">
        <v>1180</v>
      </c>
      <c r="B38" s="1233" t="s">
        <v>1678</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1152</v>
      </c>
      <c r="S38" s="1380" t="e">
        <f t="shared" si="10"/>
        <v>#N/A</v>
      </c>
      <c r="T38" s="1379" t="s">
        <v>1152</v>
      </c>
      <c r="U38" s="1380" t="e">
        <f t="shared" si="11"/>
        <v>#N/A</v>
      </c>
      <c r="V38" s="1379" t="s">
        <v>1152</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1679</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1152</v>
      </c>
      <c r="S39" s="1380">
        <f t="shared" si="10"/>
        <v>100</v>
      </c>
      <c r="T39" s="1379" t="s">
        <v>1152</v>
      </c>
      <c r="U39" s="1380">
        <f t="shared" si="11"/>
        <v>100</v>
      </c>
      <c r="V39" s="1379" t="s">
        <v>1152</v>
      </c>
      <c r="W39" s="1380">
        <f t="shared" si="12"/>
        <v>100</v>
      </c>
      <c r="X39" s="1366"/>
      <c r="Y39" s="1341"/>
      <c r="Z39" s="1353" t="str">
        <f t="shared" si="13"/>
        <v>宗地形状</v>
      </c>
      <c r="AA39" s="1395">
        <f t="shared" si="3"/>
        <v>1</v>
      </c>
      <c r="AB39" s="1395">
        <f t="shared" si="4"/>
        <v>1</v>
      </c>
      <c r="AC39" s="1395">
        <f t="shared" si="5"/>
        <v>1</v>
      </c>
    </row>
    <row r="40" ht="15" spans="1:29">
      <c r="A40" s="1236"/>
      <c r="B40" s="1182" t="s">
        <v>1680</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1152</v>
      </c>
      <c r="S40" s="1380">
        <f t="shared" si="10"/>
        <v>100</v>
      </c>
      <c r="T40" s="1379" t="s">
        <v>1152</v>
      </c>
      <c r="U40" s="1380">
        <f t="shared" si="11"/>
        <v>100</v>
      </c>
      <c r="V40" s="1379" t="s">
        <v>1152</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1681</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1152</v>
      </c>
      <c r="S41" s="1375">
        <f t="shared" si="10"/>
        <v>100</v>
      </c>
      <c r="T41" s="1374" t="s">
        <v>1152</v>
      </c>
      <c r="U41" s="1375">
        <f t="shared" si="11"/>
        <v>100</v>
      </c>
      <c r="V41" s="1374" t="s">
        <v>1152</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1682</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1183</v>
      </c>
      <c r="Q42" s="717" t="str">
        <f t="shared" si="14"/>
        <v>工程地质条件</v>
      </c>
      <c r="R42" s="1379" t="s">
        <v>1152</v>
      </c>
      <c r="S42" s="1380">
        <f t="shared" si="10"/>
        <v>100</v>
      </c>
      <c r="T42" s="1379" t="s">
        <v>1152</v>
      </c>
      <c r="U42" s="1380">
        <f t="shared" si="11"/>
        <v>100</v>
      </c>
      <c r="V42" s="1379" t="s">
        <v>1152</v>
      </c>
      <c r="W42" s="1380">
        <f t="shared" si="12"/>
        <v>100</v>
      </c>
      <c r="X42" s="1366"/>
      <c r="Y42" s="1341" t="s">
        <v>1183</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1152</v>
      </c>
      <c r="S43" s="1380">
        <f t="shared" si="10"/>
        <v>100</v>
      </c>
      <c r="T43" s="1379" t="s">
        <v>1152</v>
      </c>
      <c r="U43" s="1380">
        <f t="shared" si="11"/>
        <v>100</v>
      </c>
      <c r="V43" s="1379" t="s">
        <v>1152</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1152</v>
      </c>
      <c r="S44" s="1380">
        <f t="shared" si="10"/>
        <v>100</v>
      </c>
      <c r="T44" s="1379" t="s">
        <v>1152</v>
      </c>
      <c r="U44" s="1380">
        <f t="shared" si="11"/>
        <v>100</v>
      </c>
      <c r="V44" s="1379" t="s">
        <v>1152</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1152</v>
      </c>
      <c r="S45" s="1382">
        <f t="shared" si="10"/>
        <v>100</v>
      </c>
      <c r="T45" s="1381" t="s">
        <v>1152</v>
      </c>
      <c r="U45" s="1382">
        <f t="shared" si="11"/>
        <v>100</v>
      </c>
      <c r="V45" s="1381" t="s">
        <v>1152</v>
      </c>
      <c r="W45" s="1382">
        <f t="shared" si="12"/>
        <v>100</v>
      </c>
      <c r="X45" s="1383"/>
      <c r="Y45" s="1341"/>
      <c r="Z45" s="1396">
        <f t="shared" si="13"/>
        <v>111</v>
      </c>
      <c r="AA45" s="1395">
        <f t="shared" si="3"/>
        <v>1</v>
      </c>
      <c r="AB45" s="1395">
        <f t="shared" si="4"/>
        <v>1</v>
      </c>
      <c r="AC45" s="1395">
        <f t="shared" si="5"/>
        <v>1</v>
      </c>
    </row>
    <row r="46" ht="15" spans="1:29">
      <c r="A46" s="1243" t="s">
        <v>1664</v>
      </c>
      <c r="B46" s="1244" t="s">
        <v>1683</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1199</v>
      </c>
      <c r="B47" s="1252"/>
      <c r="C47" s="1253" t="e">
        <f>R48</f>
        <v>#DIV/0!</v>
      </c>
      <c r="D47" s="1254" t="s">
        <v>1200</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1684</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1202</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1203</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1204</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1685</v>
      </c>
      <c r="B55" s="1270" t="s">
        <v>1686</v>
      </c>
      <c r="C55" s="1271" t="s">
        <v>1687</v>
      </c>
      <c r="D55" s="1272" t="s">
        <v>1688</v>
      </c>
      <c r="E55" s="1273" t="s">
        <v>1689</v>
      </c>
      <c r="F55" s="1531" t="s">
        <v>1690</v>
      </c>
      <c r="G55" s="1153" t="s">
        <v>1691</v>
      </c>
      <c r="H55" s="712"/>
      <c r="I55" s="1535" t="s">
        <v>1692</v>
      </c>
      <c r="J55" s="1536">
        <f>项目基本情况!F35</f>
        <v>0</v>
      </c>
      <c r="K55" s="1354" t="s">
        <v>1693</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1694</v>
      </c>
      <c r="B56" s="1276" t="e">
        <f>C48</f>
        <v>#DIV/0!</v>
      </c>
      <c r="C56" s="1277">
        <v>1</v>
      </c>
      <c r="D56" s="1278">
        <v>1</v>
      </c>
      <c r="E56" s="1277">
        <f>'数据-汇总表'!E8+'数据-汇总表'!E9</f>
        <v>112.13</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1695</v>
      </c>
      <c r="B57" s="419" t="e">
        <f>ROUND($C$48*C57*D57,0)</f>
        <v>#DIV/0!</v>
      </c>
      <c r="C57" s="631">
        <f t="shared" ref="C57:C64" si="16">IF($C$55="北京市系数",I57,J57)</f>
        <v>0</v>
      </c>
      <c r="D57" s="1282">
        <v>0.25</v>
      </c>
      <c r="E57" s="1283"/>
      <c r="F57" s="1532" t="e">
        <f t="shared" si="15"/>
        <v>#DIV/0!</v>
      </c>
      <c r="G57" s="1284" t="s">
        <v>1696</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1697</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1698</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1699</v>
      </c>
      <c r="B60" s="419" t="e">
        <f t="shared" si="17"/>
        <v>#DIV/0!</v>
      </c>
      <c r="C60" s="631">
        <f t="shared" si="16"/>
        <v>0.25</v>
      </c>
      <c r="D60" s="1282">
        <v>0.25</v>
      </c>
      <c r="E60" s="418">
        <f>'数据-汇总表'!E11</f>
        <v>0</v>
      </c>
      <c r="F60" s="1532" t="e">
        <f t="shared" si="15"/>
        <v>#DIV/0!</v>
      </c>
      <c r="G60" s="1288" t="s">
        <v>1700</v>
      </c>
      <c r="H60" s="1285" t="str">
        <f>项目基本情况!C37</f>
        <v>四级</v>
      </c>
      <c r="I60" s="1537">
        <f>SUMIF(修正!A59:A70,H60,修正!E59:E70)</f>
        <v>0.25</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1701</v>
      </c>
      <c r="B61" s="419" t="e">
        <f t="shared" si="17"/>
        <v>#DIV/0!</v>
      </c>
      <c r="C61" s="631">
        <f t="shared" si="16"/>
        <v>0.25</v>
      </c>
      <c r="D61" s="1282">
        <v>0.25</v>
      </c>
      <c r="E61" s="418">
        <f>'数据-汇总表'!E12</f>
        <v>0</v>
      </c>
      <c r="F61" s="1532" t="e">
        <f t="shared" si="15"/>
        <v>#DIV/0!</v>
      </c>
      <c r="G61" s="1289" t="s">
        <v>1702</v>
      </c>
      <c r="H61" s="1285" t="str">
        <f>IF(G61="商业",项目基本情况!B37,IF(G61="办公",项目基本情况!C37,IF(G61="住宅",项目基本情况!D37,项目基本情况!E37)))</f>
        <v>四级</v>
      </c>
      <c r="I61" s="1537">
        <f>SUMIF(修正!A59:A70,H61,修正!F59:F70)</f>
        <v>0.25</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1703</v>
      </c>
      <c r="B62" s="419" t="e">
        <f t="shared" si="17"/>
        <v>#DIV/0!</v>
      </c>
      <c r="C62" s="631">
        <f t="shared" si="16"/>
        <v>0</v>
      </c>
      <c r="D62" s="1282">
        <v>0.25</v>
      </c>
      <c r="E62" s="418">
        <f>'数据-汇总表'!E13</f>
        <v>0</v>
      </c>
      <c r="F62" s="1532" t="e">
        <f t="shared" si="15"/>
        <v>#DIV/0!</v>
      </c>
      <c r="G62" s="1289" t="s">
        <v>1704</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1705</v>
      </c>
      <c r="B63" s="419" t="e">
        <f t="shared" si="17"/>
        <v>#DIV/0!</v>
      </c>
      <c r="C63" s="631">
        <f t="shared" si="16"/>
        <v>0</v>
      </c>
      <c r="D63" s="1282">
        <v>0.25</v>
      </c>
      <c r="E63" s="418">
        <f>'数据-汇总表'!E14</f>
        <v>0</v>
      </c>
      <c r="F63" s="1532" t="e">
        <f t="shared" si="15"/>
        <v>#DIV/0!</v>
      </c>
      <c r="G63" s="1288" t="s">
        <v>1696</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1706</v>
      </c>
      <c r="B64" s="419" t="e">
        <f t="shared" si="17"/>
        <v>#DIV/0!</v>
      </c>
      <c r="C64" s="631">
        <f t="shared" si="16"/>
        <v>0.15</v>
      </c>
      <c r="D64" s="1282">
        <v>0.25</v>
      </c>
      <c r="E64" s="418">
        <f>'数据-汇总表'!E15</f>
        <v>0</v>
      </c>
      <c r="F64" s="1532" t="e">
        <f t="shared" si="15"/>
        <v>#DIV/0!</v>
      </c>
      <c r="G64" s="1290" t="s">
        <v>1700</v>
      </c>
      <c r="H64" s="1291" t="str">
        <f>项目基本情况!C37</f>
        <v>四级</v>
      </c>
      <c r="I64" s="1540">
        <f>SUMIF(修正!A59:A70,H64,修正!G59:G70)</f>
        <v>0.15</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1707</v>
      </c>
      <c r="B65" s="1293" t="s">
        <v>1708</v>
      </c>
      <c r="C65" s="1293" t="s">
        <v>1708</v>
      </c>
      <c r="D65" s="1293" t="s">
        <v>1708</v>
      </c>
      <c r="E65" s="1293">
        <f>IF(B46="楼面地价",SUM(E56:E64),'数据-汇总表'!D3)</f>
        <v>112.13</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2025-7-1</v>
      </c>
      <c r="D67" s="1299">
        <f>EDATE(C67,-3)</f>
        <v>45748</v>
      </c>
      <c r="E67" s="1299">
        <f>EDATE(D67,-3)</f>
        <v>45658</v>
      </c>
      <c r="F67" s="1299">
        <f t="shared" ref="F67:O67" si="18">EDATE(E67,-3)</f>
        <v>45566</v>
      </c>
      <c r="G67" s="1299">
        <f t="shared" si="18"/>
        <v>45474</v>
      </c>
      <c r="H67" s="1299">
        <f t="shared" si="18"/>
        <v>45383</v>
      </c>
      <c r="I67" s="1299">
        <f t="shared" si="18"/>
        <v>45292</v>
      </c>
      <c r="J67" s="1299">
        <f t="shared" si="18"/>
        <v>45200</v>
      </c>
      <c r="K67" s="1299">
        <f t="shared" si="18"/>
        <v>45108</v>
      </c>
      <c r="L67" s="1299">
        <f t="shared" si="18"/>
        <v>45017</v>
      </c>
      <c r="M67" s="1299">
        <f t="shared" si="18"/>
        <v>44927</v>
      </c>
      <c r="N67" s="1299">
        <f t="shared" si="18"/>
        <v>44835</v>
      </c>
      <c r="O67" s="1299">
        <f t="shared" si="18"/>
        <v>44743</v>
      </c>
      <c r="P67" s="1260"/>
      <c r="Q67" s="1260"/>
      <c r="R67" s="1260"/>
      <c r="S67" s="1260"/>
      <c r="T67" s="1260"/>
      <c r="U67" s="1260"/>
      <c r="V67" s="1260"/>
      <c r="W67" s="1260"/>
      <c r="X67" s="1260"/>
      <c r="Y67" s="1260"/>
      <c r="Z67" s="1260"/>
      <c r="AA67" s="1260"/>
      <c r="AB67" s="1260"/>
      <c r="AC67" s="1260"/>
    </row>
    <row r="68" ht="21" spans="1:29">
      <c r="A68" s="1300" t="s">
        <v>1205</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1709</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1710</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1206</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1153</v>
      </c>
      <c r="B72" s="1409"/>
      <c r="C72" s="1410" t="s">
        <v>1207</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1208</v>
      </c>
      <c r="B74" s="1415" t="s">
        <v>1158</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1161</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1164</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1165</v>
      </c>
      <c r="B87" s="1415" t="s">
        <v>1615</v>
      </c>
      <c r="C87" s="1436" t="s">
        <v>1212</v>
      </c>
      <c r="D87" s="1436" t="s">
        <v>1213</v>
      </c>
      <c r="E87" s="1436" t="s">
        <v>1214</v>
      </c>
      <c r="F87" s="1436" t="s">
        <v>1215</v>
      </c>
      <c r="G87" s="1436" t="s">
        <v>1216</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1642</v>
      </c>
      <c r="C89" s="1438" t="s">
        <v>1212</v>
      </c>
      <c r="D89" s="1438" t="s">
        <v>1213</v>
      </c>
      <c r="E89" s="1438" t="s">
        <v>1214</v>
      </c>
      <c r="F89" s="1438" t="s">
        <v>1215</v>
      </c>
      <c r="G89" s="1438" t="s">
        <v>1216</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1166</v>
      </c>
      <c r="C91" s="1438" t="s">
        <v>1212</v>
      </c>
      <c r="D91" s="1438" t="s">
        <v>1213</v>
      </c>
      <c r="E91" s="1438" t="s">
        <v>1214</v>
      </c>
      <c r="F91" s="1438" t="s">
        <v>1215</v>
      </c>
      <c r="G91" s="1438" t="s">
        <v>1216</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1170</v>
      </c>
      <c r="C93" s="1438" t="s">
        <v>1212</v>
      </c>
      <c r="D93" s="1438" t="s">
        <v>1213</v>
      </c>
      <c r="E93" s="1438" t="s">
        <v>1214</v>
      </c>
      <c r="F93" s="1438" t="s">
        <v>1215</v>
      </c>
      <c r="G93" s="1438" t="s">
        <v>1216</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1675</v>
      </c>
      <c r="C95" s="1438" t="s">
        <v>1212</v>
      </c>
      <c r="D95" s="1438" t="s">
        <v>1213</v>
      </c>
      <c r="E95" s="1438" t="s">
        <v>1214</v>
      </c>
      <c r="F95" s="1438" t="s">
        <v>1215</v>
      </c>
      <c r="G95" s="1438" t="s">
        <v>1216</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1676</v>
      </c>
      <c r="C97" s="1436" t="s">
        <v>1212</v>
      </c>
      <c r="D97" s="1436" t="s">
        <v>1213</v>
      </c>
      <c r="E97" s="1436" t="s">
        <v>1214</v>
      </c>
      <c r="F97" s="1436" t="s">
        <v>1215</v>
      </c>
      <c r="G97" s="1436" t="s">
        <v>1216</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1171</v>
      </c>
      <c r="C99" s="1436" t="s">
        <v>1212</v>
      </c>
      <c r="D99" s="1436" t="s">
        <v>1213</v>
      </c>
      <c r="E99" s="1436" t="s">
        <v>1214</v>
      </c>
      <c r="F99" s="1436" t="s">
        <v>1215</v>
      </c>
      <c r="G99" s="1436" t="s">
        <v>1216</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1172</v>
      </c>
      <c r="C101" s="1443" t="s">
        <v>1217</v>
      </c>
      <c r="D101" s="1443" t="s">
        <v>1218</v>
      </c>
      <c r="E101" s="1443" t="s">
        <v>1219</v>
      </c>
      <c r="F101" s="1443" t="s">
        <v>1220</v>
      </c>
      <c r="G101" s="1443" t="s">
        <v>1221</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1711</v>
      </c>
      <c r="D103" s="1420" t="s">
        <v>1712</v>
      </c>
      <c r="E103" s="1420" t="s">
        <v>1713</v>
      </c>
      <c r="F103" s="1420" t="s">
        <v>1714</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1174</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1677</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1180</v>
      </c>
      <c r="B115" s="1415" t="s">
        <v>1678</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1679</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1680</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1681</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1682</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1672</v>
      </c>
      <c r="B1" s="1142"/>
      <c r="C1" s="1143" t="s">
        <v>1650</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1034</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1715</v>
      </c>
      <c r="D6" s="1166"/>
      <c r="E6" s="1167" t="s">
        <v>1715</v>
      </c>
      <c r="F6" s="1168"/>
      <c r="G6" s="1165" t="s">
        <v>1715</v>
      </c>
      <c r="H6" s="1166"/>
      <c r="I6" s="1165" t="s">
        <v>1715</v>
      </c>
      <c r="J6" s="1166"/>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45846</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0" si="3">D8/F8</f>
        <v>#DIV/0!</v>
      </c>
      <c r="AB8" s="1393" t="e">
        <f t="shared" ref="AB8:AB40" si="4">D8/H8</f>
        <v>#DIV/0!</v>
      </c>
      <c r="AC8" s="1393" t="e">
        <f t="shared" ref="AC8:AC40" si="5">D8/J8</f>
        <v>#DIV/0!</v>
      </c>
    </row>
    <row r="9" s="1132" customFormat="1" spans="1:29">
      <c r="A9" s="1177" t="s">
        <v>1157</v>
      </c>
      <c r="B9" s="1178" t="s">
        <v>1158</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183"/>
      <c r="F10" s="1184">
        <f>ROUND(100/'数据-取费表'!G16,0)</f>
        <v>120</v>
      </c>
      <c r="G10" s="1183"/>
      <c r="H10" s="1184">
        <f>ROUND(100/'数据-取费表'!G16,0)</f>
        <v>120</v>
      </c>
      <c r="I10" s="1183"/>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1164</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1165</v>
      </c>
      <c r="B15" s="1200" t="s">
        <v>1651</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1167</v>
      </c>
      <c r="Q15" s="717" t="str">
        <f t="shared" si="6"/>
        <v>产业集聚程度</v>
      </c>
      <c r="R15" s="1379" t="s">
        <v>1152</v>
      </c>
      <c r="S15" s="1380">
        <f t="shared" si="0"/>
        <v>100</v>
      </c>
      <c r="T15" s="1379" t="s">
        <v>1152</v>
      </c>
      <c r="U15" s="1380">
        <f t="shared" si="1"/>
        <v>100</v>
      </c>
      <c r="V15" s="1379" t="s">
        <v>1152</v>
      </c>
      <c r="W15" s="1380">
        <f t="shared" si="2"/>
        <v>100</v>
      </c>
      <c r="X15" s="1366"/>
      <c r="Y15" s="1331" t="s">
        <v>1167</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1170</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1675</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1152</v>
      </c>
      <c r="S19" s="1380">
        <f>F19</f>
        <v>100</v>
      </c>
      <c r="T19" s="1379" t="s">
        <v>1152</v>
      </c>
      <c r="U19" s="1380">
        <f>H19</f>
        <v>100</v>
      </c>
      <c r="V19" s="1379" t="s">
        <v>1152</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1716</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1152</v>
      </c>
      <c r="S21" s="1380">
        <f>F21</f>
        <v>100</v>
      </c>
      <c r="T21" s="1379" t="s">
        <v>1152</v>
      </c>
      <c r="U21" s="1380">
        <f>H21</f>
        <v>100</v>
      </c>
      <c r="V21" s="1379" t="s">
        <v>1152</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1171</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1152</v>
      </c>
      <c r="S23" s="1375">
        <f>F23</f>
        <v>100</v>
      </c>
      <c r="T23" s="1374" t="s">
        <v>1152</v>
      </c>
      <c r="U23" s="1375">
        <f>H23</f>
        <v>100</v>
      </c>
      <c r="V23" s="1374" t="s">
        <v>1152</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1172</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1152</v>
      </c>
      <c r="S25" s="1375">
        <f>F25</f>
        <v>100</v>
      </c>
      <c r="T25" s="1374" t="s">
        <v>1152</v>
      </c>
      <c r="U25" s="1375">
        <f>H25</f>
        <v>100</v>
      </c>
      <c r="V25" s="1374" t="s">
        <v>1152</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1643</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1152</v>
      </c>
      <c r="S27" s="1380">
        <f t="shared" ref="S27:S40" si="10">F27</f>
        <v>100</v>
      </c>
      <c r="T27" s="1379" t="s">
        <v>1152</v>
      </c>
      <c r="U27" s="1380">
        <f t="shared" ref="U27:U40" si="11">H27</f>
        <v>100</v>
      </c>
      <c r="V27" s="1379" t="s">
        <v>1152</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1174</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1152</v>
      </c>
      <c r="S28" s="1380">
        <f t="shared" si="10"/>
        <v>100</v>
      </c>
      <c r="T28" s="1379" t="s">
        <v>1152</v>
      </c>
      <c r="U28" s="1380">
        <f t="shared" si="11"/>
        <v>100</v>
      </c>
      <c r="V28" s="1379" t="s">
        <v>1152</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1677</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1152</v>
      </c>
      <c r="S30" s="1380">
        <f t="shared" si="10"/>
        <v>100</v>
      </c>
      <c r="T30" s="1379" t="s">
        <v>1152</v>
      </c>
      <c r="U30" s="1380">
        <f t="shared" si="11"/>
        <v>100</v>
      </c>
      <c r="V30" s="1379" t="s">
        <v>1152</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1152</v>
      </c>
      <c r="S31" s="1380">
        <f t="shared" si="10"/>
        <v>100</v>
      </c>
      <c r="T31" s="1379" t="s">
        <v>1152</v>
      </c>
      <c r="U31" s="1380">
        <f t="shared" si="11"/>
        <v>100</v>
      </c>
      <c r="V31" s="1379" t="s">
        <v>1152</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1183</v>
      </c>
      <c r="Q32" s="717">
        <f t="shared" si="8"/>
        <v>111</v>
      </c>
      <c r="R32" s="1379" t="s">
        <v>1152</v>
      </c>
      <c r="S32" s="1380">
        <f t="shared" si="10"/>
        <v>100</v>
      </c>
      <c r="T32" s="1379" t="s">
        <v>1152</v>
      </c>
      <c r="U32" s="1380">
        <f t="shared" si="11"/>
        <v>100</v>
      </c>
      <c r="V32" s="1379" t="s">
        <v>1152</v>
      </c>
      <c r="W32" s="1380">
        <f t="shared" si="12"/>
        <v>100</v>
      </c>
      <c r="X32" s="1366"/>
      <c r="Y32" s="1341" t="s">
        <v>1183</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1152</v>
      </c>
      <c r="S33" s="1382">
        <f t="shared" si="10"/>
        <v>100</v>
      </c>
      <c r="T33" s="1381" t="s">
        <v>1152</v>
      </c>
      <c r="U33" s="1382">
        <f t="shared" si="11"/>
        <v>100</v>
      </c>
      <c r="V33" s="1381" t="s">
        <v>1152</v>
      </c>
      <c r="W33" s="1382">
        <f t="shared" si="12"/>
        <v>100</v>
      </c>
      <c r="X33" s="1383"/>
      <c r="Y33" s="1341"/>
      <c r="Z33" s="1396">
        <f t="shared" si="13"/>
        <v>111</v>
      </c>
      <c r="AA33" s="1395">
        <f t="shared" si="3"/>
        <v>1</v>
      </c>
      <c r="AB33" s="1395">
        <f t="shared" si="4"/>
        <v>1</v>
      </c>
      <c r="AC33" s="1395">
        <f t="shared" si="5"/>
        <v>1</v>
      </c>
    </row>
    <row r="34" ht="15" spans="1:29">
      <c r="A34" s="1199" t="s">
        <v>1180</v>
      </c>
      <c r="B34" s="1233" t="s">
        <v>1678</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1152</v>
      </c>
      <c r="S34" s="1380" t="e">
        <f t="shared" si="10"/>
        <v>#N/A</v>
      </c>
      <c r="T34" s="1379" t="s">
        <v>1152</v>
      </c>
      <c r="U34" s="1380" t="e">
        <f t="shared" si="11"/>
        <v>#N/A</v>
      </c>
      <c r="V34" s="1379" t="s">
        <v>1152</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1679</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1152</v>
      </c>
      <c r="S35" s="1380">
        <f t="shared" si="10"/>
        <v>100</v>
      </c>
      <c r="T35" s="1379" t="s">
        <v>1152</v>
      </c>
      <c r="U35" s="1380">
        <f t="shared" si="11"/>
        <v>100</v>
      </c>
      <c r="V35" s="1379" t="s">
        <v>1152</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1681</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1152</v>
      </c>
      <c r="S36" s="1375">
        <f t="shared" si="10"/>
        <v>100</v>
      </c>
      <c r="T36" s="1374" t="s">
        <v>1152</v>
      </c>
      <c r="U36" s="1375">
        <f t="shared" si="11"/>
        <v>100</v>
      </c>
      <c r="V36" s="1374" t="s">
        <v>1152</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1682</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1183</v>
      </c>
      <c r="Q37" s="717" t="str">
        <f t="shared" si="14"/>
        <v>工程地质条件</v>
      </c>
      <c r="R37" s="1379" t="s">
        <v>1152</v>
      </c>
      <c r="S37" s="1380">
        <f t="shared" si="10"/>
        <v>100</v>
      </c>
      <c r="T37" s="1379" t="s">
        <v>1152</v>
      </c>
      <c r="U37" s="1380">
        <f t="shared" si="11"/>
        <v>100</v>
      </c>
      <c r="V37" s="1379" t="s">
        <v>1152</v>
      </c>
      <c r="W37" s="1380">
        <f t="shared" si="12"/>
        <v>100</v>
      </c>
      <c r="X37" s="1366"/>
      <c r="Y37" s="1341" t="s">
        <v>1183</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1152</v>
      </c>
      <c r="S38" s="1380">
        <f t="shared" si="10"/>
        <v>100</v>
      </c>
      <c r="T38" s="1379" t="s">
        <v>1152</v>
      </c>
      <c r="U38" s="1380">
        <f t="shared" si="11"/>
        <v>100</v>
      </c>
      <c r="V38" s="1379" t="s">
        <v>1152</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1152</v>
      </c>
      <c r="S39" s="1380">
        <f t="shared" si="10"/>
        <v>100</v>
      </c>
      <c r="T39" s="1379" t="s">
        <v>1152</v>
      </c>
      <c r="U39" s="1380">
        <f t="shared" si="11"/>
        <v>100</v>
      </c>
      <c r="V39" s="1379" t="s">
        <v>1152</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1152</v>
      </c>
      <c r="S40" s="1382">
        <f t="shared" si="10"/>
        <v>100</v>
      </c>
      <c r="T40" s="1381" t="s">
        <v>1152</v>
      </c>
      <c r="U40" s="1382">
        <f t="shared" si="11"/>
        <v>100</v>
      </c>
      <c r="V40" s="1381" t="s">
        <v>1152</v>
      </c>
      <c r="W40" s="1382">
        <f t="shared" si="12"/>
        <v>100</v>
      </c>
      <c r="X40" s="1383"/>
      <c r="Y40" s="1341"/>
      <c r="Z40" s="1396">
        <f t="shared" si="13"/>
        <v>111</v>
      </c>
      <c r="AA40" s="1395">
        <f t="shared" si="3"/>
        <v>1</v>
      </c>
      <c r="AB40" s="1395">
        <f t="shared" si="4"/>
        <v>1</v>
      </c>
      <c r="AC40" s="1395">
        <f t="shared" si="5"/>
        <v>1</v>
      </c>
    </row>
    <row r="41" ht="15" spans="1:29">
      <c r="A41" s="1243" t="s">
        <v>1664</v>
      </c>
      <c r="B41" s="1244" t="s">
        <v>1717</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1199</v>
      </c>
      <c r="B42" s="1252"/>
      <c r="C42" s="1253" t="e">
        <f>R43</f>
        <v>#DIV/0!</v>
      </c>
      <c r="D42" s="1254" t="s">
        <v>1200</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1201</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1685</v>
      </c>
      <c r="B50" s="1270" t="s">
        <v>1686</v>
      </c>
      <c r="C50" s="1271" t="s">
        <v>1687</v>
      </c>
      <c r="D50" s="1272" t="s">
        <v>1688</v>
      </c>
      <c r="E50" s="1273" t="s">
        <v>1689</v>
      </c>
      <c r="F50" s="1274" t="s">
        <v>1690</v>
      </c>
      <c r="G50" s="1153" t="s">
        <v>1691</v>
      </c>
      <c r="H50" s="712"/>
      <c r="I50" s="1353" t="s">
        <v>1718</v>
      </c>
      <c r="J50" s="1353">
        <f>项目基本情况!F35</f>
        <v>0</v>
      </c>
      <c r="K50" s="1354" t="s">
        <v>1693</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1694</v>
      </c>
      <c r="B51" s="1276" t="e">
        <f>C43</f>
        <v>#DIV/0!</v>
      </c>
      <c r="C51" s="1277">
        <v>1</v>
      </c>
      <c r="D51" s="1278">
        <v>1</v>
      </c>
      <c r="E51" s="1277">
        <f>'数据-汇总表'!E8+'数据-汇总表'!E9</f>
        <v>112.13</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1695</v>
      </c>
      <c r="B52" s="419" t="e">
        <f>ROUND($C$43*C52*D52,0)</f>
        <v>#DIV/0!</v>
      </c>
      <c r="C52" s="631">
        <f t="shared" ref="C52:C60" si="16">IF($C$50="北京市系数",I52,J52)</f>
        <v>0</v>
      </c>
      <c r="D52" s="1282">
        <v>0.25</v>
      </c>
      <c r="E52" s="1283"/>
      <c r="F52" s="1279" t="e">
        <f t="shared" si="15"/>
        <v>#DIV/0!</v>
      </c>
      <c r="G52" s="1284" t="s">
        <v>1696</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1697</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1698</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1699</v>
      </c>
      <c r="B56" s="419" t="e">
        <f t="shared" si="17"/>
        <v>#DIV/0!</v>
      </c>
      <c r="C56" s="631">
        <f t="shared" si="16"/>
        <v>0.25</v>
      </c>
      <c r="D56" s="1282">
        <v>0.25</v>
      </c>
      <c r="E56" s="418">
        <f>'数据-汇总表'!E11</f>
        <v>0</v>
      </c>
      <c r="F56" s="1279" t="e">
        <f t="shared" si="15"/>
        <v>#DIV/0!</v>
      </c>
      <c r="G56" s="1288" t="s">
        <v>1700</v>
      </c>
      <c r="H56" s="1285" t="str">
        <f>项目基本情况!C37</f>
        <v>四级</v>
      </c>
      <c r="I56" s="747">
        <f>SUMIF(修正!A59:A70,H56,修正!E59:E70)</f>
        <v>0.25</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1701</v>
      </c>
      <c r="B57" s="419" t="e">
        <f t="shared" si="17"/>
        <v>#DIV/0!</v>
      </c>
      <c r="C57" s="631">
        <f t="shared" si="16"/>
        <v>0.25</v>
      </c>
      <c r="D57" s="1282">
        <v>0.25</v>
      </c>
      <c r="E57" s="418">
        <f>'数据-汇总表'!E12</f>
        <v>0</v>
      </c>
      <c r="F57" s="1279" t="e">
        <f t="shared" si="15"/>
        <v>#DIV/0!</v>
      </c>
      <c r="G57" s="1289" t="s">
        <v>1702</v>
      </c>
      <c r="H57" s="1285" t="str">
        <f>IF(G57="商业",项目基本情况!B37,IF(G57="办公",项目基本情况!C37,IF(G57="住宅",项目基本情况!D37,项目基本情况!E37)))</f>
        <v>四级</v>
      </c>
      <c r="I57" s="747">
        <f>SUMIF(修正!A59:A70,H57,修正!F59:F70)</f>
        <v>0.25</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1703</v>
      </c>
      <c r="B58" s="419" t="e">
        <f t="shared" si="17"/>
        <v>#DIV/0!</v>
      </c>
      <c r="C58" s="631">
        <f t="shared" si="16"/>
        <v>0</v>
      </c>
      <c r="D58" s="1282">
        <v>0.25</v>
      </c>
      <c r="E58" s="418">
        <f>'数据-汇总表'!E13</f>
        <v>0</v>
      </c>
      <c r="F58" s="1279" t="e">
        <f t="shared" si="15"/>
        <v>#DIV/0!</v>
      </c>
      <c r="G58" s="1289" t="s">
        <v>1704</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1705</v>
      </c>
      <c r="B59" s="419" t="e">
        <f t="shared" si="17"/>
        <v>#DIV/0!</v>
      </c>
      <c r="C59" s="631">
        <f t="shared" si="16"/>
        <v>0</v>
      </c>
      <c r="D59" s="1282">
        <v>0.25</v>
      </c>
      <c r="E59" s="418">
        <f>'数据-汇总表'!E14</f>
        <v>0</v>
      </c>
      <c r="F59" s="1279" t="e">
        <f t="shared" si="15"/>
        <v>#DIV/0!</v>
      </c>
      <c r="G59" s="1288" t="s">
        <v>1696</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1706</v>
      </c>
      <c r="B60" s="419" t="e">
        <f t="shared" si="17"/>
        <v>#DIV/0!</v>
      </c>
      <c r="C60" s="631">
        <f t="shared" si="16"/>
        <v>0.15</v>
      </c>
      <c r="D60" s="1282">
        <v>0.25</v>
      </c>
      <c r="E60" s="418">
        <f>'数据-汇总表'!E15</f>
        <v>0</v>
      </c>
      <c r="F60" s="1279" t="e">
        <f t="shared" si="15"/>
        <v>#DIV/0!</v>
      </c>
      <c r="G60" s="1290" t="s">
        <v>1700</v>
      </c>
      <c r="H60" s="1291" t="str">
        <f>项目基本情况!C37</f>
        <v>四级</v>
      </c>
      <c r="I60" s="747">
        <f>SUMIF(修正!A59:A70,H60,修正!G59:G70)</f>
        <v>0.15</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1707</v>
      </c>
      <c r="B61" s="1293" t="s">
        <v>1708</v>
      </c>
      <c r="C61" s="1293" t="s">
        <v>1708</v>
      </c>
      <c r="D61" s="1293" t="s">
        <v>1708</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2025-7-1</v>
      </c>
      <c r="D63" s="1299">
        <f>EDATE(C63,-3)</f>
        <v>45748</v>
      </c>
      <c r="E63" s="1299">
        <f>EDATE(D63,-3)</f>
        <v>45658</v>
      </c>
      <c r="F63" s="1299">
        <f t="shared" ref="F63:O63" si="18">EDATE(E63,-3)</f>
        <v>45566</v>
      </c>
      <c r="G63" s="1299">
        <f t="shared" si="18"/>
        <v>45474</v>
      </c>
      <c r="H63" s="1299">
        <f t="shared" si="18"/>
        <v>45383</v>
      </c>
      <c r="I63" s="1299">
        <f t="shared" si="18"/>
        <v>45292</v>
      </c>
      <c r="J63" s="1299">
        <f t="shared" si="18"/>
        <v>45200</v>
      </c>
      <c r="K63" s="1299">
        <f t="shared" si="18"/>
        <v>45108</v>
      </c>
      <c r="L63" s="1299">
        <f t="shared" si="18"/>
        <v>45017</v>
      </c>
      <c r="M63" s="1299">
        <f t="shared" si="18"/>
        <v>44927</v>
      </c>
      <c r="N63" s="1299">
        <f t="shared" si="18"/>
        <v>44835</v>
      </c>
      <c r="O63" s="1299">
        <f t="shared" si="18"/>
        <v>44743</v>
      </c>
      <c r="P63" s="1260"/>
      <c r="Q63" s="1260"/>
      <c r="R63" s="1260"/>
      <c r="S63" s="1260"/>
      <c r="T63" s="1260"/>
      <c r="U63" s="1260"/>
      <c r="V63" s="1260"/>
      <c r="W63" s="1260"/>
      <c r="X63" s="1260"/>
      <c r="Y63" s="1260"/>
      <c r="Z63" s="1260"/>
      <c r="AA63" s="1260"/>
      <c r="AB63" s="1260"/>
      <c r="AC63" s="1260"/>
      <c r="AD63" s="1260"/>
      <c r="AE63" s="1260"/>
    </row>
    <row r="64" ht="21" spans="1:31">
      <c r="A64" s="1300" t="s">
        <v>1205</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1709</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1719</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1206</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1153</v>
      </c>
      <c r="B68" s="1409"/>
      <c r="C68" s="1410" t="s">
        <v>1207</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1208</v>
      </c>
      <c r="B70" s="1415" t="s">
        <v>1158</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1161</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1164</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1165</v>
      </c>
      <c r="B83" s="1415" t="s">
        <v>1651</v>
      </c>
      <c r="C83" s="1436" t="s">
        <v>1212</v>
      </c>
      <c r="D83" s="1436" t="s">
        <v>1213</v>
      </c>
      <c r="E83" s="1436" t="s">
        <v>1214</v>
      </c>
      <c r="F83" s="1436" t="s">
        <v>1215</v>
      </c>
      <c r="G83" s="1436" t="s">
        <v>1216</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1170</v>
      </c>
      <c r="C85" s="1438" t="s">
        <v>1212</v>
      </c>
      <c r="D85" s="1438" t="s">
        <v>1213</v>
      </c>
      <c r="E85" s="1438" t="s">
        <v>1214</v>
      </c>
      <c r="F85" s="1438" t="s">
        <v>1215</v>
      </c>
      <c r="G85" s="1438" t="s">
        <v>1216</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1675</v>
      </c>
      <c r="C87" s="1436" t="s">
        <v>1212</v>
      </c>
      <c r="D87" s="1436" t="s">
        <v>1213</v>
      </c>
      <c r="E87" s="1436" t="s">
        <v>1214</v>
      </c>
      <c r="F87" s="1436" t="s">
        <v>1215</v>
      </c>
      <c r="G87" s="1436" t="s">
        <v>1216</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1676</v>
      </c>
      <c r="C89" s="1436" t="s">
        <v>1212</v>
      </c>
      <c r="D89" s="1436" t="s">
        <v>1213</v>
      </c>
      <c r="E89" s="1436" t="s">
        <v>1214</v>
      </c>
      <c r="F89" s="1436" t="s">
        <v>1215</v>
      </c>
      <c r="G89" s="1436" t="s">
        <v>1216</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1171</v>
      </c>
      <c r="C91" s="1436" t="s">
        <v>1212</v>
      </c>
      <c r="D91" s="1436" t="s">
        <v>1213</v>
      </c>
      <c r="E91" s="1436" t="s">
        <v>1214</v>
      </c>
      <c r="F91" s="1436" t="s">
        <v>1215</v>
      </c>
      <c r="G91" s="1436" t="s">
        <v>1216</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1172</v>
      </c>
      <c r="C93" s="1443" t="s">
        <v>1217</v>
      </c>
      <c r="D93" s="1443" t="s">
        <v>1218</v>
      </c>
      <c r="E93" s="1443" t="s">
        <v>1219</v>
      </c>
      <c r="F93" s="1443" t="s">
        <v>1220</v>
      </c>
      <c r="G93" s="1443" t="s">
        <v>1221</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1711</v>
      </c>
      <c r="D95" s="1420" t="s">
        <v>1712</v>
      </c>
      <c r="E95" s="1420" t="s">
        <v>1713</v>
      </c>
      <c r="F95" s="1420" t="s">
        <v>1714</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1174</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1677</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1180</v>
      </c>
      <c r="B107" s="1415" t="s">
        <v>1678</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1679</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1681</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1682</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1720</v>
      </c>
      <c r="C1" s="1013" t="s">
        <v>1721</v>
      </c>
      <c r="D1" s="1014"/>
      <c r="E1" s="1014"/>
      <c r="F1" s="1014"/>
      <c r="G1" s="1014"/>
      <c r="H1" s="1014"/>
      <c r="I1" s="1014"/>
      <c r="J1" s="1014"/>
      <c r="K1" s="1014"/>
      <c r="L1" s="1014"/>
      <c r="M1" s="1014"/>
      <c r="N1" s="1014"/>
      <c r="O1" s="1014"/>
      <c r="P1" s="1014"/>
      <c r="Q1" s="1014"/>
      <c r="R1" s="1014"/>
      <c r="S1" s="1096"/>
      <c r="T1" s="1012" t="s">
        <v>1722</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1723</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1724</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1725</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1726</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1727</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1728</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1729</v>
      </c>
      <c r="B17" s="1047" t="s">
        <v>1730</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1731</v>
      </c>
      <c r="E19" s="1057"/>
      <c r="F19" s="1057"/>
      <c r="G19" s="1057"/>
      <c r="H19" s="1058"/>
      <c r="I19" s="1055"/>
      <c r="J19" s="1055"/>
      <c r="K19" s="1055"/>
      <c r="L19" s="1055"/>
      <c r="M19" s="1055"/>
      <c r="N19" s="1055"/>
      <c r="O19" s="1055"/>
      <c r="P19" s="1055"/>
      <c r="Q19" s="1055"/>
      <c r="R19" s="1123"/>
      <c r="S19" s="1054"/>
    </row>
    <row r="20" ht="16.5" spans="1:19">
      <c r="A20" s="1059" t="s">
        <v>1732</v>
      </c>
      <c r="B20" s="1060" t="e">
        <f ca="1">IF(D20="——",S22,S22-F20)</f>
        <v>#REF!</v>
      </c>
      <c r="C20" s="1055"/>
      <c r="D20" s="1061"/>
      <c r="E20" s="1062"/>
      <c r="F20" s="1012" t="e">
        <f ca="1">SUMIF(INDIRECT("'"&amp;H20&amp;"'"&amp;"!A:A"),"承租人权益价值",INDIRECT("'"&amp;H20&amp;"'"&amp;"!c:c"))</f>
        <v>#REF!</v>
      </c>
      <c r="G20" s="1012" t="s">
        <v>850</v>
      </c>
      <c r="H20" s="1063"/>
      <c r="I20" s="1055"/>
      <c r="J20" s="1055"/>
      <c r="K20" s="1055"/>
      <c r="L20" s="1055"/>
      <c r="M20" s="1055"/>
      <c r="N20" s="1055"/>
      <c r="O20" s="1055"/>
      <c r="P20" s="1055"/>
      <c r="Q20" s="1055"/>
      <c r="R20" s="1123"/>
      <c r="S20" s="1054"/>
    </row>
    <row r="21" ht="15.75" spans="1:19">
      <c r="A21" s="1059" t="s">
        <v>1733</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1734</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1735</v>
      </c>
      <c r="B23" s="1068" t="s">
        <v>505</v>
      </c>
      <c r="C23" s="1068" t="s">
        <v>1722</v>
      </c>
      <c r="D23" s="1068" t="str">
        <f>B5</f>
        <v>修正项2</v>
      </c>
      <c r="E23" s="1068" t="s">
        <v>1722</v>
      </c>
      <c r="F23" s="1068" t="str">
        <f>B7</f>
        <v>修正项3</v>
      </c>
      <c r="G23" s="1068" t="s">
        <v>1722</v>
      </c>
      <c r="H23" s="1068" t="str">
        <f>B9</f>
        <v>修正项4</v>
      </c>
      <c r="I23" s="1068" t="s">
        <v>1722</v>
      </c>
      <c r="J23" s="1068" t="str">
        <f>B11</f>
        <v>修正项5</v>
      </c>
      <c r="K23" s="1068" t="s">
        <v>1722</v>
      </c>
      <c r="L23" s="1068" t="str">
        <f>B13</f>
        <v>修正项6</v>
      </c>
      <c r="M23" s="1068" t="s">
        <v>1722</v>
      </c>
      <c r="N23" s="1068" t="str">
        <f>B15</f>
        <v>修正项7</v>
      </c>
      <c r="O23" s="1068" t="s">
        <v>1722</v>
      </c>
      <c r="P23" s="1068" t="str">
        <f>B17</f>
        <v>楼层</v>
      </c>
      <c r="Q23" s="1068" t="s">
        <v>1722</v>
      </c>
      <c r="R23" s="1126" t="s">
        <v>1736</v>
      </c>
      <c r="S23" s="1068" t="s">
        <v>1737</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1738</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1739</v>
      </c>
      <c r="B1" s="991"/>
      <c r="C1" s="991"/>
      <c r="D1" s="991"/>
      <c r="E1" s="991"/>
      <c r="F1" s="992"/>
      <c r="G1" s="992"/>
      <c r="H1" s="992"/>
      <c r="I1" s="992"/>
      <c r="J1" s="992"/>
      <c r="K1" s="992"/>
      <c r="L1" s="992"/>
      <c r="M1" s="992"/>
      <c r="N1" s="992"/>
      <c r="O1" s="992"/>
      <c r="P1" s="992"/>
    </row>
    <row r="2" spans="1:16">
      <c r="A2" s="993" t="s">
        <v>97</v>
      </c>
      <c r="B2" s="994">
        <f ca="1">SUMIF(B6:B13,"&lt;&gt;#ref!",B6:B13)</f>
        <v>169</v>
      </c>
      <c r="C2" s="993" t="s">
        <v>1740</v>
      </c>
      <c r="D2" s="993" t="s">
        <v>1741</v>
      </c>
      <c r="E2" s="995">
        <f ca="1">SUMIF(E6:E13,"&lt;&gt;#ref!",E6:E13)</f>
        <v>112.13</v>
      </c>
      <c r="F2" s="992"/>
      <c r="G2" s="992"/>
      <c r="H2" s="992"/>
      <c r="I2" s="992"/>
      <c r="J2" s="992"/>
      <c r="K2" s="992"/>
      <c r="L2" s="992"/>
      <c r="M2" s="992"/>
      <c r="N2" s="992"/>
      <c r="O2" s="992"/>
      <c r="P2" s="992"/>
    </row>
    <row r="3" ht="15.75" spans="1:16">
      <c r="A3" s="993" t="s">
        <v>1742</v>
      </c>
      <c r="B3" s="994">
        <f ca="1">ROUND(B2*10000/E2,0)</f>
        <v>15072</v>
      </c>
      <c r="C3" s="993" t="s">
        <v>1743</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1744</v>
      </c>
      <c r="B5" s="998" t="s">
        <v>1745</v>
      </c>
      <c r="C5" s="999"/>
      <c r="D5" s="992"/>
      <c r="E5" s="1000" t="s">
        <v>1746</v>
      </c>
      <c r="F5" s="992"/>
      <c r="G5" s="992"/>
      <c r="H5" s="992"/>
      <c r="I5" s="992"/>
      <c r="J5" s="992"/>
      <c r="K5" s="992"/>
      <c r="L5" s="992"/>
      <c r="M5" s="992"/>
      <c r="N5" s="992"/>
      <c r="O5" s="992"/>
      <c r="P5" s="992"/>
    </row>
    <row r="6" spans="1:16">
      <c r="A6" s="1001" t="s">
        <v>1747</v>
      </c>
      <c r="B6" s="994">
        <f ca="1">SUMIF(INDIRECT("'"&amp;A6&amp;"'"&amp;"!A:A"),"总价",INDIRECT("'"&amp;A6&amp;"'"&amp;"!B:B"))</f>
        <v>169</v>
      </c>
      <c r="C6" s="993" t="s">
        <v>1740</v>
      </c>
      <c r="D6" s="992"/>
      <c r="E6" s="995">
        <f ca="1">SUMIF(INDIRECT("'"&amp;A6&amp;"'"&amp;"!C:C"),"建筑面积",INDIRECT("'"&amp;A6&amp;"'"&amp;"!D:D"))</f>
        <v>112.13</v>
      </c>
      <c r="F6" s="992"/>
      <c r="G6" s="992"/>
      <c r="H6" s="992"/>
      <c r="I6" s="992"/>
      <c r="J6" s="992"/>
      <c r="K6" s="992"/>
      <c r="L6" s="992"/>
      <c r="M6" s="992"/>
      <c r="N6" s="992"/>
      <c r="O6" s="992"/>
      <c r="P6" s="992"/>
    </row>
    <row r="7" ht="15.75" spans="1:16">
      <c r="A7" s="1001"/>
      <c r="B7" s="994" t="e">
        <f ca="1">SUMIF(INDIRECT("'"&amp;A7&amp;"'"&amp;"!A:A"),"总价",INDIRECT("'"&amp;A7&amp;"'"&amp;"!B:B"))</f>
        <v>#REF!</v>
      </c>
      <c r="C7" s="993" t="s">
        <v>1740</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1740</v>
      </c>
      <c r="D8" s="992"/>
      <c r="E8" s="995" t="e">
        <f ca="1" t="shared" si="0"/>
        <v>#REF!</v>
      </c>
      <c r="F8" s="992"/>
      <c r="G8" s="992"/>
      <c r="H8" s="992"/>
      <c r="I8" s="992"/>
      <c r="J8" s="992"/>
      <c r="K8" s="992"/>
      <c r="L8" s="992"/>
      <c r="M8" s="992"/>
      <c r="N8" s="992"/>
      <c r="O8" s="992"/>
      <c r="P8" s="992"/>
    </row>
    <row r="9" ht="15.75" spans="1:16">
      <c r="A9" s="1001"/>
      <c r="B9" s="994" t="e">
        <f ca="1" t="shared" si="1"/>
        <v>#REF!</v>
      </c>
      <c r="C9" s="993" t="s">
        <v>1740</v>
      </c>
      <c r="D9" s="992"/>
      <c r="E9" s="995" t="e">
        <f ca="1" t="shared" si="0"/>
        <v>#REF!</v>
      </c>
      <c r="F9" s="992"/>
      <c r="G9" s="992"/>
      <c r="H9" s="992"/>
      <c r="I9" s="992"/>
      <c r="J9" s="992"/>
      <c r="K9" s="992"/>
      <c r="L9" s="992"/>
      <c r="M9" s="992"/>
      <c r="N9" s="992"/>
      <c r="O9" s="992"/>
      <c r="P9" s="992"/>
    </row>
    <row r="10" ht="15.75" spans="1:16">
      <c r="A10" s="1001"/>
      <c r="B10" s="994" t="e">
        <f ca="1" t="shared" si="1"/>
        <v>#REF!</v>
      </c>
      <c r="C10" s="993" t="s">
        <v>1740</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1740</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1740</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1740</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4" workbookViewId="0">
      <selection activeCell="E58" sqref="E58"/>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1748</v>
      </c>
      <c r="B1" s="399"/>
      <c r="C1" s="402" t="s">
        <v>1136</v>
      </c>
      <c r="D1" s="592">
        <f>SUM(D33:D34,D37:D42)</f>
        <v>112.13</v>
      </c>
      <c r="E1" s="593"/>
      <c r="F1" s="593"/>
      <c r="G1" s="593"/>
      <c r="H1" s="593"/>
      <c r="I1" s="593"/>
      <c r="J1" s="593"/>
      <c r="K1" s="585"/>
      <c r="L1" s="805" t="s">
        <v>1749</v>
      </c>
      <c r="M1" s="806">
        <f>SUMPRODUCT((区片价!B5:B9=I2)*(区片价!C3:G3=E2)*(区片价!C5:G9))</f>
        <v>0</v>
      </c>
      <c r="N1" s="807">
        <f>SUMPRODUCT((因素修正幅度!B5:B9=I2)*(因素修正幅度!C3:G3=E2)*(因素修正幅度!C5:G9))</f>
        <v>0</v>
      </c>
      <c r="O1" s="586"/>
      <c r="P1" s="586"/>
      <c r="Q1" s="585"/>
      <c r="R1" s="900" t="s">
        <v>1750</v>
      </c>
      <c r="S1" s="900" t="s">
        <v>1751</v>
      </c>
      <c r="T1" s="900" t="s">
        <v>1752</v>
      </c>
      <c r="U1" s="900" t="s">
        <v>1753</v>
      </c>
      <c r="V1" s="900" t="s">
        <v>1754</v>
      </c>
      <c r="W1" s="901"/>
      <c r="X1" s="901"/>
      <c r="Y1" s="901"/>
      <c r="Z1" s="901"/>
      <c r="AA1" s="901"/>
      <c r="AB1" s="901"/>
      <c r="AC1" s="914"/>
      <c r="AD1" s="915"/>
      <c r="AE1" s="915"/>
      <c r="AF1" s="915"/>
      <c r="AG1" s="915"/>
      <c r="AH1" s="915"/>
      <c r="AI1" s="915"/>
      <c r="AJ1" s="924"/>
    </row>
    <row r="2" ht="15.75" spans="1:36">
      <c r="A2" s="402" t="s">
        <v>1034</v>
      </c>
      <c r="B2" s="406">
        <f>C30</f>
        <v>169</v>
      </c>
      <c r="C2" s="594" t="s">
        <v>1035</v>
      </c>
      <c r="D2" s="595" t="s">
        <v>1755</v>
      </c>
      <c r="E2" s="596" t="s">
        <v>230</v>
      </c>
      <c r="F2" s="595" t="s">
        <v>1756</v>
      </c>
      <c r="G2" s="597" t="str">
        <f>IF(E2="商业",项目基本情况!B37,IF(E2="办公",项目基本情况!C37,IF(E2="住宅",项目基本情况!D37,IF(E2="工业",项目基本情况!E37,项目基本情况!F37))))</f>
        <v>四级</v>
      </c>
      <c r="H2" s="595" t="s">
        <v>1757</v>
      </c>
      <c r="I2" s="597" t="str">
        <f>IF(E2="商业",项目基本情况!B38,IF(E2="办公",项目基本情况!C38,IF(E2="住宅",项目基本情况!D38,IF(E2="工业",项目基本情况!E38,项目基本情况!F38))))</f>
        <v>Ⅳ-18</v>
      </c>
      <c r="J2" s="808"/>
      <c r="K2" s="585"/>
      <c r="L2" s="809" t="s">
        <v>1758</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1.5019</v>
      </c>
      <c r="T2" s="902">
        <f t="shared" ref="T2:T16" si="0">ROUND($C$5*$C$22*$C$23*$C$24*S2*$C$28,0)</f>
        <v>22663</v>
      </c>
      <c r="U2" s="903"/>
      <c r="V2" s="902">
        <f>ROUND(T2*U2/10000,0)</f>
        <v>0</v>
      </c>
      <c r="W2" s="901"/>
      <c r="X2" s="901"/>
      <c r="Y2" s="901"/>
      <c r="Z2" s="901"/>
      <c r="AA2" s="901"/>
      <c r="AB2" s="901"/>
      <c r="AC2" s="914"/>
      <c r="AD2" s="915"/>
      <c r="AE2" s="915"/>
      <c r="AF2" s="915"/>
      <c r="AG2" s="915"/>
      <c r="AH2" s="915"/>
      <c r="AI2" s="915"/>
      <c r="AJ2" s="924"/>
    </row>
    <row r="3" ht="15.75" spans="1:36">
      <c r="A3" s="405" t="s">
        <v>1036</v>
      </c>
      <c r="B3" s="406">
        <f>ROUND(B2*10000/D1,0)</f>
        <v>15072</v>
      </c>
      <c r="C3" s="594" t="s">
        <v>1037</v>
      </c>
      <c r="D3" s="595" t="s">
        <v>1759</v>
      </c>
      <c r="E3" s="598" t="s">
        <v>245</v>
      </c>
      <c r="F3" s="599" t="s">
        <v>1760</v>
      </c>
      <c r="G3" s="600">
        <f>IF(F3="宗地容积率",'数据-汇总表'!I4,IF(F3="估价对象容积率",'数据-汇总表'!I6,'数据-汇总表'!I7))</f>
        <v>2.5</v>
      </c>
      <c r="H3" s="601" t="s">
        <v>1761</v>
      </c>
      <c r="I3" s="811"/>
      <c r="J3" s="808" t="s">
        <v>1762</v>
      </c>
      <c r="K3" s="585"/>
      <c r="L3" s="809" t="s">
        <v>1763</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1.1838</v>
      </c>
      <c r="T3" s="902">
        <f t="shared" si="0"/>
        <v>17863</v>
      </c>
      <c r="U3" s="903"/>
      <c r="V3" s="902">
        <f t="shared" ref="V3:V16" si="1">ROUND(T3*U3/10000,0)</f>
        <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1764</v>
      </c>
      <c r="M4" s="810">
        <f>SUMPRODUCT((区片价!B55:B86=I2)*(区片价!C3:G3=E2)*(区片价!C55:G86))</f>
        <v>17520</v>
      </c>
      <c r="N4" s="807">
        <f>SUMPRODUCT((因素修正幅度!B55:B86=I2)*(因素修正幅度!C3:G3=E2)*(因素修正幅度!C55:G86))</f>
        <v>0.1</v>
      </c>
      <c r="O4" s="585"/>
      <c r="P4" s="585"/>
      <c r="Q4" s="585"/>
      <c r="R4" s="900">
        <v>3</v>
      </c>
      <c r="S4" s="902">
        <f>ROUND(SUMPRODUCT((B106:B110=R4)*(C105:N105=G2)*(C106:N110)),4)</f>
        <v>1.0005</v>
      </c>
      <c r="T4" s="902">
        <f t="shared" si="0"/>
        <v>15097</v>
      </c>
      <c r="U4" s="903"/>
      <c r="V4" s="902">
        <f t="shared" si="1"/>
        <v>0</v>
      </c>
      <c r="W4" s="901"/>
      <c r="X4" s="901"/>
      <c r="Y4" s="901"/>
      <c r="Z4" s="901"/>
      <c r="AA4" s="901"/>
      <c r="AB4" s="901"/>
      <c r="AC4" s="914"/>
      <c r="AD4" s="915"/>
      <c r="AE4" s="915"/>
      <c r="AF4" s="915"/>
      <c r="AG4" s="915"/>
      <c r="AH4" s="915"/>
      <c r="AI4" s="915"/>
      <c r="AJ4" s="924"/>
    </row>
    <row r="5" s="584" customFormat="1" ht="15.75" spans="1:36">
      <c r="A5" s="605" t="s">
        <v>940</v>
      </c>
      <c r="B5" s="606" t="s">
        <v>1765</v>
      </c>
      <c r="C5" s="607">
        <f>ROUND(IF(E2="商业",C6*C7*C17+C20,(IF(E2="住宅",C6*C13*C17+C20,IF(E2="办公",C6*C12*C17+C20,C6+C20)))),0)</f>
        <v>17500</v>
      </c>
      <c r="D5" s="608">
        <f>ROUND(C6*C17+C20,0)</f>
        <v>17500</v>
      </c>
      <c r="E5" s="608"/>
      <c r="F5" s="609"/>
      <c r="G5" s="610"/>
      <c r="H5" s="610"/>
      <c r="I5" s="610"/>
      <c r="J5" s="813"/>
      <c r="K5" s="814"/>
      <c r="L5" s="809" t="s">
        <v>1766</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0.8824</v>
      </c>
      <c r="T5" s="902">
        <f t="shared" si="0"/>
        <v>13315</v>
      </c>
      <c r="U5" s="903"/>
      <c r="V5" s="902">
        <f t="shared" si="1"/>
        <v>0</v>
      </c>
      <c r="W5" s="901"/>
      <c r="X5" s="901"/>
      <c r="Y5" s="901"/>
      <c r="Z5" s="901"/>
      <c r="AA5" s="901"/>
      <c r="AB5" s="901"/>
      <c r="AC5" s="916"/>
      <c r="AD5" s="917"/>
      <c r="AE5" s="917"/>
      <c r="AF5" s="917"/>
      <c r="AG5" s="917"/>
      <c r="AH5" s="917"/>
      <c r="AI5" s="917"/>
      <c r="AJ5" s="925"/>
    </row>
    <row r="6" ht="15.75" spans="1:36">
      <c r="A6" s="611" t="s">
        <v>1039</v>
      </c>
      <c r="B6" s="612" t="s">
        <v>1767</v>
      </c>
      <c r="C6" s="613">
        <f>SUMIF(L1:L12,G2,M1:M12)</f>
        <v>17520</v>
      </c>
      <c r="D6" s="614"/>
      <c r="E6" s="615"/>
      <c r="F6" s="615"/>
      <c r="G6" s="616"/>
      <c r="H6" s="616"/>
      <c r="I6" s="616"/>
      <c r="J6" s="815"/>
      <c r="K6" s="816"/>
      <c r="L6" s="809" t="s">
        <v>1768</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0.848</v>
      </c>
      <c r="T6" s="902">
        <f t="shared" si="0"/>
        <v>12796</v>
      </c>
      <c r="U6" s="903"/>
      <c r="V6" s="902">
        <f t="shared" si="1"/>
        <v>0</v>
      </c>
      <c r="W6" s="901"/>
      <c r="X6" s="901"/>
      <c r="Y6" s="901"/>
      <c r="Z6" s="901"/>
      <c r="AA6" s="901"/>
      <c r="AB6" s="901"/>
      <c r="AC6" s="916"/>
      <c r="AD6" s="917"/>
      <c r="AE6" s="917"/>
      <c r="AF6" s="917"/>
      <c r="AG6" s="917"/>
      <c r="AH6" s="917"/>
      <c r="AI6" s="917"/>
      <c r="AJ6" s="925"/>
    </row>
    <row r="7" ht="24.75" spans="1:36">
      <c r="A7" s="617" t="s">
        <v>1769</v>
      </c>
      <c r="B7" s="618" t="s">
        <v>1770</v>
      </c>
      <c r="C7" s="619" t="e">
        <f>IF(C8="不临65条商业街",1,ROUND(1+(1.6*E8+1.2*E9+0.8*E10+0.4*E11)*C9,4))</f>
        <v>#DIV/0!</v>
      </c>
      <c r="D7" s="620" t="s">
        <v>1771</v>
      </c>
      <c r="E7" s="621"/>
      <c r="F7" s="622"/>
      <c r="G7" s="623"/>
      <c r="H7" s="623"/>
      <c r="I7" s="623"/>
      <c r="J7" s="817"/>
      <c r="K7" s="816"/>
      <c r="L7" s="809" t="s">
        <v>1772</v>
      </c>
      <c r="M7" s="810">
        <f>SUMPRODUCT((区片价!B190:B233=I2)*(区片价!C3:G3=E2)*(区片价!C190:G233))</f>
        <v>0</v>
      </c>
      <c r="N7" s="807">
        <f>SUMPRODUCT((因素修正幅度!B190:B233=I2)*(因素修正幅度!C3:G3=E2)*(因素修正幅度!C190:G233))</f>
        <v>0</v>
      </c>
      <c r="O7" s="585"/>
      <c r="P7" s="585"/>
      <c r="Q7" s="585"/>
      <c r="R7" s="900">
        <v>6</v>
      </c>
      <c r="S7" s="904"/>
      <c r="T7" s="902">
        <f t="shared" si="0"/>
        <v>0</v>
      </c>
      <c r="U7" s="903"/>
      <c r="V7" s="902">
        <f t="shared" si="1"/>
        <v>0</v>
      </c>
      <c r="W7" s="905" t="s">
        <v>1773</v>
      </c>
      <c r="X7" s="906" t="str">
        <f>G2</f>
        <v>四级</v>
      </c>
      <c r="Y7" s="906" t="s">
        <v>1774</v>
      </c>
      <c r="Z7" s="918">
        <f>G3</f>
        <v>2.5</v>
      </c>
      <c r="AA7" s="901"/>
      <c r="AB7" s="901"/>
      <c r="AC7" s="914"/>
      <c r="AD7" s="915"/>
      <c r="AE7" s="915"/>
      <c r="AF7" s="915"/>
      <c r="AG7" s="915"/>
      <c r="AH7" s="915"/>
      <c r="AI7" s="915"/>
      <c r="AJ7" s="924"/>
    </row>
    <row r="8" ht="15" spans="1:36">
      <c r="A8" s="624"/>
      <c r="B8" s="601" t="s">
        <v>1775</v>
      </c>
      <c r="C8" s="625"/>
      <c r="D8" s="626" t="s">
        <v>1776</v>
      </c>
      <c r="E8" s="627" t="e">
        <f>ROUND(C11/E7,4)</f>
        <v>#DIV/0!</v>
      </c>
      <c r="F8" s="628" t="s">
        <v>1777</v>
      </c>
      <c r="G8" s="629"/>
      <c r="H8" s="629"/>
      <c r="I8" s="629"/>
      <c r="J8" s="818"/>
      <c r="K8" s="585"/>
      <c r="L8" s="809" t="s">
        <v>1778</v>
      </c>
      <c r="M8" s="810">
        <f>SUMPRODUCT((区片价!B234:B276=I2)*(区片价!C3:G3=E2)*(区片价!C234:G276))</f>
        <v>0</v>
      </c>
      <c r="N8" s="807">
        <f>SUMPRODUCT((因素修正幅度!B234:B276=I2)*(因素修正幅度!C3:G3=E2)*(因素修正幅度!C234:G276))</f>
        <v>0</v>
      </c>
      <c r="O8" s="585"/>
      <c r="P8" s="585"/>
      <c r="Q8" s="585"/>
      <c r="R8" s="900">
        <v>7</v>
      </c>
      <c r="S8" s="903"/>
      <c r="T8" s="902">
        <f t="shared" si="0"/>
        <v>0</v>
      </c>
      <c r="U8" s="903"/>
      <c r="V8" s="902">
        <f t="shared" si="1"/>
        <v>0</v>
      </c>
      <c r="W8" s="907" t="s">
        <v>1779</v>
      </c>
      <c r="X8" s="908"/>
      <c r="Y8" s="919" t="s">
        <v>1780</v>
      </c>
      <c r="Z8" s="919" t="s">
        <v>1781</v>
      </c>
      <c r="AA8" s="919" t="s">
        <v>1782</v>
      </c>
      <c r="AB8" s="919" t="s">
        <v>1783</v>
      </c>
      <c r="AC8" s="919" t="s">
        <v>1784</v>
      </c>
      <c r="AD8" s="919" t="s">
        <v>1785</v>
      </c>
      <c r="AE8" s="919" t="s">
        <v>1786</v>
      </c>
      <c r="AF8" s="919" t="s">
        <v>1787</v>
      </c>
      <c r="AG8" s="919" t="s">
        <v>1788</v>
      </c>
      <c r="AH8" s="919" t="s">
        <v>1789</v>
      </c>
      <c r="AI8" s="919" t="s">
        <v>1790</v>
      </c>
      <c r="AJ8" s="919" t="s">
        <v>1791</v>
      </c>
    </row>
    <row r="9" ht="15" spans="1:36">
      <c r="A9" s="624"/>
      <c r="B9" s="601" t="s">
        <v>1792</v>
      </c>
      <c r="C9" s="630">
        <f>SUMIF(修正!C73:C140,C8,修正!E73:E140)</f>
        <v>0</v>
      </c>
      <c r="D9" s="631" t="s">
        <v>1793</v>
      </c>
      <c r="E9" s="631" t="e">
        <f>ROUND(C11/E7,4)</f>
        <v>#DIV/0!</v>
      </c>
      <c r="F9" s="628" t="s">
        <v>1794</v>
      </c>
      <c r="G9" s="629"/>
      <c r="H9" s="629"/>
      <c r="I9" s="629"/>
      <c r="J9" s="818"/>
      <c r="K9" s="585"/>
      <c r="L9" s="809" t="s">
        <v>1795</v>
      </c>
      <c r="M9" s="810">
        <f>SUMPRODUCT((区片价!B277:B326=I2)*(区片价!C3:G3=E2)*(区片价!C277:G326))</f>
        <v>0</v>
      </c>
      <c r="N9" s="807">
        <f>SUMPRODUCT((因素修正幅度!B277:B326=I2)*(因素修正幅度!C3:G3=E2)*(因素修正幅度!C277:G326))</f>
        <v>0</v>
      </c>
      <c r="O9" s="585"/>
      <c r="P9" s="585"/>
      <c r="Q9" s="585"/>
      <c r="R9" s="900">
        <v>8</v>
      </c>
      <c r="S9" s="903"/>
      <c r="T9" s="902">
        <f t="shared" si="0"/>
        <v>0</v>
      </c>
      <c r="U9" s="903"/>
      <c r="V9" s="902">
        <f t="shared" si="1"/>
        <v>0</v>
      </c>
      <c r="W9" s="905"/>
      <c r="X9" s="909" t="s">
        <v>1796</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1797</v>
      </c>
      <c r="C10" s="631">
        <f>SUMIF(修正!C73:C140,C8,修正!F73:F140)</f>
        <v>0</v>
      </c>
      <c r="D10" s="631" t="s">
        <v>1798</v>
      </c>
      <c r="E10" s="631" t="e">
        <f>ROUND(C11/E7,4)</f>
        <v>#DIV/0!</v>
      </c>
      <c r="F10" s="628" t="s">
        <v>1799</v>
      </c>
      <c r="G10" s="629"/>
      <c r="H10" s="629"/>
      <c r="I10" s="629"/>
      <c r="J10" s="818"/>
      <c r="K10" s="585"/>
      <c r="L10" s="809" t="s">
        <v>1800</v>
      </c>
      <c r="M10" s="810">
        <f>SUMPRODUCT((区片价!B327:B357=I2)*(区片价!C3:G3=E2)*(区片价!C327:G357))</f>
        <v>0</v>
      </c>
      <c r="N10" s="807">
        <f>SUMPRODUCT((因素修正幅度!B327:B357=I2)*(因素修正幅度!C3:G3=E2)*(因素修正幅度!C327:G357))</f>
        <v>0</v>
      </c>
      <c r="O10" s="585"/>
      <c r="P10" s="585"/>
      <c r="Q10" s="585"/>
      <c r="R10" s="900">
        <v>9</v>
      </c>
      <c r="S10" s="903"/>
      <c r="T10" s="902">
        <f t="shared" si="0"/>
        <v>0</v>
      </c>
      <c r="U10" s="903"/>
      <c r="V10" s="902">
        <f t="shared" si="1"/>
        <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1801</v>
      </c>
      <c r="C11" s="634">
        <f>C10/4</f>
        <v>0</v>
      </c>
      <c r="D11" s="634" t="s">
        <v>1802</v>
      </c>
      <c r="E11" s="634" t="e">
        <f>ROUND(C11/E7,4)</f>
        <v>#DIV/0!</v>
      </c>
      <c r="F11" s="635" t="s">
        <v>1803</v>
      </c>
      <c r="G11" s="636"/>
      <c r="H11" s="636"/>
      <c r="I11" s="636"/>
      <c r="J11" s="819"/>
      <c r="K11" s="585"/>
      <c r="L11" s="809" t="s">
        <v>1804</v>
      </c>
      <c r="M11" s="810">
        <f>SUMPRODUCT((区片价!B358:B377=I2)*(区片价!C3:G3=E2)*(区片价!C358:G377))</f>
        <v>0</v>
      </c>
      <c r="N11" s="807">
        <f>SUMPRODUCT((因素修正幅度!B358:B377=I2)*(因素修正幅度!C3:G3=E2)*(因素修正幅度!C358:G377))</f>
        <v>0</v>
      </c>
      <c r="O11" s="585"/>
      <c r="P11" s="585"/>
      <c r="Q11" s="585"/>
      <c r="R11" s="900">
        <v>10</v>
      </c>
      <c r="S11" s="903"/>
      <c r="T11" s="902">
        <f t="shared" si="0"/>
        <v>0</v>
      </c>
      <c r="U11" s="903"/>
      <c r="V11" s="902">
        <f t="shared" si="1"/>
        <v>0</v>
      </c>
      <c r="W11" s="901"/>
      <c r="X11" s="901"/>
      <c r="Y11" s="901"/>
      <c r="Z11" s="901"/>
      <c r="AA11" s="901"/>
      <c r="AB11" s="901"/>
      <c r="AC11" s="914"/>
      <c r="AD11" s="923"/>
      <c r="AE11" s="923"/>
      <c r="AF11" s="923"/>
      <c r="AG11" s="923"/>
      <c r="AH11" s="923"/>
      <c r="AI11" s="923"/>
      <c r="AJ11" s="926"/>
    </row>
    <row r="12" ht="25.5" spans="1:36">
      <c r="A12" s="617" t="s">
        <v>1805</v>
      </c>
      <c r="B12" s="637" t="s">
        <v>1806</v>
      </c>
      <c r="C12" s="638">
        <v>1</v>
      </c>
      <c r="D12" s="639" t="s">
        <v>1807</v>
      </c>
      <c r="E12" s="640" t="s">
        <v>1808</v>
      </c>
      <c r="F12" s="641"/>
      <c r="G12" s="642"/>
      <c r="H12" s="642"/>
      <c r="I12" s="642"/>
      <c r="J12" s="820"/>
      <c r="K12" s="585"/>
      <c r="L12" s="821" t="s">
        <v>1809</v>
      </c>
      <c r="M12" s="822">
        <f>SUMPRODUCT((区片价!B378:B384=I2)*(区片价!C3:G3=E2)*(区片价!C378:G384))</f>
        <v>0</v>
      </c>
      <c r="N12" s="807">
        <f>SUMPRODUCT((因素修正幅度!B378:B384=I2)*(因素修正幅度!C3:G3=E2)*(因素修正幅度!C378:G384))</f>
        <v>0</v>
      </c>
      <c r="O12" s="585"/>
      <c r="P12" s="585"/>
      <c r="Q12" s="585"/>
      <c r="R12" s="900">
        <v>11</v>
      </c>
      <c r="S12" s="903"/>
      <c r="T12" s="902">
        <f t="shared" si="0"/>
        <v>0</v>
      </c>
      <c r="U12" s="903"/>
      <c r="V12" s="902">
        <f t="shared" si="1"/>
        <v>0</v>
      </c>
      <c r="W12" s="901"/>
      <c r="X12" s="901"/>
      <c r="Y12" s="901"/>
      <c r="Z12" s="901"/>
      <c r="AA12" s="901"/>
      <c r="AB12" s="901"/>
      <c r="AC12" s="914"/>
      <c r="AD12" s="923"/>
      <c r="AE12" s="923"/>
      <c r="AF12" s="923"/>
      <c r="AG12" s="923"/>
      <c r="AH12" s="923"/>
      <c r="AI12" s="923"/>
      <c r="AJ12" s="926"/>
    </row>
    <row r="13" ht="15.75" spans="1:36">
      <c r="A13" s="617" t="s">
        <v>1810</v>
      </c>
      <c r="B13" s="643" t="s">
        <v>1811</v>
      </c>
      <c r="C13" s="619">
        <f>ROUND(C16*D16*E16*F16*G16*H16*I16*J16,4)</f>
        <v>0</v>
      </c>
      <c r="D13" s="644" t="s">
        <v>1812</v>
      </c>
      <c r="E13" s="645"/>
      <c r="F13" s="645"/>
      <c r="G13" s="646"/>
      <c r="H13" s="646"/>
      <c r="I13" s="646"/>
      <c r="J13" s="823"/>
      <c r="K13" s="585"/>
      <c r="L13" s="824"/>
      <c r="M13" s="825"/>
      <c r="N13" s="826"/>
      <c r="O13" s="585"/>
      <c r="P13" s="585"/>
      <c r="Q13" s="585"/>
      <c r="R13" s="900">
        <v>12</v>
      </c>
      <c r="S13" s="903"/>
      <c r="T13" s="902">
        <f t="shared" si="0"/>
        <v>0</v>
      </c>
      <c r="U13" s="903"/>
      <c r="V13" s="902">
        <f t="shared" si="1"/>
        <v>0</v>
      </c>
      <c r="W13" s="901"/>
      <c r="X13" s="901"/>
      <c r="Y13" s="901"/>
      <c r="Z13" s="901"/>
      <c r="AA13" s="901"/>
      <c r="AB13" s="901"/>
      <c r="AC13" s="914"/>
      <c r="AD13" s="923"/>
      <c r="AE13" s="923"/>
      <c r="AF13" s="923"/>
      <c r="AG13" s="923"/>
      <c r="AH13" s="923"/>
      <c r="AI13" s="923"/>
      <c r="AJ13" s="926"/>
    </row>
    <row r="14" ht="15" spans="1:36">
      <c r="A14" s="647"/>
      <c r="B14" s="648" t="s">
        <v>1813</v>
      </c>
      <c r="C14" s="649" t="s">
        <v>1814</v>
      </c>
      <c r="D14" s="650" t="s">
        <v>1815</v>
      </c>
      <c r="E14" s="651" t="s">
        <v>1816</v>
      </c>
      <c r="F14" s="652" t="s">
        <v>1817</v>
      </c>
      <c r="G14" s="652" t="s">
        <v>1817</v>
      </c>
      <c r="H14" s="652" t="s">
        <v>1817</v>
      </c>
      <c r="I14" s="652" t="s">
        <v>1817</v>
      </c>
      <c r="J14" s="652" t="s">
        <v>1817</v>
      </c>
      <c r="K14" s="585"/>
      <c r="L14" s="585"/>
      <c r="M14" s="585"/>
      <c r="N14" s="585"/>
      <c r="O14" s="585"/>
      <c r="P14" s="585"/>
      <c r="Q14" s="585"/>
      <c r="R14" s="900">
        <v>13</v>
      </c>
      <c r="S14" s="903"/>
      <c r="T14" s="902">
        <f t="shared" si="0"/>
        <v>0</v>
      </c>
      <c r="U14" s="903"/>
      <c r="V14" s="902">
        <f t="shared" si="1"/>
        <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1818</v>
      </c>
      <c r="G15" s="658"/>
      <c r="H15" s="659"/>
      <c r="I15" s="827"/>
      <c r="J15" s="828"/>
      <c r="K15" s="585"/>
      <c r="L15" s="585"/>
      <c r="M15" s="585"/>
      <c r="N15" s="585"/>
      <c r="O15" s="585"/>
      <c r="P15" s="585"/>
      <c r="Q15" s="585"/>
      <c r="R15" s="900">
        <v>14</v>
      </c>
      <c r="S15" s="903"/>
      <c r="T15" s="902">
        <f t="shared" si="0"/>
        <v>0</v>
      </c>
      <c r="U15" s="903"/>
      <c r="V15" s="902">
        <f t="shared" si="1"/>
        <v>0</v>
      </c>
      <c r="W15" s="901"/>
      <c r="X15" s="901"/>
      <c r="Y15" s="901"/>
      <c r="Z15" s="901"/>
      <c r="AA15" s="901"/>
      <c r="AB15" s="901"/>
      <c r="AC15" s="914"/>
      <c r="AD15" s="923"/>
      <c r="AE15" s="923"/>
      <c r="AF15" s="923"/>
      <c r="AG15" s="923"/>
      <c r="AH15" s="923"/>
      <c r="AI15" s="923"/>
      <c r="AJ15" s="926"/>
    </row>
    <row r="16" ht="15.75" spans="1:36">
      <c r="A16" s="647"/>
      <c r="B16" s="660" t="s">
        <v>1722</v>
      </c>
      <c r="C16" s="661"/>
      <c r="D16" s="661"/>
      <c r="E16" s="661"/>
      <c r="F16" s="661">
        <v>1</v>
      </c>
      <c r="G16" s="661">
        <v>1</v>
      </c>
      <c r="H16" s="661">
        <v>1</v>
      </c>
      <c r="I16" s="661">
        <v>1</v>
      </c>
      <c r="J16" s="829">
        <v>1</v>
      </c>
      <c r="K16" s="585"/>
      <c r="L16" s="586"/>
      <c r="M16" s="586"/>
      <c r="N16" s="586"/>
      <c r="O16" s="586"/>
      <c r="P16" s="586"/>
      <c r="Q16" s="585"/>
      <c r="R16" s="900">
        <v>15</v>
      </c>
      <c r="S16" s="903"/>
      <c r="T16" s="902">
        <f t="shared" si="0"/>
        <v>0</v>
      </c>
      <c r="U16" s="903"/>
      <c r="V16" s="902">
        <f t="shared" si="1"/>
        <v>0</v>
      </c>
      <c r="W16" s="901"/>
      <c r="X16" s="901"/>
      <c r="Y16" s="901"/>
      <c r="Z16" s="901"/>
      <c r="AA16" s="901"/>
      <c r="AB16" s="901"/>
      <c r="AC16" s="914"/>
      <c r="AD16" s="923"/>
      <c r="AE16" s="923"/>
      <c r="AF16" s="923"/>
      <c r="AG16" s="923"/>
      <c r="AH16" s="923"/>
      <c r="AI16" s="923"/>
      <c r="AJ16" s="926"/>
    </row>
    <row r="17" spans="1:36">
      <c r="A17" s="662" t="s">
        <v>1819</v>
      </c>
      <c r="B17" s="663" t="s">
        <v>1820</v>
      </c>
      <c r="C17" s="664">
        <f>ROUND(IF(OR(E2="工业",E2="公共服务"),1,IF(AND(E18=0,E19=0),1,IF(AND(E18=J24,E19=G19),0.8,IF(E19=0,1+E17*(-0.2),1+E17*G17*(-0.2))))),4)</f>
        <v>1</v>
      </c>
      <c r="D17" s="665" t="s">
        <v>1821</v>
      </c>
      <c r="E17" s="664">
        <f>ROUND(G18/I18,2)</f>
        <v>0</v>
      </c>
      <c r="F17" s="665" t="s">
        <v>1822</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1823</v>
      </c>
      <c r="E18" s="670"/>
      <c r="F18" s="671" t="s">
        <v>1824</v>
      </c>
      <c r="G18" s="668">
        <f>ROUND(1-(1/(POWER(1+G24,E18))),4)</f>
        <v>0</v>
      </c>
      <c r="H18" s="671" t="s">
        <v>1825</v>
      </c>
      <c r="I18" s="668">
        <f>ROUND(1-(1/(POWER(1+G24,J24))),4)</f>
        <v>0.9312</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1826</v>
      </c>
      <c r="E19" s="675"/>
      <c r="F19" s="676" t="s">
        <v>1827</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1828</v>
      </c>
      <c r="B20" s="678" t="s">
        <v>1829</v>
      </c>
      <c r="C20" s="679">
        <f>ROUND(IF(F21="与级别开发程度一致",0,(G21-E21)/C21),0)</f>
        <v>-20</v>
      </c>
      <c r="D20" s="680" t="s">
        <v>1830</v>
      </c>
      <c r="E20" s="681"/>
      <c r="F20" s="682" t="s">
        <v>1831</v>
      </c>
      <c r="G20" s="683"/>
      <c r="H20" s="684" t="s">
        <v>380</v>
      </c>
      <c r="I20" s="684" t="s">
        <v>381</v>
      </c>
      <c r="J20" s="833" t="s">
        <v>382</v>
      </c>
      <c r="K20" s="834" t="s">
        <v>383</v>
      </c>
      <c r="L20" s="834" t="s">
        <v>384</v>
      </c>
      <c r="M20" s="834"/>
      <c r="N20" s="834" t="s">
        <v>1832</v>
      </c>
      <c r="O20" s="835" t="s">
        <v>387</v>
      </c>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1833</v>
      </c>
      <c r="C21" s="687">
        <f>IF(E3="M4科研用地",SUMPRODUCT((修正!A2:A7=E3)*(修正!B1:M1=G2)*(修正!B2:M7)),SUMPRODUCT((修正!A2:A7=E2)*(修正!B1:M1=G2)*(修正!B2:M7)))</f>
        <v>2.5</v>
      </c>
      <c r="D21" s="688" t="str">
        <f>IF(OR(G2="八级",G2="九级",G2="十级",G2="十一级",G2="十二级"),"五通一平","七通一平")</f>
        <v>七通一平</v>
      </c>
      <c r="E21" s="689">
        <f>SUMPRODUCT((修正!B1:M1=G2)*(修正!B17:M17))</f>
        <v>315</v>
      </c>
      <c r="F21" s="690"/>
      <c r="G21" s="691">
        <f>SUM(H21:O21)</f>
        <v>265</v>
      </c>
      <c r="H21" s="687">
        <f>SUMPRODUCT((七通一平=H20)*(修正!B1:M1=G2)*(修正!B8:M16))</f>
        <v>70</v>
      </c>
      <c r="I21" s="687">
        <f>SUMPRODUCT((七通一平=I20)*(修正!B1:M1=G2)*(修正!B8:M16))</f>
        <v>60</v>
      </c>
      <c r="J21" s="836">
        <f>SUMPRODUCT((七通一平=J20)*(修正!B1:M1=G2)*(修正!B8:M16))</f>
        <v>15</v>
      </c>
      <c r="K21" s="687">
        <f>SUMPRODUCT((七通一平=K20)*(修正!B1:M1=G2)*(修正!B8:M16))</f>
        <v>25</v>
      </c>
      <c r="L21" s="687">
        <f>SUMPRODUCT((七通一平=L20)*(修正!B1:M1=G2)*(修正!B8:M16))</f>
        <v>40</v>
      </c>
      <c r="M21" s="687">
        <f>SUMPRODUCT((七通一平=M20)*(修正!B1:M1=G2)*(修正!B8:M16))</f>
        <v>0</v>
      </c>
      <c r="N21" s="687">
        <f>SUMPRODUCT((七通一平=N20)*(修正!B1:M1=G2)*(修正!B8:M16))</f>
        <v>40</v>
      </c>
      <c r="O21" s="837">
        <f>SUMPRODUCT((七通一平=O20)*(修正!B1:M1=G2)*(修正!B8:M16))</f>
        <v>15</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951</v>
      </c>
      <c r="B22" s="693" t="s">
        <v>1834</v>
      </c>
      <c r="C22" s="694">
        <f>SUMIF(修正!C20:C53,E3,修正!E20:E53)</f>
        <v>1</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956</v>
      </c>
      <c r="B23" s="698" t="s">
        <v>1835</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700" t="s">
        <v>1836</v>
      </c>
      <c r="E23" s="701">
        <v>44197</v>
      </c>
      <c r="F23" s="700" t="s">
        <v>1837</v>
      </c>
      <c r="G23" s="702">
        <f>'数据-取费表'!B2</f>
        <v>45846</v>
      </c>
      <c r="H23" s="703" t="s">
        <v>1838</v>
      </c>
      <c r="I23" s="842" t="str">
        <f>IF(H23="季度增幅（自定义）",SUMIF(N25:N28,E2,O25:O28),"")</f>
        <v/>
      </c>
      <c r="J23" s="843" t="s">
        <v>1839</v>
      </c>
      <c r="K23" s="839"/>
      <c r="L23" s="844" t="s">
        <v>1840</v>
      </c>
      <c r="M23" s="845">
        <f>ROUND(SUMIF(地价!B2:G2,E2,地价!B16:G16),0)</f>
        <v>350</v>
      </c>
      <c r="N23" s="846" t="s">
        <v>1841</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959</v>
      </c>
      <c r="B24" s="705" t="s">
        <v>1842</v>
      </c>
      <c r="C24" s="706">
        <f>ROUND(POWER(1+G24,J24-I24)*(POWER(1+G24,I24)-1)/(POWER(1+G24,J24)-1),4)</f>
        <v>0.8485</v>
      </c>
      <c r="D24" s="707" t="s">
        <v>1843</v>
      </c>
      <c r="E24" s="708">
        <f>存贷款利率!E28/100</f>
        <v>0.0435</v>
      </c>
      <c r="F24" s="707" t="s">
        <v>1844</v>
      </c>
      <c r="G24" s="709">
        <f>SUMIF(M30:Q30,E2,M33:Q33)</f>
        <v>0.055</v>
      </c>
      <c r="H24" s="707" t="s">
        <v>1845</v>
      </c>
      <c r="I24" s="849">
        <f>SUMIF('数据-取费表'!C6:C15,E2,'数据-取费表'!F6:F15)/COUNTIF('数据-取费表'!C6:C15,E2)</f>
        <v>29.16</v>
      </c>
      <c r="J24" s="850">
        <f>IF(E2="住宅",70,IF(E2="商业",40,50))</f>
        <v>50</v>
      </c>
      <c r="K24" s="839"/>
      <c r="L24" s="851" t="s">
        <v>1846</v>
      </c>
      <c r="M24" s="852">
        <f>ROUND(SUMPRODUCT((地价!A4:A16=YEAR(G23)&amp;"-"&amp;ROUNDUP(MONTH(G23)/3,0))*(地价!B2:G2=E2)*(地价!B4:G16)),0)</f>
        <v>0</v>
      </c>
      <c r="N24" s="853" t="s">
        <v>1847</v>
      </c>
      <c r="O24" s="854" t="s">
        <v>1848</v>
      </c>
      <c r="P24" s="855" t="s">
        <v>1849</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981</v>
      </c>
      <c r="B25" s="711" t="s">
        <v>1850</v>
      </c>
      <c r="C25" s="712">
        <f>IF(B25="容积率修正",IF(G3&lt;10,D26,J26),C27)</f>
        <v>1</v>
      </c>
      <c r="D25" s="713"/>
      <c r="E25" s="713"/>
      <c r="F25" s="713"/>
      <c r="G25" s="713"/>
      <c r="H25" s="713"/>
      <c r="I25" s="713"/>
      <c r="J25" s="856"/>
      <c r="K25" s="839"/>
      <c r="L25" s="840"/>
      <c r="M25" s="840"/>
      <c r="N25" s="857" t="s">
        <v>1851</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1852</v>
      </c>
      <c r="B26" s="715" t="s">
        <v>1853</v>
      </c>
      <c r="C26" s="716" t="s">
        <v>1854</v>
      </c>
      <c r="D26" s="717">
        <f>IF(E26=G26,F26,IF(G3&lt;10,ROUND(F26+(H26-F26)*(G3-E26)/(G26-E26),4),"——"))</f>
        <v>1</v>
      </c>
      <c r="E26" s="600">
        <f>ROUNDDOWN(G3,1)</f>
        <v>2.5</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00">
        <f>ROUNDUP(G3,1)</f>
        <v>2.5</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16" t="s">
        <v>1855</v>
      </c>
      <c r="J26" s="860" t="str">
        <f>IF(G3&gt;=10,D115,"——")</f>
        <v>——</v>
      </c>
      <c r="K26" s="839"/>
      <c r="L26" s="840"/>
      <c r="M26" s="840"/>
      <c r="N26" s="857" t="s">
        <v>1856</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1857</v>
      </c>
      <c r="B27" s="718" t="s">
        <v>1858</v>
      </c>
      <c r="C27" s="719">
        <f>ROUND(IF(I3&lt;6,SUMPRODUCT((B106:B110=I3)*(C105:N105=G2)*(C106:N110)),SUMIF(C105:N105,G2,C112:N112)),4)</f>
        <v>0</v>
      </c>
      <c r="D27" s="720"/>
      <c r="E27" s="720"/>
      <c r="F27" s="721"/>
      <c r="G27" s="722"/>
      <c r="H27" s="723"/>
      <c r="I27" s="861"/>
      <c r="J27" s="862"/>
      <c r="K27" s="585"/>
      <c r="L27" s="586"/>
      <c r="M27" s="586"/>
      <c r="N27" s="857" t="s">
        <v>1859</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1860</v>
      </c>
      <c r="B28" s="698" t="s">
        <v>1861</v>
      </c>
      <c r="C28" s="699">
        <f>SUMIF(A47:A101,E2,B47:B101)</f>
        <v>1.036</v>
      </c>
      <c r="D28" s="724"/>
      <c r="E28" s="725"/>
      <c r="F28" s="725"/>
      <c r="G28" s="725"/>
      <c r="H28" s="725"/>
      <c r="I28" s="725"/>
      <c r="J28" s="863"/>
      <c r="K28" s="839"/>
      <c r="L28" s="840"/>
      <c r="M28" s="840"/>
      <c r="N28" s="864" t="s">
        <v>1862</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1863</v>
      </c>
      <c r="B29" s="726" t="s">
        <v>1864</v>
      </c>
      <c r="C29" s="727"/>
      <c r="D29" s="623"/>
      <c r="E29" s="623"/>
      <c r="F29" s="728"/>
      <c r="G29" s="623"/>
      <c r="H29" s="623"/>
      <c r="I29" s="623"/>
      <c r="J29" s="817"/>
      <c r="K29" s="585"/>
      <c r="L29" s="586"/>
      <c r="M29" s="586"/>
      <c r="N29" s="867" t="s">
        <v>1865</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1866</v>
      </c>
      <c r="C30" s="730">
        <f>IF(B25="容积率修正",E33+SUM(E37:E42),SUM(V2:V16)+SUM(E37:E42))</f>
        <v>169</v>
      </c>
      <c r="D30" s="731"/>
      <c r="E30" s="720"/>
      <c r="F30" s="732"/>
      <c r="G30" s="720"/>
      <c r="H30" s="720"/>
      <c r="I30" s="720"/>
      <c r="J30" s="870"/>
      <c r="K30" s="585"/>
      <c r="L30" s="871" t="s">
        <v>1755</v>
      </c>
      <c r="M30" s="872" t="s">
        <v>1867</v>
      </c>
      <c r="N30" s="872" t="s">
        <v>1868</v>
      </c>
      <c r="O30" s="872" t="s">
        <v>1869</v>
      </c>
      <c r="P30" s="872" t="s">
        <v>1870</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1871</v>
      </c>
      <c r="C31" s="734">
        <f>E34+SUM(I37:I42)</f>
        <v>0</v>
      </c>
      <c r="D31" s="735"/>
      <c r="E31" s="736"/>
      <c r="F31" s="737"/>
      <c r="G31" s="736"/>
      <c r="H31" s="736"/>
      <c r="I31" s="736"/>
      <c r="J31" s="873"/>
      <c r="K31" s="585"/>
      <c r="L31" s="874" t="s">
        <v>1872</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1873</v>
      </c>
      <c r="C32" s="740" t="s">
        <v>1874</v>
      </c>
      <c r="D32" s="740" t="s">
        <v>607</v>
      </c>
      <c r="E32" s="741" t="s">
        <v>1875</v>
      </c>
      <c r="F32" s="742"/>
      <c r="G32" s="646"/>
      <c r="H32" s="646"/>
      <c r="I32" s="646"/>
      <c r="J32" s="823"/>
      <c r="K32" s="585"/>
      <c r="L32" s="875" t="s">
        <v>1844</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1876</v>
      </c>
      <c r="C33" s="745">
        <f>ROUND(C5*C22*C23*C24*C25*C28,0)</f>
        <v>15089</v>
      </c>
      <c r="D33" s="746">
        <f>'数据-基础表'!I13</f>
        <v>112.13</v>
      </c>
      <c r="E33" s="747">
        <f>ROUND(C33*D33/10000,0)</f>
        <v>169</v>
      </c>
      <c r="F33" s="748" t="s">
        <v>1877</v>
      </c>
      <c r="G33" s="749"/>
      <c r="H33" s="749"/>
      <c r="I33" s="749"/>
      <c r="J33" s="877"/>
      <c r="K33" s="585"/>
      <c r="L33" s="878" t="s">
        <v>1878</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1879</v>
      </c>
      <c r="C34" s="688">
        <f>ROUND(IF(E2="工业",C33*M42,IF(B25="楼层修正",SUM(V2:V16)*M41*10000/D34,C33*M41)),0)</f>
        <v>3772</v>
      </c>
      <c r="D34" s="752"/>
      <c r="E34" s="747">
        <f>ROUND(IF(B25="楼层修正",SUM(V2:V16)*M40,C34*D34/10000),0)</f>
        <v>0</v>
      </c>
      <c r="F34" s="753" t="s">
        <v>1880</v>
      </c>
      <c r="G34" s="754"/>
      <c r="H34" s="754"/>
      <c r="I34" s="754"/>
      <c r="J34" s="880"/>
      <c r="K34" s="585"/>
      <c r="L34" s="878" t="s">
        <v>1881</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1882</v>
      </c>
      <c r="C35" s="757" t="s">
        <v>1883</v>
      </c>
      <c r="D35" s="646"/>
      <c r="E35" s="758"/>
      <c r="F35" s="758"/>
      <c r="G35" s="644" t="s">
        <v>1880</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1874</v>
      </c>
      <c r="D36" s="761" t="s">
        <v>607</v>
      </c>
      <c r="E36" s="761" t="s">
        <v>1875</v>
      </c>
      <c r="F36" s="592" t="s">
        <v>1884</v>
      </c>
      <c r="G36" s="762" t="s">
        <v>1874</v>
      </c>
      <c r="H36" s="762" t="s">
        <v>607</v>
      </c>
      <c r="I36" s="762" t="s">
        <v>1875</v>
      </c>
      <c r="J36" s="453"/>
      <c r="K36" s="882" t="s">
        <v>1885</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1886</v>
      </c>
      <c r="C37" s="745">
        <f>ROUND(D5*C22*C23*C24*C28*F37,0)</f>
        <v>9054</v>
      </c>
      <c r="D37" s="746"/>
      <c r="E37" s="631">
        <f>ROUND(C37*D37/10000,0)</f>
        <v>0</v>
      </c>
      <c r="F37" s="631">
        <f>SUMIF(修正!A59:A70,G2,修正!B59:B70)</f>
        <v>0.6</v>
      </c>
      <c r="G37" s="631">
        <f>ROUND(IF(E2="工业",C37*$M$42,C37*$M$41),0)</f>
        <v>2264</v>
      </c>
      <c r="H37" s="631">
        <f>D37</f>
        <v>0</v>
      </c>
      <c r="I37" s="631">
        <f>ROUND(G37*H37/10000,0)</f>
        <v>0</v>
      </c>
      <c r="J37" s="885"/>
      <c r="K37" s="886" t="s">
        <v>1887</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1888</v>
      </c>
      <c r="C38" s="745">
        <f>ROUND(D5*C22*C23*C24*C28*F38,0)</f>
        <v>4527</v>
      </c>
      <c r="D38" s="746"/>
      <c r="E38" s="631">
        <f t="shared" ref="E38:E42" si="4">ROUND(C38*D38/10000,0)</f>
        <v>0</v>
      </c>
      <c r="F38" s="631">
        <f>SUMIF(修正!A59:A70,G2,修正!C59:C70)</f>
        <v>0.3</v>
      </c>
      <c r="G38" s="631">
        <f>ROUND(IF(E2="工业",C38*$M$42,C38*$M$41),0)</f>
        <v>1132</v>
      </c>
      <c r="H38" s="631">
        <f t="shared" ref="H38:H42" si="5">D38</f>
        <v>0</v>
      </c>
      <c r="I38" s="631">
        <f t="shared" ref="I38:I42" si="6">ROUND(G38*H38/10000,0)</f>
        <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1889</v>
      </c>
      <c r="C39" s="745">
        <f>ROUND(D5*C22*C23*C24*C28*F39,0)</f>
        <v>3772</v>
      </c>
      <c r="D39" s="746"/>
      <c r="E39" s="631">
        <f t="shared" si="4"/>
        <v>0</v>
      </c>
      <c r="F39" s="631">
        <f>SUMIF(修正!A59:A70,G2,修正!D59:D70)</f>
        <v>0.25</v>
      </c>
      <c r="G39" s="631">
        <f>ROUND(IF(E2="工业",C39*$M$42,C39*$M$41),0)</f>
        <v>943</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1890</v>
      </c>
      <c r="C40" s="631">
        <f>ROUND(D5*C22*C23*C24*C28*F40,0)</f>
        <v>3772</v>
      </c>
      <c r="D40" s="746"/>
      <c r="E40" s="631">
        <f t="shared" si="4"/>
        <v>0</v>
      </c>
      <c r="F40" s="745">
        <f>SUMIF(修正!A59:A70,G2,修正!E59:E70)</f>
        <v>0.25</v>
      </c>
      <c r="G40" s="631">
        <f>ROUND(IF(E2="工业",C40*$M$42,C40*$M$41),0)</f>
        <v>943</v>
      </c>
      <c r="H40" s="631">
        <f t="shared" si="5"/>
        <v>0</v>
      </c>
      <c r="I40" s="631">
        <f t="shared" si="6"/>
        <v>0</v>
      </c>
      <c r="J40" s="887"/>
      <c r="L40" s="888" t="s">
        <v>1891</v>
      </c>
      <c r="M40" s="889"/>
      <c r="Z40" s="769"/>
      <c r="AA40" s="769"/>
      <c r="AB40" s="769"/>
      <c r="AC40" s="769"/>
      <c r="AD40" s="769"/>
      <c r="AE40" s="769"/>
      <c r="AF40" s="769"/>
      <c r="AG40" s="769"/>
      <c r="AH40" s="769"/>
      <c r="AI40" s="769"/>
      <c r="AJ40" s="769"/>
    </row>
    <row r="41" s="585" customFormat="1" spans="1:36">
      <c r="A41" s="766"/>
      <c r="B41" s="649" t="s">
        <v>1892</v>
      </c>
      <c r="C41" s="631">
        <f>ROUND(D5*C22*C23*C44*C28*F41,0)</f>
        <v>0</v>
      </c>
      <c r="D41" s="746"/>
      <c r="E41" s="631">
        <f t="shared" si="4"/>
        <v>0</v>
      </c>
      <c r="F41" s="745">
        <f>SUMIF(修正!A59:A70,G2,修正!F59:F70)</f>
        <v>0.25</v>
      </c>
      <c r="G41" s="631">
        <f>ROUND(IF(E2="工业",C41*$M$42,C41*$M$41),0)</f>
        <v>0</v>
      </c>
      <c r="H41" s="631">
        <f t="shared" si="5"/>
        <v>0</v>
      </c>
      <c r="I41" s="631">
        <f t="shared" si="6"/>
        <v>0</v>
      </c>
      <c r="J41" s="887"/>
      <c r="L41" s="890" t="s">
        <v>1893</v>
      </c>
      <c r="M41" s="891">
        <v>0.25</v>
      </c>
      <c r="Z41" s="769"/>
      <c r="AA41" s="769"/>
      <c r="AB41" s="769"/>
      <c r="AC41" s="769"/>
      <c r="AD41" s="769"/>
      <c r="AE41" s="769"/>
      <c r="AF41" s="769"/>
      <c r="AG41" s="769"/>
      <c r="AH41" s="769"/>
      <c r="AI41" s="769"/>
      <c r="AJ41" s="769"/>
    </row>
    <row r="42" s="585" customFormat="1" ht="13.5" spans="1:36">
      <c r="A42" s="750"/>
      <c r="B42" s="767" t="s">
        <v>1894</v>
      </c>
      <c r="C42" s="688">
        <f>ROUND(D5*C22*C23*C44*C28*F42,0)</f>
        <v>0</v>
      </c>
      <c r="D42" s="752"/>
      <c r="E42" s="688">
        <f t="shared" si="4"/>
        <v>0</v>
      </c>
      <c r="F42" s="768">
        <f>SUMIF(修正!A59:A70,G2,修正!G59:G70)</f>
        <v>0.15</v>
      </c>
      <c r="G42" s="688">
        <f>ROUND(IF(E2="工业",C42*$M$42,C42*$M$41),0)</f>
        <v>0</v>
      </c>
      <c r="H42" s="688">
        <f t="shared" si="5"/>
        <v>0</v>
      </c>
      <c r="I42" s="688">
        <f t="shared" si="6"/>
        <v>0</v>
      </c>
      <c r="J42" s="892"/>
      <c r="L42" s="893" t="s">
        <v>1870</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1895</v>
      </c>
      <c r="C44" s="592">
        <f>ROUND(POWER(1+E44,H44-G44)*(POWER(1+E44,G44)-1)/(POWER(1+E44,H44)-1),4)</f>
        <v>0</v>
      </c>
      <c r="D44" s="631" t="s">
        <v>1844</v>
      </c>
      <c r="E44" s="771">
        <f>G24</f>
        <v>0.055</v>
      </c>
      <c r="F44" s="631" t="s">
        <v>1845</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1896</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1897</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1898</v>
      </c>
      <c r="B49" s="785" t="s">
        <v>1899</v>
      </c>
      <c r="C49" s="785" t="s">
        <v>1900</v>
      </c>
      <c r="D49" s="785" t="s">
        <v>1901</v>
      </c>
      <c r="E49" s="786" t="s">
        <v>1902</v>
      </c>
      <c r="F49" s="787" t="s">
        <v>1903</v>
      </c>
      <c r="G49" s="785" t="s">
        <v>1722</v>
      </c>
      <c r="H49" s="788" t="s">
        <v>1904</v>
      </c>
      <c r="I49" s="785" t="s">
        <v>1905</v>
      </c>
      <c r="J49" s="896" t="s">
        <v>1212</v>
      </c>
      <c r="K49" s="896" t="s">
        <v>1213</v>
      </c>
      <c r="L49" s="896" t="s">
        <v>1214</v>
      </c>
      <c r="M49" s="896" t="s">
        <v>1215</v>
      </c>
      <c r="N49" s="896" t="s">
        <v>1216</v>
      </c>
      <c r="AA49" s="769"/>
      <c r="AB49" s="769"/>
      <c r="AC49" s="769"/>
      <c r="AD49" s="769"/>
      <c r="AE49" s="769"/>
      <c r="AF49" s="769"/>
      <c r="AG49" s="769"/>
      <c r="AH49" s="769"/>
      <c r="AI49" s="769"/>
      <c r="AJ49" s="769"/>
      <c r="AK49" s="769"/>
    </row>
    <row r="50" s="585" customFormat="1" ht="36.75" spans="1:37">
      <c r="A50" s="784" t="s">
        <v>1906</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1907</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1908</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1909</v>
      </c>
      <c r="B53" s="798" t="s">
        <v>1910</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1911</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1912</v>
      </c>
      <c r="B55" s="799" t="s">
        <v>1913</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1914</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1915</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1916</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1917</v>
      </c>
      <c r="B59" s="779">
        <f>1+E61</f>
        <v>1.036</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1898</v>
      </c>
      <c r="B60" s="785"/>
      <c r="C60" s="785" t="s">
        <v>1900</v>
      </c>
      <c r="D60" s="785" t="s">
        <v>1901</v>
      </c>
      <c r="E60" s="786" t="s">
        <v>1902</v>
      </c>
      <c r="F60" s="787" t="s">
        <v>1918</v>
      </c>
      <c r="G60" s="785" t="s">
        <v>1722</v>
      </c>
      <c r="H60" s="788" t="s">
        <v>1904</v>
      </c>
      <c r="I60" s="785" t="s">
        <v>1905</v>
      </c>
      <c r="J60" s="896" t="s">
        <v>1212</v>
      </c>
      <c r="K60" s="896" t="s">
        <v>1213</v>
      </c>
      <c r="L60" s="896" t="s">
        <v>1214</v>
      </c>
      <c r="M60" s="896" t="s">
        <v>1215</v>
      </c>
      <c r="N60" s="896" t="s">
        <v>1216</v>
      </c>
      <c r="AA60" s="769"/>
      <c r="AB60" s="769"/>
      <c r="AC60" s="769"/>
      <c r="AD60" s="769"/>
      <c r="AE60" s="769"/>
      <c r="AF60" s="769"/>
      <c r="AG60" s="769"/>
      <c r="AH60" s="769"/>
      <c r="AI60" s="769"/>
      <c r="AJ60" s="769"/>
      <c r="AK60" s="769"/>
    </row>
    <row r="61" s="585" customFormat="1" ht="36.75" spans="1:37">
      <c r="A61" s="784" t="s">
        <v>1919</v>
      </c>
      <c r="B61" s="789" t="str">
        <f>估价对象房地状况!C17</f>
        <v>估价对象位于XX商圈，周边办公楼项目较多，入驻率高，办公集聚程度较好</v>
      </c>
      <c r="C61" s="655" t="s">
        <v>1168</v>
      </c>
      <c r="D61" s="790">
        <f t="shared" ref="D61:D69" si="12">SUMIF($J$60:$N$60,C61,J61:N61)</f>
        <v>0</v>
      </c>
      <c r="E61" s="791">
        <f>ROUND(SUM(D61:D69),4)</f>
        <v>0.036</v>
      </c>
      <c r="F61" s="792">
        <f>IF(E2="办公",SUMIF(L1:L12,G2,N1:N12),"——")</f>
        <v>0.1</v>
      </c>
      <c r="G61" s="793">
        <f>H61</f>
        <v>0.0125</v>
      </c>
      <c r="H61" s="794">
        <f t="shared" ref="H61:H69" si="13">IFERROR(ROUNDDOWN($F$61*I61/2,4),"——")</f>
        <v>0.0125</v>
      </c>
      <c r="I61" s="897">
        <v>0.25</v>
      </c>
      <c r="J61" s="898">
        <f t="shared" ref="J61:J69" si="14">K61+$G61</f>
        <v>0.025</v>
      </c>
      <c r="K61" s="898">
        <f t="shared" ref="K61:K69" si="15">$L61+$G61</f>
        <v>0.0125</v>
      </c>
      <c r="L61" s="898">
        <v>0</v>
      </c>
      <c r="M61" s="898">
        <f t="shared" ref="M61:N69" si="16">L61-$G61</f>
        <v>-0.0125</v>
      </c>
      <c r="N61" s="898">
        <f t="shared" si="16"/>
        <v>-0.025</v>
      </c>
      <c r="AA61" s="769"/>
      <c r="AB61" s="769"/>
      <c r="AC61" s="769"/>
      <c r="AD61" s="769"/>
      <c r="AE61" s="769"/>
      <c r="AF61" s="769"/>
      <c r="AG61" s="769"/>
      <c r="AH61" s="769"/>
      <c r="AI61" s="769"/>
      <c r="AJ61" s="769"/>
      <c r="AK61" s="769"/>
    </row>
    <row r="62" s="585" customFormat="1" ht="36" spans="1:37">
      <c r="A62" s="784" t="s">
        <v>1907</v>
      </c>
      <c r="B62" s="795" t="str">
        <f>估价对象房地状况!C18</f>
        <v>估价对象周边道路状况、公共交通通达情况、停车便捷程度，综合评价交通便捷度较好</v>
      </c>
      <c r="C62" s="655" t="s">
        <v>1169</v>
      </c>
      <c r="D62" s="790">
        <f t="shared" si="12"/>
        <v>0.013</v>
      </c>
      <c r="E62" s="796"/>
      <c r="F62" s="792"/>
      <c r="G62" s="793">
        <f t="shared" ref="G62:G69" si="17">H62</f>
        <v>0.013</v>
      </c>
      <c r="H62" s="794">
        <f t="shared" si="13"/>
        <v>0.013</v>
      </c>
      <c r="I62" s="897">
        <v>0.26</v>
      </c>
      <c r="J62" s="898">
        <f t="shared" si="14"/>
        <v>0.026</v>
      </c>
      <c r="K62" s="898">
        <f t="shared" si="15"/>
        <v>0.013</v>
      </c>
      <c r="L62" s="898">
        <v>0</v>
      </c>
      <c r="M62" s="898">
        <f t="shared" si="16"/>
        <v>-0.013</v>
      </c>
      <c r="N62" s="898">
        <f t="shared" si="16"/>
        <v>-0.026</v>
      </c>
      <c r="AA62" s="769"/>
      <c r="AB62" s="769"/>
      <c r="AC62" s="769"/>
      <c r="AD62" s="769"/>
      <c r="AE62" s="769"/>
      <c r="AF62" s="769"/>
      <c r="AG62" s="769"/>
      <c r="AH62" s="769"/>
      <c r="AI62" s="769"/>
      <c r="AJ62" s="769"/>
      <c r="AK62" s="769"/>
    </row>
    <row r="63" s="585" customFormat="1" ht="36" spans="1:37">
      <c r="A63" s="797" t="s">
        <v>1908</v>
      </c>
      <c r="B63" s="795">
        <f>估价对象房地状况!C19</f>
        <v>0</v>
      </c>
      <c r="C63" s="655" t="s">
        <v>1169</v>
      </c>
      <c r="D63" s="790">
        <f t="shared" si="12"/>
        <v>0.0055</v>
      </c>
      <c r="E63" s="796"/>
      <c r="F63" s="792"/>
      <c r="G63" s="793">
        <f t="shared" si="17"/>
        <v>0.0055</v>
      </c>
      <c r="H63" s="794">
        <f t="shared" si="13"/>
        <v>0.0055</v>
      </c>
      <c r="I63" s="897">
        <v>0.11</v>
      </c>
      <c r="J63" s="898">
        <f t="shared" si="14"/>
        <v>0.011</v>
      </c>
      <c r="K63" s="898">
        <f t="shared" si="15"/>
        <v>0.0055</v>
      </c>
      <c r="L63" s="898">
        <v>0</v>
      </c>
      <c r="M63" s="898">
        <f t="shared" si="16"/>
        <v>-0.0055</v>
      </c>
      <c r="N63" s="898">
        <f t="shared" si="16"/>
        <v>-0.011</v>
      </c>
      <c r="AA63" s="769"/>
      <c r="AB63" s="769"/>
      <c r="AC63" s="769"/>
      <c r="AD63" s="769"/>
      <c r="AE63" s="769"/>
      <c r="AF63" s="769"/>
      <c r="AG63" s="769"/>
      <c r="AH63" s="769"/>
      <c r="AI63" s="769"/>
      <c r="AJ63" s="769"/>
      <c r="AK63" s="769"/>
    </row>
    <row r="64" s="585" customFormat="1" ht="36.75" spans="1:37">
      <c r="A64" s="784" t="s">
        <v>1909</v>
      </c>
      <c r="B64" s="798" t="s">
        <v>1910</v>
      </c>
      <c r="C64" s="655" t="s">
        <v>1169</v>
      </c>
      <c r="D64" s="790">
        <f t="shared" si="12"/>
        <v>0.0025</v>
      </c>
      <c r="E64" s="796"/>
      <c r="F64" s="792"/>
      <c r="G64" s="793">
        <f t="shared" si="17"/>
        <v>0.0025</v>
      </c>
      <c r="H64" s="794">
        <f t="shared" si="13"/>
        <v>0.0025</v>
      </c>
      <c r="I64" s="897">
        <v>0.05</v>
      </c>
      <c r="J64" s="898">
        <f t="shared" si="14"/>
        <v>0.005</v>
      </c>
      <c r="K64" s="898">
        <f t="shared" si="15"/>
        <v>0.0025</v>
      </c>
      <c r="L64" s="898">
        <v>0</v>
      </c>
      <c r="M64" s="898">
        <f t="shared" si="16"/>
        <v>-0.0025</v>
      </c>
      <c r="N64" s="898">
        <f t="shared" si="16"/>
        <v>-0.005</v>
      </c>
      <c r="AA64" s="769"/>
      <c r="AB64" s="769"/>
      <c r="AC64" s="769"/>
      <c r="AD64" s="769"/>
      <c r="AE64" s="769"/>
      <c r="AF64" s="769"/>
      <c r="AG64" s="769"/>
      <c r="AH64" s="769"/>
      <c r="AI64" s="769"/>
      <c r="AJ64" s="769"/>
      <c r="AK64" s="769"/>
    </row>
    <row r="65" s="585" customFormat="1" ht="24" spans="1:37">
      <c r="A65" s="784" t="s">
        <v>1911</v>
      </c>
      <c r="B65" s="795">
        <f>估价对象房地状况!C24</f>
        <v>0</v>
      </c>
      <c r="C65" s="655" t="s">
        <v>1168</v>
      </c>
      <c r="D65" s="790">
        <f t="shared" si="12"/>
        <v>0</v>
      </c>
      <c r="E65" s="796"/>
      <c r="F65" s="792"/>
      <c r="G65" s="793">
        <f t="shared" si="17"/>
        <v>0.0025</v>
      </c>
      <c r="H65" s="794">
        <f t="shared" si="13"/>
        <v>0.0025</v>
      </c>
      <c r="I65" s="897">
        <v>0.05</v>
      </c>
      <c r="J65" s="898">
        <f t="shared" si="14"/>
        <v>0.005</v>
      </c>
      <c r="K65" s="898">
        <f t="shared" si="15"/>
        <v>0.0025</v>
      </c>
      <c r="L65" s="898">
        <v>0</v>
      </c>
      <c r="M65" s="898">
        <f t="shared" si="16"/>
        <v>-0.0025</v>
      </c>
      <c r="N65" s="898">
        <f t="shared" si="16"/>
        <v>-0.005</v>
      </c>
      <c r="AA65" s="769"/>
      <c r="AB65" s="769"/>
      <c r="AC65" s="769"/>
      <c r="AD65" s="769"/>
      <c r="AE65" s="769"/>
      <c r="AF65" s="769"/>
      <c r="AG65" s="769"/>
      <c r="AH65" s="769"/>
      <c r="AI65" s="769"/>
      <c r="AJ65" s="769"/>
      <c r="AK65" s="769"/>
    </row>
    <row r="66" s="585" customFormat="1" ht="24" spans="1:37">
      <c r="A66" s="784" t="s">
        <v>1912</v>
      </c>
      <c r="B66" s="799" t="s">
        <v>1913</v>
      </c>
      <c r="C66" s="655" t="s">
        <v>1169</v>
      </c>
      <c r="D66" s="790">
        <f t="shared" si="12"/>
        <v>0.003</v>
      </c>
      <c r="E66" s="796"/>
      <c r="F66" s="792"/>
      <c r="G66" s="793">
        <f t="shared" si="17"/>
        <v>0.003</v>
      </c>
      <c r="H66" s="794">
        <f t="shared" si="13"/>
        <v>0.003</v>
      </c>
      <c r="I66" s="897">
        <v>0.06</v>
      </c>
      <c r="J66" s="898">
        <f t="shared" si="14"/>
        <v>0.006</v>
      </c>
      <c r="K66" s="898">
        <f t="shared" si="15"/>
        <v>0.003</v>
      </c>
      <c r="L66" s="898">
        <v>0</v>
      </c>
      <c r="M66" s="898">
        <f t="shared" si="16"/>
        <v>-0.003</v>
      </c>
      <c r="N66" s="898">
        <f t="shared" si="16"/>
        <v>-0.006</v>
      </c>
      <c r="AA66" s="769"/>
      <c r="AB66" s="769"/>
      <c r="AC66" s="769"/>
      <c r="AD66" s="769"/>
      <c r="AE66" s="769"/>
      <c r="AF66" s="769"/>
      <c r="AG66" s="769"/>
      <c r="AH66" s="769"/>
      <c r="AI66" s="769"/>
      <c r="AJ66" s="769"/>
      <c r="AK66" s="769"/>
    </row>
    <row r="67" s="585" customFormat="1" ht="24" spans="1:37">
      <c r="A67" s="784" t="s">
        <v>1914</v>
      </c>
      <c r="B67" s="801" t="str">
        <f>估价对象房地状况!C21</f>
        <v>估价对象所在区域公共配套设施齐备情况</v>
      </c>
      <c r="C67" s="655" t="s">
        <v>1169</v>
      </c>
      <c r="D67" s="790">
        <f t="shared" si="12"/>
        <v>0.003</v>
      </c>
      <c r="E67" s="796"/>
      <c r="F67" s="792"/>
      <c r="G67" s="793">
        <f t="shared" si="17"/>
        <v>0.003</v>
      </c>
      <c r="H67" s="794">
        <f t="shared" si="13"/>
        <v>0.003</v>
      </c>
      <c r="I67" s="897">
        <v>0.06</v>
      </c>
      <c r="J67" s="898">
        <f t="shared" si="14"/>
        <v>0.006</v>
      </c>
      <c r="K67" s="898">
        <f t="shared" si="15"/>
        <v>0.003</v>
      </c>
      <c r="L67" s="898">
        <v>0</v>
      </c>
      <c r="M67" s="898">
        <f t="shared" si="16"/>
        <v>-0.003</v>
      </c>
      <c r="N67" s="898">
        <f t="shared" si="16"/>
        <v>-0.006</v>
      </c>
      <c r="AA67" s="769"/>
      <c r="AB67" s="769"/>
      <c r="AC67" s="769"/>
      <c r="AD67" s="769"/>
      <c r="AE67" s="769"/>
      <c r="AF67" s="769"/>
      <c r="AG67" s="769"/>
      <c r="AH67" s="769"/>
      <c r="AI67" s="769"/>
      <c r="AJ67" s="769"/>
      <c r="AK67" s="769"/>
    </row>
    <row r="68" s="585" customFormat="1" ht="24" spans="1:37">
      <c r="A68" s="784" t="s">
        <v>1915</v>
      </c>
      <c r="B68" s="801" t="str">
        <f>估价对象房地状况!C22</f>
        <v>估价对象所在区域基础设施水平</v>
      </c>
      <c r="C68" s="655" t="s">
        <v>1920</v>
      </c>
      <c r="D68" s="790">
        <f t="shared" si="12"/>
        <v>0.009</v>
      </c>
      <c r="E68" s="796"/>
      <c r="F68" s="792"/>
      <c r="G68" s="793">
        <f t="shared" si="17"/>
        <v>0.0045</v>
      </c>
      <c r="H68" s="794">
        <f t="shared" si="13"/>
        <v>0.0045</v>
      </c>
      <c r="I68" s="897">
        <v>0.09</v>
      </c>
      <c r="J68" s="898">
        <f t="shared" si="14"/>
        <v>0.009</v>
      </c>
      <c r="K68" s="898">
        <f t="shared" si="15"/>
        <v>0.0045</v>
      </c>
      <c r="L68" s="898">
        <v>0</v>
      </c>
      <c r="M68" s="898">
        <f t="shared" si="16"/>
        <v>-0.0045</v>
      </c>
      <c r="N68" s="898">
        <f t="shared" si="16"/>
        <v>-0.009</v>
      </c>
      <c r="AA68" s="769"/>
      <c r="AB68" s="769"/>
      <c r="AC68" s="769"/>
      <c r="AD68" s="769"/>
      <c r="AE68" s="769"/>
      <c r="AF68" s="769"/>
      <c r="AG68" s="769"/>
      <c r="AH68" s="769"/>
      <c r="AI68" s="769"/>
      <c r="AJ68" s="769"/>
      <c r="AK68" s="769"/>
    </row>
    <row r="69" s="585" customFormat="1" ht="24.75" spans="1:37">
      <c r="A69" s="802" t="s">
        <v>1916</v>
      </c>
      <c r="B69" s="931" t="str">
        <f>估价对象房地状况!C20</f>
        <v>区域自然环境：；人文环境；综合评价环境状况一般</v>
      </c>
      <c r="C69" s="655" t="s">
        <v>1168</v>
      </c>
      <c r="D69" s="790">
        <f t="shared" si="12"/>
        <v>0</v>
      </c>
      <c r="E69" s="804"/>
      <c r="F69" s="792"/>
      <c r="G69" s="793">
        <f t="shared" si="17"/>
        <v>0.0035</v>
      </c>
      <c r="H69" s="794">
        <f t="shared" si="13"/>
        <v>0.0035</v>
      </c>
      <c r="I69" s="899">
        <v>0.07</v>
      </c>
      <c r="J69" s="898">
        <f t="shared" si="14"/>
        <v>0.007</v>
      </c>
      <c r="K69" s="898">
        <f t="shared" si="15"/>
        <v>0.0035</v>
      </c>
      <c r="L69" s="898">
        <v>0</v>
      </c>
      <c r="M69" s="898">
        <f t="shared" si="16"/>
        <v>-0.0035</v>
      </c>
      <c r="N69" s="898">
        <f t="shared" si="16"/>
        <v>-0.007</v>
      </c>
      <c r="AA69" s="769"/>
      <c r="AB69" s="769"/>
      <c r="AC69" s="769"/>
      <c r="AD69" s="769"/>
      <c r="AE69" s="769"/>
      <c r="AF69" s="769"/>
      <c r="AG69" s="769"/>
      <c r="AH69" s="769"/>
      <c r="AI69" s="769"/>
      <c r="AJ69" s="769"/>
      <c r="AK69" s="769"/>
    </row>
    <row r="70" s="585" customFormat="1" ht="15" spans="1:37">
      <c r="A70" s="778" t="s">
        <v>1921</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1898</v>
      </c>
      <c r="B71" s="785"/>
      <c r="C71" s="785" t="s">
        <v>1900</v>
      </c>
      <c r="D71" s="785" t="s">
        <v>1901</v>
      </c>
      <c r="E71" s="786" t="s">
        <v>1902</v>
      </c>
      <c r="F71" s="787" t="s">
        <v>1918</v>
      </c>
      <c r="G71" s="785" t="s">
        <v>1722</v>
      </c>
      <c r="H71" s="788" t="s">
        <v>1904</v>
      </c>
      <c r="I71" s="785" t="s">
        <v>1905</v>
      </c>
      <c r="J71" s="896" t="s">
        <v>1212</v>
      </c>
      <c r="K71" s="896" t="s">
        <v>1213</v>
      </c>
      <c r="L71" s="896" t="s">
        <v>1214</v>
      </c>
      <c r="M71" s="896" t="s">
        <v>1215</v>
      </c>
      <c r="N71" s="896" t="s">
        <v>1216</v>
      </c>
      <c r="AA71" s="769"/>
      <c r="AB71" s="769"/>
      <c r="AC71" s="769"/>
      <c r="AD71" s="769"/>
      <c r="AE71" s="769"/>
      <c r="AF71" s="769"/>
      <c r="AG71" s="769"/>
      <c r="AH71" s="769"/>
      <c r="AI71" s="769"/>
      <c r="AJ71" s="769"/>
      <c r="AK71" s="769"/>
    </row>
    <row r="72" s="585" customFormat="1" ht="48" spans="1:37">
      <c r="A72" s="784" t="s">
        <v>1922</v>
      </c>
      <c r="B72" s="789" t="str">
        <f>估价对象房地状况!C15</f>
        <v>估价对象周边居住用地比例、居住小区规模和社区发展完善程度，综合评价居住社区成熟度一般</v>
      </c>
      <c r="C72" s="655"/>
      <c r="D72" s="790">
        <f t="shared" ref="D72:D80" si="18">SUMIF($J$71:$N$71,C72,J72:N72)</f>
        <v>0</v>
      </c>
      <c r="E72" s="791">
        <f>ROUND(SUM(D72:D80),4)</f>
        <v>0</v>
      </c>
      <c r="F72" s="792" t="str">
        <f>IF(E2="住宅",SUMIF(L1:L12,G2,N1:N12),"——")</f>
        <v>——</v>
      </c>
      <c r="G72" s="793"/>
      <c r="H72" s="794" t="str">
        <f t="shared" ref="H72:H80" si="19">IFERROR(ROUNDDOWN($F$72*I72/2,4),"——")</f>
        <v>——</v>
      </c>
      <c r="I72" s="897">
        <v>0.2</v>
      </c>
      <c r="J72" s="898">
        <f t="shared" ref="J72:J80" si="20">K72+$G72</f>
        <v>0</v>
      </c>
      <c r="K72" s="898">
        <f t="shared" ref="K72:K80" si="21">$L72+$G72</f>
        <v>0</v>
      </c>
      <c r="L72" s="898">
        <v>0</v>
      </c>
      <c r="M72" s="898">
        <f t="shared" ref="M72:N80" si="22">L72-$G72</f>
        <v>0</v>
      </c>
      <c r="N72" s="898">
        <f t="shared" si="22"/>
        <v>0</v>
      </c>
      <c r="AA72" s="769"/>
      <c r="AB72" s="769"/>
      <c r="AC72" s="769"/>
      <c r="AD72" s="769"/>
      <c r="AE72" s="769"/>
      <c r="AF72" s="769"/>
      <c r="AG72" s="769"/>
      <c r="AH72" s="769"/>
      <c r="AI72" s="769"/>
      <c r="AJ72" s="769"/>
      <c r="AK72" s="769"/>
    </row>
    <row r="73" s="585" customFormat="1" ht="36" spans="1:37">
      <c r="A73" s="784" t="s">
        <v>1907</v>
      </c>
      <c r="B73" s="795" t="str">
        <f>估价对象房地状况!C18</f>
        <v>估价对象周边道路状况、公共交通通达情况、停车便捷程度，综合评价交通便捷度较好</v>
      </c>
      <c r="C73" s="655"/>
      <c r="D73" s="790">
        <f t="shared" si="18"/>
        <v>0</v>
      </c>
      <c r="E73" s="932"/>
      <c r="F73" s="792"/>
      <c r="G73" s="793"/>
      <c r="H73" s="794" t="str">
        <f t="shared" si="19"/>
        <v>——</v>
      </c>
      <c r="I73" s="897">
        <v>0.26</v>
      </c>
      <c r="J73" s="898">
        <f t="shared" si="20"/>
        <v>0</v>
      </c>
      <c r="K73" s="898">
        <f t="shared" si="21"/>
        <v>0</v>
      </c>
      <c r="L73" s="898">
        <v>0</v>
      </c>
      <c r="M73" s="898">
        <f t="shared" si="22"/>
        <v>0</v>
      </c>
      <c r="N73" s="898">
        <f t="shared" si="22"/>
        <v>0</v>
      </c>
      <c r="AA73" s="769"/>
      <c r="AB73" s="769"/>
      <c r="AC73" s="769"/>
      <c r="AD73" s="769"/>
      <c r="AE73" s="769"/>
      <c r="AF73" s="769"/>
      <c r="AG73" s="769"/>
      <c r="AH73" s="769"/>
      <c r="AI73" s="769"/>
      <c r="AJ73" s="769"/>
      <c r="AK73" s="769"/>
    </row>
    <row r="74" s="586" customFormat="1" ht="36" spans="1:37">
      <c r="A74" s="797" t="s">
        <v>1908</v>
      </c>
      <c r="B74" s="795">
        <f>估价对象房地状况!C19</f>
        <v>0</v>
      </c>
      <c r="C74" s="655"/>
      <c r="D74" s="790">
        <f t="shared" si="18"/>
        <v>0</v>
      </c>
      <c r="E74" s="932"/>
      <c r="F74" s="792"/>
      <c r="G74" s="793"/>
      <c r="H74" s="794" t="str">
        <f t="shared" si="19"/>
        <v>——</v>
      </c>
      <c r="I74" s="897">
        <v>0.1</v>
      </c>
      <c r="J74" s="898">
        <f t="shared" si="20"/>
        <v>0</v>
      </c>
      <c r="K74" s="898">
        <f t="shared" si="21"/>
        <v>0</v>
      </c>
      <c r="L74" s="898">
        <v>0</v>
      </c>
      <c r="M74" s="898">
        <f t="shared" si="22"/>
        <v>0</v>
      </c>
      <c r="N74" s="898">
        <f t="shared" si="22"/>
        <v>0</v>
      </c>
      <c r="O74" s="585"/>
      <c r="P74" s="585"/>
      <c r="Q74" s="585"/>
      <c r="AA74" s="927"/>
      <c r="AB74" s="769"/>
      <c r="AC74" s="769"/>
      <c r="AD74" s="769"/>
      <c r="AE74" s="769"/>
      <c r="AF74" s="769"/>
      <c r="AG74" s="769"/>
      <c r="AH74" s="927"/>
      <c r="AI74" s="927"/>
      <c r="AJ74" s="927"/>
      <c r="AK74" s="927"/>
    </row>
    <row r="75" ht="14.25" spans="1:37">
      <c r="A75" s="784" t="s">
        <v>1923</v>
      </c>
      <c r="B75" s="795">
        <f>估价对象房地状况!C24</f>
        <v>0</v>
      </c>
      <c r="C75" s="655"/>
      <c r="D75" s="790">
        <f t="shared" si="18"/>
        <v>0</v>
      </c>
      <c r="E75" s="932"/>
      <c r="F75" s="792"/>
      <c r="G75" s="793"/>
      <c r="H75" s="794" t="str">
        <f t="shared" si="19"/>
        <v>——</v>
      </c>
      <c r="I75" s="897">
        <v>0.05</v>
      </c>
      <c r="J75" s="898">
        <f t="shared" si="20"/>
        <v>0</v>
      </c>
      <c r="K75" s="898">
        <f t="shared" si="21"/>
        <v>0</v>
      </c>
      <c r="L75" s="898">
        <v>0</v>
      </c>
      <c r="M75" s="898">
        <f t="shared" si="22"/>
        <v>0</v>
      </c>
      <c r="N75" s="898">
        <f t="shared" si="22"/>
        <v>0</v>
      </c>
      <c r="O75" s="585"/>
      <c r="P75" s="585"/>
      <c r="Q75" s="586"/>
      <c r="Z75" s="589"/>
      <c r="AA75" s="587"/>
      <c r="AG75" s="591"/>
      <c r="AK75" s="587"/>
    </row>
    <row r="76" ht="24" spans="1:37">
      <c r="A76" s="784" t="s">
        <v>1914</v>
      </c>
      <c r="B76" s="801" t="str">
        <f>估价对象房地状况!C21</f>
        <v>估价对象所在区域公共配套设施齐备情况</v>
      </c>
      <c r="C76" s="655"/>
      <c r="D76" s="790">
        <f t="shared" si="18"/>
        <v>0</v>
      </c>
      <c r="E76" s="932"/>
      <c r="F76" s="792"/>
      <c r="G76" s="793"/>
      <c r="H76" s="794" t="str">
        <f t="shared" si="19"/>
        <v>——</v>
      </c>
      <c r="I76" s="897">
        <v>0.08</v>
      </c>
      <c r="J76" s="898">
        <f t="shared" si="20"/>
        <v>0</v>
      </c>
      <c r="K76" s="898">
        <f t="shared" si="21"/>
        <v>0</v>
      </c>
      <c r="L76" s="898">
        <v>0</v>
      </c>
      <c r="M76" s="898">
        <f t="shared" si="22"/>
        <v>0</v>
      </c>
      <c r="N76" s="898">
        <f t="shared" si="22"/>
        <v>0</v>
      </c>
      <c r="O76" s="585"/>
      <c r="P76" s="585"/>
      <c r="Z76" s="589"/>
      <c r="AA76" s="587"/>
      <c r="AG76" s="591"/>
      <c r="AK76" s="587"/>
    </row>
    <row r="77" ht="24" spans="1:37">
      <c r="A77" s="784" t="s">
        <v>1915</v>
      </c>
      <c r="B77" s="801" t="str">
        <f>估价对象房地状况!C22</f>
        <v>估价对象所在区域基础设施水平</v>
      </c>
      <c r="C77" s="655"/>
      <c r="D77" s="790">
        <f t="shared" si="18"/>
        <v>0</v>
      </c>
      <c r="E77" s="932"/>
      <c r="F77" s="792"/>
      <c r="G77" s="793"/>
      <c r="H77" s="794" t="str">
        <f t="shared" si="19"/>
        <v>——</v>
      </c>
      <c r="I77" s="897">
        <v>0.09</v>
      </c>
      <c r="J77" s="898">
        <f t="shared" si="20"/>
        <v>0</v>
      </c>
      <c r="K77" s="898">
        <f t="shared" si="21"/>
        <v>0</v>
      </c>
      <c r="L77" s="898">
        <v>0</v>
      </c>
      <c r="M77" s="898">
        <f t="shared" si="22"/>
        <v>0</v>
      </c>
      <c r="N77" s="898">
        <f t="shared" si="22"/>
        <v>0</v>
      </c>
      <c r="O77" s="585"/>
      <c r="P77" s="585"/>
      <c r="Z77" s="589"/>
      <c r="AA77" s="587"/>
      <c r="AG77" s="591"/>
      <c r="AK77" s="587"/>
    </row>
    <row r="78" ht="24" spans="1:37">
      <c r="A78" s="784" t="s">
        <v>1912</v>
      </c>
      <c r="B78" s="799" t="s">
        <v>1913</v>
      </c>
      <c r="C78" s="655"/>
      <c r="D78" s="790">
        <f t="shared" si="18"/>
        <v>0</v>
      </c>
      <c r="E78" s="932"/>
      <c r="F78" s="792"/>
      <c r="G78" s="793"/>
      <c r="H78" s="794" t="str">
        <f t="shared" si="19"/>
        <v>——</v>
      </c>
      <c r="I78" s="897">
        <v>0.05</v>
      </c>
      <c r="J78" s="898">
        <f t="shared" si="20"/>
        <v>0</v>
      </c>
      <c r="K78" s="898">
        <f t="shared" si="21"/>
        <v>0</v>
      </c>
      <c r="L78" s="898">
        <v>0</v>
      </c>
      <c r="M78" s="898">
        <f t="shared" si="22"/>
        <v>0</v>
      </c>
      <c r="N78" s="898">
        <f t="shared" si="22"/>
        <v>0</v>
      </c>
      <c r="O78" s="586"/>
      <c r="P78" s="586"/>
      <c r="Z78" s="589"/>
      <c r="AA78" s="587"/>
      <c r="AG78" s="591"/>
      <c r="AK78" s="587"/>
    </row>
    <row r="79" ht="24" spans="1:37">
      <c r="A79" s="784" t="s">
        <v>1916</v>
      </c>
      <c r="B79" s="789" t="str">
        <f>估价对象房地状况!C20</f>
        <v>区域自然环境：；人文环境；综合评价环境状况一般</v>
      </c>
      <c r="C79" s="655"/>
      <c r="D79" s="790">
        <f t="shared" si="18"/>
        <v>0</v>
      </c>
      <c r="E79" s="932"/>
      <c r="F79" s="792"/>
      <c r="G79" s="793"/>
      <c r="H79" s="794" t="str">
        <f t="shared" si="19"/>
        <v>——</v>
      </c>
      <c r="I79" s="897">
        <v>0.12</v>
      </c>
      <c r="J79" s="898">
        <f t="shared" si="20"/>
        <v>0</v>
      </c>
      <c r="K79" s="898">
        <f t="shared" si="21"/>
        <v>0</v>
      </c>
      <c r="L79" s="898">
        <v>0</v>
      </c>
      <c r="M79" s="898">
        <f t="shared" si="22"/>
        <v>0</v>
      </c>
      <c r="N79" s="898">
        <f t="shared" si="22"/>
        <v>0</v>
      </c>
      <c r="Z79" s="589"/>
      <c r="AA79" s="587"/>
      <c r="AG79" s="591"/>
      <c r="AK79" s="587"/>
    </row>
    <row r="80" ht="24.75" spans="1:37">
      <c r="A80" s="802" t="s">
        <v>1924</v>
      </c>
      <c r="B80" s="933"/>
      <c r="C80" s="655"/>
      <c r="D80" s="790">
        <f t="shared" si="18"/>
        <v>0</v>
      </c>
      <c r="E80" s="934"/>
      <c r="F80" s="792"/>
      <c r="G80" s="793"/>
      <c r="H80" s="794" t="str">
        <f t="shared" si="19"/>
        <v>——</v>
      </c>
      <c r="I80" s="899">
        <v>0.05</v>
      </c>
      <c r="J80" s="898">
        <f t="shared" si="20"/>
        <v>0</v>
      </c>
      <c r="K80" s="898">
        <f t="shared" si="21"/>
        <v>0</v>
      </c>
      <c r="L80" s="898">
        <v>0</v>
      </c>
      <c r="M80" s="898">
        <f t="shared" si="22"/>
        <v>0</v>
      </c>
      <c r="N80" s="898">
        <f t="shared" si="22"/>
        <v>0</v>
      </c>
      <c r="Z80" s="589"/>
      <c r="AA80" s="587"/>
      <c r="AG80" s="591"/>
      <c r="AK80" s="587"/>
    </row>
    <row r="81" ht="15" spans="1:37">
      <c r="A81" s="778" t="s">
        <v>1925</v>
      </c>
      <c r="B81" s="779">
        <f>1+E83</f>
        <v>1</v>
      </c>
      <c r="C81" s="781"/>
      <c r="D81" s="781"/>
      <c r="E81" s="782"/>
      <c r="F81" s="783"/>
      <c r="G81" s="777"/>
      <c r="H81" s="777"/>
      <c r="I81" s="777"/>
      <c r="J81" s="776"/>
      <c r="K81" s="776"/>
      <c r="L81" s="776"/>
      <c r="M81" s="776"/>
      <c r="N81" s="776"/>
      <c r="Z81" s="589"/>
      <c r="AA81" s="587"/>
      <c r="AG81" s="591"/>
      <c r="AK81" s="587"/>
    </row>
    <row r="82" ht="24.75" spans="1:37">
      <c r="A82" s="784" t="s">
        <v>1898</v>
      </c>
      <c r="B82" s="785"/>
      <c r="C82" s="785" t="s">
        <v>1900</v>
      </c>
      <c r="D82" s="785" t="s">
        <v>1901</v>
      </c>
      <c r="E82" s="786" t="s">
        <v>1902</v>
      </c>
      <c r="F82" s="787" t="s">
        <v>1918</v>
      </c>
      <c r="G82" s="785" t="s">
        <v>1722</v>
      </c>
      <c r="H82" s="788" t="s">
        <v>1904</v>
      </c>
      <c r="I82" s="785" t="s">
        <v>1905</v>
      </c>
      <c r="J82" s="896" t="s">
        <v>1212</v>
      </c>
      <c r="K82" s="896" t="s">
        <v>1213</v>
      </c>
      <c r="L82" s="896" t="s">
        <v>1214</v>
      </c>
      <c r="M82" s="896" t="s">
        <v>1215</v>
      </c>
      <c r="N82" s="896" t="s">
        <v>1216</v>
      </c>
      <c r="Z82" s="589"/>
      <c r="AA82" s="587"/>
      <c r="AG82" s="591"/>
      <c r="AK82" s="587"/>
    </row>
    <row r="83" ht="38.25" spans="1:37">
      <c r="A83" s="784" t="s">
        <v>1926</v>
      </c>
      <c r="B83" s="795" t="str">
        <f>估价对象房地状况!G15</f>
        <v>估价对象位于XX开发区，园区建设成熟度XX，产业集聚程度XX</v>
      </c>
      <c r="C83" s="655"/>
      <c r="D83" s="790">
        <f t="shared" ref="D83:D90" si="23">SUMIF($J$82:$N$82,C83,J83:N83)</f>
        <v>0</v>
      </c>
      <c r="E83" s="791">
        <f>ROUND(SUM(D83:D90),4)</f>
        <v>0</v>
      </c>
      <c r="F83" s="792" t="str">
        <f>IF(E2="工业",SUMIF(L1:L12,G2,N1:N12),"——")</f>
        <v>——</v>
      </c>
      <c r="G83" s="793"/>
      <c r="H83" s="794" t="str">
        <f t="shared" ref="H83:H90" si="24">IFERROR(ROUNDDOWN($F$83*I83/2,4),"——")</f>
        <v>——</v>
      </c>
      <c r="I83" s="897">
        <v>0.26</v>
      </c>
      <c r="J83" s="898">
        <f t="shared" ref="J83:J90" si="25">K83+$G83</f>
        <v>0</v>
      </c>
      <c r="K83" s="898">
        <f t="shared" ref="K83:K90" si="26">$L83+$G83</f>
        <v>0</v>
      </c>
      <c r="L83" s="898">
        <v>0</v>
      </c>
      <c r="M83" s="898">
        <f t="shared" ref="M83:N90" si="27">L83-$G83</f>
        <v>0</v>
      </c>
      <c r="N83" s="898">
        <f t="shared" si="27"/>
        <v>0</v>
      </c>
      <c r="Z83" s="589"/>
      <c r="AA83" s="587"/>
      <c r="AG83" s="591"/>
      <c r="AK83" s="587"/>
    </row>
    <row r="84" ht="36" spans="1:37">
      <c r="A84" s="784" t="s">
        <v>1907</v>
      </c>
      <c r="B84" s="795" t="str">
        <f>估价对象房地状况!G16</f>
        <v>估价对象周边道路状况、公共交通通达情况、停车便捷程度，综合评价交通便捷度较好</v>
      </c>
      <c r="C84" s="655"/>
      <c r="D84" s="790">
        <f t="shared" si="23"/>
        <v>0</v>
      </c>
      <c r="E84" s="932"/>
      <c r="F84" s="792"/>
      <c r="G84" s="793"/>
      <c r="H84" s="794" t="str">
        <f t="shared" si="24"/>
        <v>——</v>
      </c>
      <c r="I84" s="897">
        <v>0.3</v>
      </c>
      <c r="J84" s="898">
        <f t="shared" si="25"/>
        <v>0</v>
      </c>
      <c r="K84" s="898">
        <f t="shared" si="26"/>
        <v>0</v>
      </c>
      <c r="L84" s="898">
        <v>0</v>
      </c>
      <c r="M84" s="898">
        <f t="shared" si="27"/>
        <v>0</v>
      </c>
      <c r="N84" s="898">
        <f t="shared" si="27"/>
        <v>0</v>
      </c>
      <c r="Z84" s="589"/>
      <c r="AA84" s="587"/>
      <c r="AG84" s="591"/>
      <c r="AK84" s="587"/>
    </row>
    <row r="85" ht="36" spans="1:37">
      <c r="A85" s="797" t="s">
        <v>1908</v>
      </c>
      <c r="B85" s="795">
        <f>估价对象房地状况!G17</f>
        <v>0</v>
      </c>
      <c r="C85" s="655"/>
      <c r="D85" s="790">
        <f t="shared" si="23"/>
        <v>0</v>
      </c>
      <c r="E85" s="932"/>
      <c r="F85" s="792"/>
      <c r="G85" s="793"/>
      <c r="H85" s="794" t="str">
        <f t="shared" si="24"/>
        <v>——</v>
      </c>
      <c r="I85" s="897">
        <v>0.1</v>
      </c>
      <c r="J85" s="898">
        <f t="shared" si="25"/>
        <v>0</v>
      </c>
      <c r="K85" s="898">
        <f t="shared" si="26"/>
        <v>0</v>
      </c>
      <c r="L85" s="898">
        <v>0</v>
      </c>
      <c r="M85" s="898">
        <f t="shared" si="27"/>
        <v>0</v>
      </c>
      <c r="N85" s="898">
        <f t="shared" si="27"/>
        <v>0</v>
      </c>
      <c r="Z85" s="589"/>
      <c r="AA85" s="587"/>
      <c r="AG85" s="591"/>
      <c r="AK85" s="587"/>
    </row>
    <row r="86" ht="14.25" spans="1:37">
      <c r="A86" s="784" t="s">
        <v>1923</v>
      </c>
      <c r="B86" s="795">
        <f>估价对象房地状况!G22</f>
        <v>0</v>
      </c>
      <c r="C86" s="655"/>
      <c r="D86" s="790">
        <f t="shared" si="23"/>
        <v>0</v>
      </c>
      <c r="E86" s="932"/>
      <c r="F86" s="792"/>
      <c r="G86" s="793"/>
      <c r="H86" s="794" t="str">
        <f t="shared" si="24"/>
        <v>——</v>
      </c>
      <c r="I86" s="897">
        <v>0.05</v>
      </c>
      <c r="J86" s="898">
        <f t="shared" si="25"/>
        <v>0</v>
      </c>
      <c r="K86" s="898">
        <f t="shared" si="26"/>
        <v>0</v>
      </c>
      <c r="L86" s="898">
        <v>0</v>
      </c>
      <c r="M86" s="898">
        <f t="shared" si="27"/>
        <v>0</v>
      </c>
      <c r="N86" s="898">
        <f t="shared" si="27"/>
        <v>0</v>
      </c>
      <c r="Z86" s="589"/>
      <c r="AA86" s="587"/>
      <c r="AG86" s="591"/>
      <c r="AK86" s="587"/>
    </row>
    <row r="87" ht="24" spans="1:14">
      <c r="A87" s="784" t="s">
        <v>1914</v>
      </c>
      <c r="B87" s="801" t="str">
        <f>估价对象房地状况!G19</f>
        <v>估价对象所在区域公共配套设施齐备情况</v>
      </c>
      <c r="C87" s="655"/>
      <c r="D87" s="790">
        <f t="shared" si="23"/>
        <v>0</v>
      </c>
      <c r="E87" s="932"/>
      <c r="F87" s="792"/>
      <c r="G87" s="793"/>
      <c r="H87" s="794" t="str">
        <f t="shared" si="24"/>
        <v>——</v>
      </c>
      <c r="I87" s="897">
        <v>0.06</v>
      </c>
      <c r="J87" s="898">
        <f t="shared" si="25"/>
        <v>0</v>
      </c>
      <c r="K87" s="898">
        <f t="shared" si="26"/>
        <v>0</v>
      </c>
      <c r="L87" s="898">
        <v>0</v>
      </c>
      <c r="M87" s="898">
        <f t="shared" si="27"/>
        <v>0</v>
      </c>
      <c r="N87" s="898">
        <f t="shared" si="27"/>
        <v>0</v>
      </c>
    </row>
    <row r="88" ht="24" spans="1:14">
      <c r="A88" s="784" t="s">
        <v>1915</v>
      </c>
      <c r="B88" s="801" t="str">
        <f>估价对象房地状况!G20</f>
        <v>估价对象所在区域基础设施水平</v>
      </c>
      <c r="C88" s="655"/>
      <c r="D88" s="790">
        <f t="shared" si="23"/>
        <v>0</v>
      </c>
      <c r="E88" s="932"/>
      <c r="F88" s="792"/>
      <c r="G88" s="793"/>
      <c r="H88" s="794" t="str">
        <f t="shared" si="24"/>
        <v>——</v>
      </c>
      <c r="I88" s="897">
        <v>0.12</v>
      </c>
      <c r="J88" s="898">
        <f t="shared" si="25"/>
        <v>0</v>
      </c>
      <c r="K88" s="898">
        <f t="shared" si="26"/>
        <v>0</v>
      </c>
      <c r="L88" s="898">
        <v>0</v>
      </c>
      <c r="M88" s="898">
        <f t="shared" si="27"/>
        <v>0</v>
      </c>
      <c r="N88" s="898">
        <f t="shared" si="27"/>
        <v>0</v>
      </c>
    </row>
    <row r="89" ht="24" spans="1:14">
      <c r="A89" s="784" t="s">
        <v>1912</v>
      </c>
      <c r="B89" s="799" t="s">
        <v>1927</v>
      </c>
      <c r="C89" s="655"/>
      <c r="D89" s="790">
        <f t="shared" si="23"/>
        <v>0</v>
      </c>
      <c r="E89" s="932"/>
      <c r="F89" s="792"/>
      <c r="G89" s="793"/>
      <c r="H89" s="794" t="str">
        <f t="shared" si="24"/>
        <v>——</v>
      </c>
      <c r="I89" s="897">
        <v>0.06</v>
      </c>
      <c r="J89" s="898">
        <f t="shared" si="25"/>
        <v>0</v>
      </c>
      <c r="K89" s="898">
        <f t="shared" si="26"/>
        <v>0</v>
      </c>
      <c r="L89" s="898">
        <v>0</v>
      </c>
      <c r="M89" s="898">
        <f t="shared" si="27"/>
        <v>0</v>
      </c>
      <c r="N89" s="898">
        <f t="shared" si="27"/>
        <v>0</v>
      </c>
    </row>
    <row r="90" ht="36.75" spans="1:14">
      <c r="A90" s="802" t="s">
        <v>1928</v>
      </c>
      <c r="B90" s="935" t="str">
        <f>估价对象房地状况!G18</f>
        <v>该园区内是否有污染型企业，绿化情况，卫生条件，整体环境状况判断</v>
      </c>
      <c r="C90" s="655"/>
      <c r="D90" s="790">
        <f t="shared" si="23"/>
        <v>0</v>
      </c>
      <c r="E90" s="934"/>
      <c r="F90" s="792"/>
      <c r="G90" s="793"/>
      <c r="H90" s="794" t="str">
        <f t="shared" si="24"/>
        <v>——</v>
      </c>
      <c r="I90" s="899">
        <v>0.05</v>
      </c>
      <c r="J90" s="898">
        <f t="shared" si="25"/>
        <v>0</v>
      </c>
      <c r="K90" s="898">
        <f t="shared" si="26"/>
        <v>0</v>
      </c>
      <c r="L90" s="898">
        <v>0</v>
      </c>
      <c r="M90" s="898">
        <f t="shared" si="27"/>
        <v>0</v>
      </c>
      <c r="N90" s="898">
        <f t="shared" si="27"/>
        <v>0</v>
      </c>
    </row>
    <row r="91" ht="15" spans="1:14">
      <c r="A91" s="936" t="s">
        <v>231</v>
      </c>
      <c r="B91" s="937">
        <f>1+E93</f>
        <v>1</v>
      </c>
      <c r="C91" s="938"/>
      <c r="D91" s="939"/>
      <c r="E91" s="792"/>
      <c r="F91" s="792"/>
      <c r="G91" s="940"/>
      <c r="H91" s="941"/>
      <c r="I91" s="979"/>
      <c r="J91" s="980"/>
      <c r="K91" s="980"/>
      <c r="L91" s="980"/>
      <c r="M91" s="980"/>
      <c r="N91" s="980"/>
    </row>
    <row r="92" ht="24.75" spans="1:14">
      <c r="A92" s="942" t="s">
        <v>1898</v>
      </c>
      <c r="B92" s="943"/>
      <c r="C92" s="943" t="s">
        <v>1900</v>
      </c>
      <c r="D92" s="943" t="s">
        <v>1901</v>
      </c>
      <c r="E92" s="912" t="s">
        <v>1902</v>
      </c>
      <c r="F92" s="944" t="s">
        <v>1918</v>
      </c>
      <c r="G92" s="943" t="s">
        <v>1722</v>
      </c>
      <c r="H92" s="945" t="s">
        <v>1904</v>
      </c>
      <c r="I92" s="943" t="s">
        <v>1905</v>
      </c>
      <c r="J92" s="981" t="s">
        <v>1212</v>
      </c>
      <c r="K92" s="981" t="s">
        <v>1213</v>
      </c>
      <c r="L92" s="981" t="s">
        <v>1214</v>
      </c>
      <c r="M92" s="981" t="s">
        <v>1215</v>
      </c>
      <c r="N92" s="981" t="s">
        <v>1216</v>
      </c>
    </row>
    <row r="93" ht="24" spans="1:14">
      <c r="A93" s="797" t="s">
        <v>1929</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8">K93+$G93</f>
        <v>0</v>
      </c>
      <c r="K93" s="716">
        <f t="shared" ref="K93:K101" si="29">$L93+$G93</f>
        <v>0</v>
      </c>
      <c r="L93" s="716">
        <v>0</v>
      </c>
      <c r="M93" s="716">
        <f t="shared" ref="M93:N101" si="30">L93-$G93</f>
        <v>0</v>
      </c>
      <c r="N93" s="716">
        <f t="shared" si="30"/>
        <v>0</v>
      </c>
    </row>
    <row r="94" ht="36" spans="1:14">
      <c r="A94" s="942" t="s">
        <v>1907</v>
      </c>
      <c r="B94" s="949" t="str">
        <f>估价对象房地状况!C18</f>
        <v>估价对象周边道路状况、公共交通通达情况、停车便捷程度，综合评价交通便捷度较好</v>
      </c>
      <c r="C94" s="655"/>
      <c r="D94" s="943">
        <f t="shared" ref="D94:D101" si="31">SUMIF($J$60:$N$60,C94,J94:N94)</f>
        <v>0</v>
      </c>
      <c r="E94" s="950"/>
      <c r="F94" s="792"/>
      <c r="G94" s="940"/>
      <c r="H94" s="948" t="str">
        <f>IFERROR(ROUNDDOWN($F$93*I94/2,4),"——")</f>
        <v>——</v>
      </c>
      <c r="I94" s="897">
        <v>0.26</v>
      </c>
      <c r="J94" s="716">
        <f t="shared" si="28"/>
        <v>0</v>
      </c>
      <c r="K94" s="716">
        <f t="shared" si="29"/>
        <v>0</v>
      </c>
      <c r="L94" s="716">
        <v>0</v>
      </c>
      <c r="M94" s="716">
        <f t="shared" si="30"/>
        <v>0</v>
      </c>
      <c r="N94" s="716">
        <f t="shared" si="30"/>
        <v>0</v>
      </c>
    </row>
    <row r="95" ht="36" spans="1:14">
      <c r="A95" s="797" t="s">
        <v>1908</v>
      </c>
      <c r="B95" s="949">
        <f>估价对象房地状况!C19</f>
        <v>0</v>
      </c>
      <c r="C95" s="655"/>
      <c r="D95" s="943">
        <f t="shared" si="31"/>
        <v>0</v>
      </c>
      <c r="E95" s="950"/>
      <c r="F95" s="792"/>
      <c r="G95" s="940"/>
      <c r="H95" s="948" t="str">
        <f t="shared" ref="H95:H101" si="32">IFERROR(ROUNDDOWN($F$93*I95/2,4),"——")</f>
        <v>——</v>
      </c>
      <c r="I95" s="897">
        <v>0.11</v>
      </c>
      <c r="J95" s="716">
        <f t="shared" si="28"/>
        <v>0</v>
      </c>
      <c r="K95" s="716">
        <f t="shared" si="29"/>
        <v>0</v>
      </c>
      <c r="L95" s="716">
        <v>0</v>
      </c>
      <c r="M95" s="716">
        <f t="shared" si="30"/>
        <v>0</v>
      </c>
      <c r="N95" s="716">
        <f t="shared" si="30"/>
        <v>0</v>
      </c>
    </row>
    <row r="96" ht="36.75" spans="1:14">
      <c r="A96" s="942" t="s">
        <v>1909</v>
      </c>
      <c r="B96" s="951" t="s">
        <v>1910</v>
      </c>
      <c r="C96" s="655"/>
      <c r="D96" s="943">
        <f t="shared" si="31"/>
        <v>0</v>
      </c>
      <c r="E96" s="950"/>
      <c r="F96" s="792"/>
      <c r="G96" s="940"/>
      <c r="H96" s="948" t="str">
        <f t="shared" si="32"/>
        <v>——</v>
      </c>
      <c r="I96" s="897">
        <v>0.05</v>
      </c>
      <c r="J96" s="716">
        <f t="shared" si="28"/>
        <v>0</v>
      </c>
      <c r="K96" s="716">
        <f t="shared" si="29"/>
        <v>0</v>
      </c>
      <c r="L96" s="716">
        <v>0</v>
      </c>
      <c r="M96" s="716">
        <f t="shared" si="30"/>
        <v>0</v>
      </c>
      <c r="N96" s="716">
        <f t="shared" si="30"/>
        <v>0</v>
      </c>
    </row>
    <row r="97" ht="24" spans="1:14">
      <c r="A97" s="942" t="s">
        <v>1911</v>
      </c>
      <c r="B97" s="949">
        <f>估价对象房地状况!C24</f>
        <v>0</v>
      </c>
      <c r="C97" s="655"/>
      <c r="D97" s="943">
        <f t="shared" si="31"/>
        <v>0</v>
      </c>
      <c r="E97" s="950"/>
      <c r="F97" s="792"/>
      <c r="G97" s="940"/>
      <c r="H97" s="948" t="str">
        <f t="shared" si="32"/>
        <v>——</v>
      </c>
      <c r="I97" s="897">
        <v>0.05</v>
      </c>
      <c r="J97" s="716">
        <f t="shared" si="28"/>
        <v>0</v>
      </c>
      <c r="K97" s="716">
        <f t="shared" si="29"/>
        <v>0</v>
      </c>
      <c r="L97" s="716">
        <v>0</v>
      </c>
      <c r="M97" s="716">
        <f t="shared" si="30"/>
        <v>0</v>
      </c>
      <c r="N97" s="716">
        <f t="shared" si="30"/>
        <v>0</v>
      </c>
    </row>
    <row r="98" ht="24" spans="1:14">
      <c r="A98" s="942" t="s">
        <v>1912</v>
      </c>
      <c r="B98" s="952" t="s">
        <v>1913</v>
      </c>
      <c r="C98" s="655"/>
      <c r="D98" s="943">
        <f t="shared" si="31"/>
        <v>0</v>
      </c>
      <c r="E98" s="950"/>
      <c r="F98" s="792"/>
      <c r="G98" s="940"/>
      <c r="H98" s="948" t="str">
        <f t="shared" si="32"/>
        <v>——</v>
      </c>
      <c r="I98" s="897">
        <v>0.06</v>
      </c>
      <c r="J98" s="716">
        <f t="shared" si="28"/>
        <v>0</v>
      </c>
      <c r="K98" s="716">
        <f t="shared" si="29"/>
        <v>0</v>
      </c>
      <c r="L98" s="716">
        <v>0</v>
      </c>
      <c r="M98" s="716">
        <f t="shared" si="30"/>
        <v>0</v>
      </c>
      <c r="N98" s="716">
        <f t="shared" si="30"/>
        <v>0</v>
      </c>
    </row>
    <row r="99" ht="24" spans="1:14">
      <c r="A99" s="942" t="s">
        <v>1914</v>
      </c>
      <c r="B99" s="949" t="str">
        <f>估价对象房地状况!C21</f>
        <v>估价对象所在区域公共配套设施齐备情况</v>
      </c>
      <c r="C99" s="655"/>
      <c r="D99" s="943">
        <f t="shared" si="31"/>
        <v>0</v>
      </c>
      <c r="E99" s="950"/>
      <c r="F99" s="792"/>
      <c r="G99" s="940"/>
      <c r="H99" s="948" t="str">
        <f t="shared" si="32"/>
        <v>——</v>
      </c>
      <c r="I99" s="897">
        <v>0.06</v>
      </c>
      <c r="J99" s="716">
        <f t="shared" si="28"/>
        <v>0</v>
      </c>
      <c r="K99" s="716">
        <f t="shared" si="29"/>
        <v>0</v>
      </c>
      <c r="L99" s="716">
        <v>0</v>
      </c>
      <c r="M99" s="716">
        <f t="shared" si="30"/>
        <v>0</v>
      </c>
      <c r="N99" s="716">
        <f t="shared" si="30"/>
        <v>0</v>
      </c>
    </row>
    <row r="100" ht="24" spans="1:14">
      <c r="A100" s="942" t="s">
        <v>1915</v>
      </c>
      <c r="B100" s="949" t="str">
        <f>估价对象房地状况!C22</f>
        <v>估价对象所在区域基础设施水平</v>
      </c>
      <c r="C100" s="655"/>
      <c r="D100" s="943">
        <f t="shared" si="31"/>
        <v>0</v>
      </c>
      <c r="E100" s="950"/>
      <c r="F100" s="792"/>
      <c r="G100" s="940"/>
      <c r="H100" s="948" t="str">
        <f t="shared" si="32"/>
        <v>——</v>
      </c>
      <c r="I100" s="897">
        <v>0.09</v>
      </c>
      <c r="J100" s="716">
        <f t="shared" si="28"/>
        <v>0</v>
      </c>
      <c r="K100" s="716">
        <f t="shared" si="29"/>
        <v>0</v>
      </c>
      <c r="L100" s="716">
        <v>0</v>
      </c>
      <c r="M100" s="716">
        <f t="shared" si="30"/>
        <v>0</v>
      </c>
      <c r="N100" s="716">
        <f t="shared" si="30"/>
        <v>0</v>
      </c>
    </row>
    <row r="101" ht="24.75" spans="1:14">
      <c r="A101" s="953" t="s">
        <v>1916</v>
      </c>
      <c r="B101" s="954" t="str">
        <f>估价对象房地状况!C20</f>
        <v>区域自然环境：；人文环境；综合评价环境状况一般</v>
      </c>
      <c r="C101" s="655"/>
      <c r="D101" s="943">
        <f t="shared" si="31"/>
        <v>0</v>
      </c>
      <c r="E101" s="955"/>
      <c r="F101" s="792"/>
      <c r="G101" s="940"/>
      <c r="H101" s="948" t="str">
        <f t="shared" si="32"/>
        <v>——</v>
      </c>
      <c r="I101" s="899">
        <v>0.07</v>
      </c>
      <c r="J101" s="716">
        <f t="shared" si="28"/>
        <v>0</v>
      </c>
      <c r="K101" s="716">
        <f t="shared" si="29"/>
        <v>0</v>
      </c>
      <c r="L101" s="716">
        <v>0</v>
      </c>
      <c r="M101" s="716">
        <f t="shared" si="30"/>
        <v>0</v>
      </c>
      <c r="N101" s="716">
        <f t="shared" si="30"/>
        <v>0</v>
      </c>
    </row>
    <row r="103" spans="1:14">
      <c r="A103" s="956" t="s">
        <v>1930</v>
      </c>
      <c r="B103" s="956"/>
      <c r="C103" s="956"/>
      <c r="D103" s="956"/>
      <c r="E103" s="956"/>
      <c r="F103" s="956"/>
      <c r="G103" s="956"/>
      <c r="H103" s="956"/>
      <c r="I103" s="956"/>
      <c r="J103" s="956"/>
      <c r="K103" s="956"/>
      <c r="L103" s="956"/>
      <c r="M103" s="956"/>
      <c r="N103" s="956"/>
    </row>
    <row r="104" spans="1:14">
      <c r="A104" s="957" t="s">
        <v>1931</v>
      </c>
      <c r="B104" s="957" t="s">
        <v>1932</v>
      </c>
      <c r="C104" s="958" t="s">
        <v>1933</v>
      </c>
      <c r="D104" s="959"/>
      <c r="E104" s="959"/>
      <c r="F104" s="959"/>
      <c r="G104" s="959"/>
      <c r="H104" s="959"/>
      <c r="I104" s="959"/>
      <c r="J104" s="982"/>
      <c r="K104" s="983"/>
      <c r="L104" s="983"/>
      <c r="M104" s="983"/>
      <c r="N104" s="983"/>
    </row>
    <row r="105" spans="1:14">
      <c r="A105" s="957"/>
      <c r="B105" s="957"/>
      <c r="C105" s="957" t="s">
        <v>1780</v>
      </c>
      <c r="D105" s="957" t="s">
        <v>1781</v>
      </c>
      <c r="E105" s="957" t="s">
        <v>1782</v>
      </c>
      <c r="F105" s="957" t="s">
        <v>1783</v>
      </c>
      <c r="G105" s="957" t="s">
        <v>1784</v>
      </c>
      <c r="H105" s="957" t="s">
        <v>1785</v>
      </c>
      <c r="I105" s="957" t="s">
        <v>1786</v>
      </c>
      <c r="J105" s="957" t="s">
        <v>1787</v>
      </c>
      <c r="K105" s="957" t="s">
        <v>1788</v>
      </c>
      <c r="L105" s="957" t="s">
        <v>1789</v>
      </c>
      <c r="M105" s="957" t="s">
        <v>1790</v>
      </c>
      <c r="N105" s="957" t="s">
        <v>1791</v>
      </c>
    </row>
    <row r="106" spans="1:14">
      <c r="A106" s="960" t="s">
        <v>1934</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1796</v>
      </c>
      <c r="C111" s="962">
        <f>$I$3</f>
        <v>0</v>
      </c>
      <c r="D111" s="962">
        <f t="shared" ref="D111:N111" si="33">$I$3</f>
        <v>0</v>
      </c>
      <c r="E111" s="962">
        <f t="shared" si="33"/>
        <v>0</v>
      </c>
      <c r="F111" s="962">
        <f t="shared" si="33"/>
        <v>0</v>
      </c>
      <c r="G111" s="962">
        <f t="shared" si="33"/>
        <v>0</v>
      </c>
      <c r="H111" s="962">
        <f t="shared" si="33"/>
        <v>0</v>
      </c>
      <c r="I111" s="962">
        <f t="shared" si="33"/>
        <v>0</v>
      </c>
      <c r="J111" s="962">
        <f t="shared" si="33"/>
        <v>0</v>
      </c>
      <c r="K111" s="962">
        <f t="shared" si="33"/>
        <v>0</v>
      </c>
      <c r="L111" s="962">
        <f t="shared" si="33"/>
        <v>0</v>
      </c>
      <c r="M111" s="962">
        <f t="shared" si="33"/>
        <v>0</v>
      </c>
      <c r="N111" s="962">
        <f t="shared" si="33"/>
        <v>0</v>
      </c>
    </row>
    <row r="112" spans="1:14">
      <c r="A112" s="963"/>
      <c r="B112" s="957">
        <v>6</v>
      </c>
      <c r="C112" s="945">
        <f>(-0.5556*(C111^2)-0.2719*C111+8944)*(10^(-4))</f>
        <v>0.8944</v>
      </c>
      <c r="D112" s="945">
        <f>(-0.5556*(D111^2)-0.2719*D111+8944)*(10^(-4))</f>
        <v>0.8944</v>
      </c>
      <c r="E112" s="945">
        <f>(-0.7912*(E111^2)-11.3794*E111+8482)*(10^(-4))</f>
        <v>0.8482</v>
      </c>
      <c r="F112" s="945">
        <f t="shared" ref="F112:I112" si="34">(-0.7912*(F111^2)-11.3794*F111+8482)*(10^(-4))</f>
        <v>0.8482</v>
      </c>
      <c r="G112" s="945">
        <f t="shared" si="34"/>
        <v>0.8482</v>
      </c>
      <c r="H112" s="945">
        <f t="shared" si="34"/>
        <v>0.8482</v>
      </c>
      <c r="I112" s="945">
        <f t="shared" si="34"/>
        <v>0.8482</v>
      </c>
      <c r="J112" s="945">
        <f>(-0.989*(J111^2)-63.78*J111+7771)*(10^(-4))</f>
        <v>0.7771</v>
      </c>
      <c r="K112" s="945">
        <f t="shared" ref="K112:N112" si="35">(-0.989*(K111^2)-63.78*K111+7771)*(10^(-4))</f>
        <v>0.7771</v>
      </c>
      <c r="L112" s="945">
        <f t="shared" si="35"/>
        <v>0.7771</v>
      </c>
      <c r="M112" s="945">
        <f t="shared" si="35"/>
        <v>0.7771</v>
      </c>
      <c r="N112" s="945">
        <f t="shared" si="35"/>
        <v>0.7771</v>
      </c>
    </row>
    <row r="113" spans="1:14">
      <c r="A113" s="964" t="s">
        <v>1935</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1936</v>
      </c>
      <c r="B116" s="967">
        <f>G3</f>
        <v>2.5</v>
      </c>
      <c r="C116" s="968" t="s">
        <v>1937</v>
      </c>
      <c r="D116" s="969">
        <f>SUMPRODUCT((A118:A122=F116)*(B117:M117=H116)*B118:M122)</f>
        <v>0.906</v>
      </c>
      <c r="E116" s="595" t="s">
        <v>1755</v>
      </c>
      <c r="F116" s="970" t="str">
        <f>E2</f>
        <v>办公</v>
      </c>
      <c r="G116" s="595" t="s">
        <v>1756</v>
      </c>
      <c r="H116" s="970" t="str">
        <f>G2</f>
        <v>四级</v>
      </c>
      <c r="I116" s="595"/>
      <c r="J116" s="984"/>
      <c r="K116" s="984"/>
      <c r="L116" s="984"/>
      <c r="M116" s="984"/>
      <c r="N116" s="965"/>
    </row>
    <row r="117" spans="1:14">
      <c r="A117" s="971"/>
      <c r="B117" s="972" t="s">
        <v>1938</v>
      </c>
      <c r="C117" s="972" t="s">
        <v>1939</v>
      </c>
      <c r="D117" s="972" t="s">
        <v>1940</v>
      </c>
      <c r="E117" s="973" t="s">
        <v>1941</v>
      </c>
      <c r="F117" s="973" t="s">
        <v>1942</v>
      </c>
      <c r="G117" s="973" t="s">
        <v>1943</v>
      </c>
      <c r="H117" s="974" t="s">
        <v>1944</v>
      </c>
      <c r="I117" s="974" t="s">
        <v>1945</v>
      </c>
      <c r="J117" s="985" t="s">
        <v>1946</v>
      </c>
      <c r="K117" s="985" t="s">
        <v>1947</v>
      </c>
      <c r="L117" s="985" t="s">
        <v>1948</v>
      </c>
      <c r="M117" s="986" t="s">
        <v>1949</v>
      </c>
      <c r="N117" s="965"/>
    </row>
    <row r="118" spans="1:14">
      <c r="A118" s="975" t="s">
        <v>1867</v>
      </c>
      <c r="B118" s="945">
        <f>ROUND(0.9968-0.011*B116,4)</f>
        <v>0.9693</v>
      </c>
      <c r="C118" s="945">
        <f>B118</f>
        <v>0.9693</v>
      </c>
      <c r="D118" s="945">
        <f>ROUND(0.949-0.014*B116,4)</f>
        <v>0.914</v>
      </c>
      <c r="E118" s="945">
        <f>D118</f>
        <v>0.914</v>
      </c>
      <c r="F118" s="945">
        <f>E118</f>
        <v>0.914</v>
      </c>
      <c r="G118" s="945">
        <f>F118</f>
        <v>0.914</v>
      </c>
      <c r="H118" s="945">
        <f>G118</f>
        <v>0.914</v>
      </c>
      <c r="I118" s="945">
        <f>ROUND(0.8486-0.018*B116,4)</f>
        <v>0.8036</v>
      </c>
      <c r="J118" s="945">
        <f t="shared" ref="J118:M122" si="36">I118</f>
        <v>0.8036</v>
      </c>
      <c r="K118" s="945">
        <f t="shared" si="36"/>
        <v>0.8036</v>
      </c>
      <c r="L118" s="945">
        <f t="shared" si="36"/>
        <v>0.8036</v>
      </c>
      <c r="M118" s="987">
        <f t="shared" si="36"/>
        <v>0.8036</v>
      </c>
      <c r="N118" s="965"/>
    </row>
    <row r="119" spans="1:14">
      <c r="A119" s="975" t="s">
        <v>1868</v>
      </c>
      <c r="B119" s="945">
        <f>ROUND(0.993-0.0112*B116,4)</f>
        <v>0.965</v>
      </c>
      <c r="C119" s="945">
        <f>B119</f>
        <v>0.965</v>
      </c>
      <c r="D119" s="945">
        <f>ROUND(0.9415-0.0142*B116,4)</f>
        <v>0.906</v>
      </c>
      <c r="E119" s="945">
        <f t="shared" ref="E119:H120" si="37">D119</f>
        <v>0.906</v>
      </c>
      <c r="F119" s="945">
        <f t="shared" si="37"/>
        <v>0.906</v>
      </c>
      <c r="G119" s="945">
        <f t="shared" si="37"/>
        <v>0.906</v>
      </c>
      <c r="H119" s="945">
        <f t="shared" si="37"/>
        <v>0.906</v>
      </c>
      <c r="I119" s="945">
        <f>ROUND(0.838-0.0182*B116,4)</f>
        <v>0.7925</v>
      </c>
      <c r="J119" s="945">
        <f t="shared" si="36"/>
        <v>0.7925</v>
      </c>
      <c r="K119" s="945">
        <f t="shared" si="36"/>
        <v>0.7925</v>
      </c>
      <c r="L119" s="945">
        <f t="shared" si="36"/>
        <v>0.7925</v>
      </c>
      <c r="M119" s="987">
        <f t="shared" si="36"/>
        <v>0.7925</v>
      </c>
      <c r="N119" s="965"/>
    </row>
    <row r="120" spans="1:14">
      <c r="A120" s="975" t="s">
        <v>1869</v>
      </c>
      <c r="B120" s="945">
        <f>ROUND(0.9448-0.0115*B116,4)</f>
        <v>0.9161</v>
      </c>
      <c r="C120" s="945">
        <f>B120</f>
        <v>0.9161</v>
      </c>
      <c r="D120" s="945">
        <f>ROUND(0.937-0.0145*B116,4)</f>
        <v>0.9008</v>
      </c>
      <c r="E120" s="945">
        <f t="shared" si="37"/>
        <v>0.9008</v>
      </c>
      <c r="F120" s="945">
        <f t="shared" si="37"/>
        <v>0.9008</v>
      </c>
      <c r="G120" s="945">
        <f t="shared" si="37"/>
        <v>0.9008</v>
      </c>
      <c r="H120" s="945">
        <f t="shared" si="37"/>
        <v>0.9008</v>
      </c>
      <c r="I120" s="945">
        <f>ROUND(0.7965-0.0185*B116,4)</f>
        <v>0.7503</v>
      </c>
      <c r="J120" s="945">
        <f t="shared" si="36"/>
        <v>0.7503</v>
      </c>
      <c r="K120" s="945">
        <f t="shared" si="36"/>
        <v>0.7503</v>
      </c>
      <c r="L120" s="945">
        <f t="shared" si="36"/>
        <v>0.7503</v>
      </c>
      <c r="M120" s="987">
        <f t="shared" si="36"/>
        <v>0.7503</v>
      </c>
      <c r="N120" s="965"/>
    </row>
    <row r="121" ht="13.5" spans="1:14">
      <c r="A121" s="976" t="s">
        <v>1870</v>
      </c>
      <c r="B121" s="977">
        <f>ROUND(0.7836-0.012*B116,4)</f>
        <v>0.7536</v>
      </c>
      <c r="C121" s="977">
        <f>B121</f>
        <v>0.7536</v>
      </c>
      <c r="D121" s="977">
        <f>ROUND(0.753-0.015*B116,4)</f>
        <v>0.7155</v>
      </c>
      <c r="E121" s="977">
        <f>D121</f>
        <v>0.7155</v>
      </c>
      <c r="F121" s="977">
        <f>E121</f>
        <v>0.7155</v>
      </c>
      <c r="G121" s="977">
        <f>ROUND(0.6612-0.018*B116,4)</f>
        <v>0.6162</v>
      </c>
      <c r="H121" s="977">
        <f>G121</f>
        <v>0.6162</v>
      </c>
      <c r="I121" s="977">
        <f>ROUND(0.5905-0.019*B116,4)</f>
        <v>0.543</v>
      </c>
      <c r="J121" s="977">
        <f t="shared" si="36"/>
        <v>0.543</v>
      </c>
      <c r="K121" s="977">
        <f t="shared" si="36"/>
        <v>0.543</v>
      </c>
      <c r="L121" s="977">
        <f t="shared" si="36"/>
        <v>0.543</v>
      </c>
      <c r="M121" s="988">
        <f t="shared" si="36"/>
        <v>0.543</v>
      </c>
      <c r="N121" s="965"/>
    </row>
    <row r="122" spans="1:14">
      <c r="A122" s="978" t="s">
        <v>231</v>
      </c>
      <c r="B122" s="945">
        <f>ROUND(0.9404-0.0106*B116,4)</f>
        <v>0.9139</v>
      </c>
      <c r="C122" s="945">
        <f>B122</f>
        <v>0.9139</v>
      </c>
      <c r="D122" s="945">
        <f>ROUND(0.8955-0.0135*B116,4)</f>
        <v>0.8618</v>
      </c>
      <c r="E122" s="945">
        <f t="shared" ref="E122:H122" si="38">D122</f>
        <v>0.8618</v>
      </c>
      <c r="F122" s="945">
        <f t="shared" si="38"/>
        <v>0.8618</v>
      </c>
      <c r="G122" s="945">
        <f t="shared" si="38"/>
        <v>0.8618</v>
      </c>
      <c r="H122" s="945">
        <f t="shared" si="38"/>
        <v>0.8618</v>
      </c>
      <c r="I122" s="945">
        <f>ROUND(0.7632-0.0166*B116,4)</f>
        <v>0.7217</v>
      </c>
      <c r="J122" s="945">
        <f t="shared" si="36"/>
        <v>0.7217</v>
      </c>
      <c r="K122" s="945">
        <f t="shared" si="36"/>
        <v>0.7217</v>
      </c>
      <c r="L122" s="945">
        <f t="shared" si="36"/>
        <v>0.7217</v>
      </c>
      <c r="M122" s="987">
        <f t="shared" si="36"/>
        <v>0.7217</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H106" sqref="H106"/>
    </sheetView>
  </sheetViews>
  <sheetFormatPr defaultColWidth="8.875"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1832</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1950</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1951</v>
      </c>
      <c r="B18" s="526"/>
      <c r="C18" s="527"/>
      <c r="D18" s="527"/>
      <c r="E18" s="526"/>
      <c r="F18" s="527"/>
      <c r="G18" s="527"/>
    </row>
    <row r="19" customHeight="1" spans="1:7">
      <c r="A19" s="525" t="s">
        <v>1952</v>
      </c>
      <c r="B19" s="528" t="s">
        <v>1953</v>
      </c>
      <c r="C19" s="528" t="s">
        <v>1954</v>
      </c>
      <c r="D19" s="529"/>
      <c r="E19" s="525" t="s">
        <v>1955</v>
      </c>
      <c r="F19" s="530"/>
      <c r="G19" s="530"/>
    </row>
    <row r="20" customHeight="1" spans="1:7">
      <c r="A20" s="531" t="s">
        <v>229</v>
      </c>
      <c r="B20" s="532" t="s">
        <v>1956</v>
      </c>
      <c r="C20" s="532" t="s">
        <v>244</v>
      </c>
      <c r="D20" s="532"/>
      <c r="E20" s="533">
        <v>1</v>
      </c>
      <c r="F20" s="534" t="s">
        <v>1957</v>
      </c>
      <c r="G20" s="534"/>
    </row>
    <row r="21" customHeight="1" spans="1:7">
      <c r="A21" s="535"/>
      <c r="B21" s="536"/>
      <c r="C21" s="536" t="s">
        <v>259</v>
      </c>
      <c r="D21" s="536"/>
      <c r="E21" s="537">
        <v>1</v>
      </c>
      <c r="F21" s="534" t="s">
        <v>1958</v>
      </c>
      <c r="G21" s="534"/>
    </row>
    <row r="22" customHeight="1" spans="1:7">
      <c r="A22" s="535"/>
      <c r="B22" s="536"/>
      <c r="C22" s="536" t="s">
        <v>270</v>
      </c>
      <c r="D22" s="536"/>
      <c r="E22" s="537">
        <v>0.9</v>
      </c>
      <c r="F22" s="534" t="s">
        <v>1959</v>
      </c>
      <c r="G22" s="534"/>
    </row>
    <row r="23" customHeight="1" spans="1:7">
      <c r="A23" s="535"/>
      <c r="B23" s="536"/>
      <c r="C23" s="536" t="s">
        <v>281</v>
      </c>
      <c r="D23" s="536"/>
      <c r="E23" s="537">
        <v>0.9</v>
      </c>
      <c r="F23" s="534" t="s">
        <v>1960</v>
      </c>
      <c r="G23" s="534"/>
    </row>
    <row r="24" customHeight="1" spans="1:7">
      <c r="A24" s="535"/>
      <c r="B24" s="536"/>
      <c r="C24" s="536" t="s">
        <v>290</v>
      </c>
      <c r="D24" s="536"/>
      <c r="E24" s="537">
        <v>0.8</v>
      </c>
      <c r="F24" s="534" t="s">
        <v>1961</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1962</v>
      </c>
      <c r="G27" s="534"/>
    </row>
    <row r="28" customHeight="1" spans="1:7">
      <c r="A28" s="544" t="s">
        <v>230</v>
      </c>
      <c r="B28" s="545" t="s">
        <v>1956</v>
      </c>
      <c r="C28" s="546" t="s">
        <v>245</v>
      </c>
      <c r="D28" s="547"/>
      <c r="E28" s="548">
        <v>1</v>
      </c>
      <c r="F28" s="534" t="s">
        <v>1963</v>
      </c>
      <c r="G28" s="534"/>
    </row>
    <row r="29" customHeight="1" spans="1:7">
      <c r="A29" s="549" t="s">
        <v>231</v>
      </c>
      <c r="B29" s="550" t="s">
        <v>231</v>
      </c>
      <c r="C29" s="551" t="s">
        <v>246</v>
      </c>
      <c r="D29" s="552"/>
      <c r="E29" s="533">
        <v>1</v>
      </c>
      <c r="F29" s="534" t="s">
        <v>1964</v>
      </c>
      <c r="G29" s="534"/>
    </row>
    <row r="30" customHeight="1" spans="1:7">
      <c r="A30" s="553"/>
      <c r="B30" s="554"/>
      <c r="C30" s="555" t="s">
        <v>260</v>
      </c>
      <c r="D30" s="556"/>
      <c r="E30" s="537">
        <v>1</v>
      </c>
      <c r="F30" s="534" t="s">
        <v>1965</v>
      </c>
      <c r="G30" s="534"/>
    </row>
    <row r="31" customHeight="1" spans="1:7">
      <c r="A31" s="553"/>
      <c r="B31" s="554"/>
      <c r="C31" s="555" t="s">
        <v>271</v>
      </c>
      <c r="D31" s="556"/>
      <c r="E31" s="537">
        <v>0.8</v>
      </c>
      <c r="F31" s="534" t="s">
        <v>1966</v>
      </c>
      <c r="G31" s="534"/>
    </row>
    <row r="32" customHeight="1" spans="1:7">
      <c r="A32" s="553"/>
      <c r="B32" s="554"/>
      <c r="C32" s="555" t="s">
        <v>282</v>
      </c>
      <c r="D32" s="556"/>
      <c r="E32" s="537">
        <v>0.8</v>
      </c>
      <c r="F32" s="534" t="s">
        <v>1967</v>
      </c>
      <c r="G32" s="534"/>
    </row>
    <row r="33" customHeight="1" spans="1:7">
      <c r="A33" s="553"/>
      <c r="B33" s="554"/>
      <c r="C33" s="555" t="s">
        <v>291</v>
      </c>
      <c r="D33" s="556"/>
      <c r="E33" s="537">
        <v>0.8</v>
      </c>
      <c r="F33" s="534" t="s">
        <v>1968</v>
      </c>
      <c r="G33" s="534"/>
    </row>
    <row r="34" customHeight="1" spans="1:7">
      <c r="A34" s="553"/>
      <c r="B34" s="554"/>
      <c r="C34" s="555" t="s">
        <v>299</v>
      </c>
      <c r="D34" s="556"/>
      <c r="E34" s="537">
        <v>0.7</v>
      </c>
      <c r="F34" s="534" t="s">
        <v>1969</v>
      </c>
      <c r="G34" s="534"/>
    </row>
    <row r="35" customHeight="1" spans="1:7">
      <c r="A35" s="553"/>
      <c r="B35" s="554"/>
      <c r="C35" s="555" t="s">
        <v>307</v>
      </c>
      <c r="D35" s="556"/>
      <c r="E35" s="537">
        <v>0.8</v>
      </c>
      <c r="F35" s="534" t="s">
        <v>1970</v>
      </c>
      <c r="G35" s="534"/>
    </row>
    <row r="36" customHeight="1" spans="1:7">
      <c r="A36" s="553"/>
      <c r="B36" s="554"/>
      <c r="C36" s="555" t="s">
        <v>314</v>
      </c>
      <c r="D36" s="556"/>
      <c r="E36" s="537">
        <v>0.6</v>
      </c>
      <c r="F36" s="534" t="s">
        <v>1971</v>
      </c>
      <c r="G36" s="534"/>
    </row>
    <row r="37" customHeight="1" spans="1:7">
      <c r="A37" s="553"/>
      <c r="B37" s="554"/>
      <c r="C37" s="555" t="s">
        <v>320</v>
      </c>
      <c r="D37" s="556"/>
      <c r="E37" s="537">
        <v>0.2</v>
      </c>
      <c r="F37" s="534" t="s">
        <v>1972</v>
      </c>
      <c r="G37" s="534"/>
    </row>
    <row r="38" customHeight="1" spans="1:7">
      <c r="A38" s="553"/>
      <c r="B38" s="554"/>
      <c r="C38" s="555" t="s">
        <v>326</v>
      </c>
      <c r="D38" s="556"/>
      <c r="E38" s="537">
        <v>0.2</v>
      </c>
      <c r="F38" s="534" t="s">
        <v>1973</v>
      </c>
      <c r="G38" s="534"/>
    </row>
    <row r="39" customHeight="1" spans="1:7">
      <c r="A39" s="553"/>
      <c r="B39" s="557" t="s">
        <v>1974</v>
      </c>
      <c r="C39" s="555" t="s">
        <v>332</v>
      </c>
      <c r="D39" s="556"/>
      <c r="E39" s="537">
        <v>0.6</v>
      </c>
      <c r="F39" s="534" t="s">
        <v>1975</v>
      </c>
      <c r="G39" s="534"/>
    </row>
    <row r="40" customHeight="1" spans="1:7">
      <c r="A40" s="553"/>
      <c r="B40" s="554"/>
      <c r="C40" s="555" t="s">
        <v>338</v>
      </c>
      <c r="D40" s="556"/>
      <c r="E40" s="537">
        <v>0.6</v>
      </c>
      <c r="F40" s="534" t="s">
        <v>1976</v>
      </c>
      <c r="G40" s="534"/>
    </row>
    <row r="41" customHeight="1" spans="1:7">
      <c r="A41" s="544"/>
      <c r="B41" s="545"/>
      <c r="C41" s="558" t="s">
        <v>342</v>
      </c>
      <c r="D41" s="559"/>
      <c r="E41" s="560">
        <v>0.6</v>
      </c>
      <c r="F41" s="534" t="s">
        <v>1977</v>
      </c>
      <c r="G41" s="534"/>
    </row>
    <row r="42" customHeight="1" spans="1:7">
      <c r="A42" s="561" t="s">
        <v>232</v>
      </c>
      <c r="B42" s="562" t="s">
        <v>232</v>
      </c>
      <c r="C42" s="563" t="s">
        <v>247</v>
      </c>
      <c r="D42" s="564"/>
      <c r="E42" s="565">
        <v>1</v>
      </c>
      <c r="F42" s="534" t="s">
        <v>1978</v>
      </c>
      <c r="G42" s="534"/>
    </row>
    <row r="43" customHeight="1" spans="1:7">
      <c r="A43" s="531" t="s">
        <v>233</v>
      </c>
      <c r="B43" s="550" t="s">
        <v>1979</v>
      </c>
      <c r="C43" s="551" t="s">
        <v>248</v>
      </c>
      <c r="D43" s="552"/>
      <c r="E43" s="533">
        <v>1</v>
      </c>
      <c r="F43" s="534" t="s">
        <v>1980</v>
      </c>
      <c r="G43" s="534"/>
    </row>
    <row r="44" customHeight="1" spans="1:7">
      <c r="A44" s="535"/>
      <c r="B44" s="554"/>
      <c r="C44" s="555" t="s">
        <v>261</v>
      </c>
      <c r="D44" s="556"/>
      <c r="E44" s="537">
        <v>1</v>
      </c>
      <c r="F44" s="534" t="s">
        <v>1981</v>
      </c>
      <c r="G44" s="534"/>
    </row>
    <row r="45" customHeight="1" spans="1:7">
      <c r="A45" s="535"/>
      <c r="B45" s="566"/>
      <c r="C45" s="555" t="s">
        <v>272</v>
      </c>
      <c r="D45" s="556"/>
      <c r="E45" s="537">
        <v>1.5</v>
      </c>
      <c r="F45" s="534" t="s">
        <v>1982</v>
      </c>
      <c r="G45" s="534"/>
    </row>
    <row r="46" customHeight="1" spans="1:7">
      <c r="A46" s="535"/>
      <c r="B46" s="536" t="s">
        <v>231</v>
      </c>
      <c r="C46" s="555" t="s">
        <v>283</v>
      </c>
      <c r="D46" s="556"/>
      <c r="E46" s="537">
        <v>2</v>
      </c>
      <c r="F46" s="534" t="s">
        <v>1983</v>
      </c>
      <c r="G46" s="534"/>
    </row>
    <row r="47" customHeight="1" spans="1:7">
      <c r="A47" s="535"/>
      <c r="B47" s="557" t="s">
        <v>1984</v>
      </c>
      <c r="C47" s="555" t="s">
        <v>292</v>
      </c>
      <c r="D47" s="556"/>
      <c r="E47" s="537">
        <v>1</v>
      </c>
      <c r="F47" s="534" t="s">
        <v>1985</v>
      </c>
      <c r="G47" s="534"/>
    </row>
    <row r="48" customHeight="1" spans="1:7">
      <c r="A48" s="535"/>
      <c r="B48" s="554"/>
      <c r="C48" s="555" t="s">
        <v>300</v>
      </c>
      <c r="D48" s="556"/>
      <c r="E48" s="537">
        <v>1</v>
      </c>
      <c r="F48" s="534" t="s">
        <v>1986</v>
      </c>
      <c r="G48" s="534"/>
    </row>
    <row r="49" customHeight="1" spans="1:7">
      <c r="A49" s="535"/>
      <c r="B49" s="554"/>
      <c r="C49" s="555" t="s">
        <v>308</v>
      </c>
      <c r="D49" s="556"/>
      <c r="E49" s="537">
        <v>1</v>
      </c>
      <c r="F49" s="534" t="s">
        <v>1987</v>
      </c>
      <c r="G49" s="534"/>
    </row>
    <row r="50" customHeight="1" spans="1:7">
      <c r="A50" s="535"/>
      <c r="B50" s="554"/>
      <c r="C50" s="555" t="s">
        <v>315</v>
      </c>
      <c r="D50" s="556"/>
      <c r="E50" s="537">
        <v>1</v>
      </c>
      <c r="F50" s="534" t="s">
        <v>1988</v>
      </c>
      <c r="G50" s="534"/>
    </row>
    <row r="51" customHeight="1" spans="1:7">
      <c r="A51" s="535"/>
      <c r="B51" s="554"/>
      <c r="C51" s="555" t="s">
        <v>321</v>
      </c>
      <c r="D51" s="556"/>
      <c r="E51" s="537">
        <v>1</v>
      </c>
      <c r="F51" s="534" t="s">
        <v>1989</v>
      </c>
      <c r="G51" s="534"/>
    </row>
    <row r="52" customHeight="1" spans="1:7">
      <c r="A52" s="535"/>
      <c r="B52" s="554"/>
      <c r="C52" s="555" t="s">
        <v>327</v>
      </c>
      <c r="D52" s="556"/>
      <c r="E52" s="537">
        <v>1</v>
      </c>
      <c r="F52" s="534" t="s">
        <v>1990</v>
      </c>
      <c r="G52" s="534"/>
    </row>
    <row r="53" customHeight="1" spans="1:7">
      <c r="A53" s="540"/>
      <c r="B53" s="545"/>
      <c r="C53" s="558" t="s">
        <v>333</v>
      </c>
      <c r="D53" s="559"/>
      <c r="E53" s="560">
        <v>1</v>
      </c>
      <c r="F53" s="534" t="s">
        <v>1991</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1992</v>
      </c>
      <c r="G56" s="525" t="s">
        <v>468</v>
      </c>
    </row>
    <row r="57" customHeight="1" spans="1:7">
      <c r="A57" s="569"/>
      <c r="B57" s="525" t="s">
        <v>229</v>
      </c>
      <c r="C57" s="525" t="s">
        <v>229</v>
      </c>
      <c r="D57" s="525" t="s">
        <v>229</v>
      </c>
      <c r="E57" s="523" t="s">
        <v>230</v>
      </c>
      <c r="F57" s="523" t="s">
        <v>233</v>
      </c>
      <c r="G57" s="523" t="s">
        <v>1655</v>
      </c>
    </row>
    <row r="58" customHeight="1" spans="1:7">
      <c r="A58" s="570"/>
      <c r="B58" s="523">
        <v>1</v>
      </c>
      <c r="C58" s="523">
        <v>2</v>
      </c>
      <c r="D58" s="523">
        <v>3</v>
      </c>
      <c r="E58" s="571" t="s">
        <v>1993</v>
      </c>
      <c r="F58" s="571" t="s">
        <v>1993</v>
      </c>
      <c r="G58" s="571" t="s">
        <v>1993</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1994</v>
      </c>
      <c r="E72" s="583"/>
      <c r="F72" s="583"/>
    </row>
    <row r="73" customHeight="1" spans="1:6">
      <c r="A73" s="536" t="s">
        <v>1995</v>
      </c>
      <c r="B73" s="536" t="s">
        <v>1996</v>
      </c>
      <c r="C73" s="536" t="s">
        <v>1997</v>
      </c>
      <c r="D73" s="536" t="s">
        <v>1998</v>
      </c>
      <c r="E73" s="536" t="s">
        <v>1999</v>
      </c>
      <c r="F73" s="536" t="s">
        <v>2000</v>
      </c>
    </row>
    <row r="74" ht="13.5" spans="1:6">
      <c r="A74" s="536"/>
      <c r="B74" s="536"/>
      <c r="C74" s="536" t="s">
        <v>2001</v>
      </c>
      <c r="D74" s="536"/>
      <c r="E74" s="536" t="s">
        <v>124</v>
      </c>
      <c r="F74" s="536" t="s">
        <v>124</v>
      </c>
    </row>
    <row r="75" ht="13.5" spans="1:6">
      <c r="A75" s="536">
        <v>1</v>
      </c>
      <c r="B75" s="557" t="s">
        <v>2002</v>
      </c>
      <c r="C75" s="523" t="s">
        <v>2003</v>
      </c>
      <c r="D75" s="523" t="s">
        <v>2004</v>
      </c>
      <c r="E75" s="536">
        <v>0.2</v>
      </c>
      <c r="F75" s="536">
        <v>25</v>
      </c>
    </row>
    <row r="76" ht="24" spans="1:6">
      <c r="A76" s="536">
        <v>2</v>
      </c>
      <c r="B76" s="554"/>
      <c r="C76" s="523" t="s">
        <v>2005</v>
      </c>
      <c r="D76" s="523" t="s">
        <v>2006</v>
      </c>
      <c r="E76" s="536">
        <v>0.2</v>
      </c>
      <c r="F76" s="536">
        <v>25</v>
      </c>
    </row>
    <row r="77" ht="24" spans="1:6">
      <c r="A77" s="536">
        <v>3</v>
      </c>
      <c r="B77" s="554"/>
      <c r="C77" s="523" t="s">
        <v>2007</v>
      </c>
      <c r="D77" s="523" t="s">
        <v>2008</v>
      </c>
      <c r="E77" s="536">
        <v>0.2</v>
      </c>
      <c r="F77" s="536">
        <v>25</v>
      </c>
    </row>
    <row r="78" ht="13.5" spans="1:6">
      <c r="A78" s="536">
        <v>4</v>
      </c>
      <c r="B78" s="554"/>
      <c r="C78" s="523" t="s">
        <v>2009</v>
      </c>
      <c r="D78" s="523" t="s">
        <v>2010</v>
      </c>
      <c r="E78" s="536">
        <v>0.15</v>
      </c>
      <c r="F78" s="536">
        <v>20</v>
      </c>
    </row>
    <row r="79" ht="24" spans="1:6">
      <c r="A79" s="536">
        <v>5</v>
      </c>
      <c r="B79" s="554"/>
      <c r="C79" s="523" t="s">
        <v>2011</v>
      </c>
      <c r="D79" s="523" t="s">
        <v>2012</v>
      </c>
      <c r="E79" s="536">
        <v>0.15</v>
      </c>
      <c r="F79" s="536">
        <v>20</v>
      </c>
    </row>
    <row r="80" ht="24" spans="1:6">
      <c r="A80" s="536">
        <v>6</v>
      </c>
      <c r="B80" s="554"/>
      <c r="C80" s="523" t="s">
        <v>2013</v>
      </c>
      <c r="D80" s="523" t="s">
        <v>2014</v>
      </c>
      <c r="E80" s="536">
        <v>0.15</v>
      </c>
      <c r="F80" s="536">
        <v>20</v>
      </c>
    </row>
    <row r="81" ht="24" spans="1:6">
      <c r="A81" s="536">
        <v>7</v>
      </c>
      <c r="B81" s="554"/>
      <c r="C81" s="523" t="s">
        <v>2015</v>
      </c>
      <c r="D81" s="523" t="s">
        <v>2016</v>
      </c>
      <c r="E81" s="536">
        <v>0.15</v>
      </c>
      <c r="F81" s="536">
        <v>20</v>
      </c>
    </row>
    <row r="82" ht="24" spans="1:6">
      <c r="A82" s="536">
        <v>8</v>
      </c>
      <c r="B82" s="554"/>
      <c r="C82" s="523" t="s">
        <v>2017</v>
      </c>
      <c r="D82" s="523" t="s">
        <v>2018</v>
      </c>
      <c r="E82" s="536">
        <v>0.1</v>
      </c>
      <c r="F82" s="536">
        <v>15</v>
      </c>
    </row>
    <row r="83" ht="24" spans="1:6">
      <c r="A83" s="536">
        <v>9</v>
      </c>
      <c r="B83" s="554"/>
      <c r="C83" s="523" t="s">
        <v>2019</v>
      </c>
      <c r="D83" s="523" t="s">
        <v>2020</v>
      </c>
      <c r="E83" s="536">
        <v>0.1</v>
      </c>
      <c r="F83" s="536">
        <v>15</v>
      </c>
    </row>
    <row r="84" ht="24" spans="1:6">
      <c r="A84" s="536">
        <v>10</v>
      </c>
      <c r="B84" s="554"/>
      <c r="C84" s="523" t="s">
        <v>2021</v>
      </c>
      <c r="D84" s="523" t="s">
        <v>2022</v>
      </c>
      <c r="E84" s="536">
        <v>0.1</v>
      </c>
      <c r="F84" s="536">
        <v>15</v>
      </c>
    </row>
    <row r="85" ht="24" spans="1:6">
      <c r="A85" s="536">
        <v>11</v>
      </c>
      <c r="B85" s="554"/>
      <c r="C85" s="523" t="s">
        <v>2023</v>
      </c>
      <c r="D85" s="523" t="s">
        <v>2024</v>
      </c>
      <c r="E85" s="536">
        <v>0.1</v>
      </c>
      <c r="F85" s="536">
        <v>15</v>
      </c>
    </row>
    <row r="86" ht="24" spans="1:6">
      <c r="A86" s="536">
        <v>12</v>
      </c>
      <c r="B86" s="554"/>
      <c r="C86" s="523" t="s">
        <v>2025</v>
      </c>
      <c r="D86" s="523" t="s">
        <v>2026</v>
      </c>
      <c r="E86" s="536">
        <v>0.1</v>
      </c>
      <c r="F86" s="536">
        <v>15</v>
      </c>
    </row>
    <row r="87" ht="13.5" spans="1:6">
      <c r="A87" s="536">
        <v>13</v>
      </c>
      <c r="B87" s="554"/>
      <c r="C87" s="523" t="s">
        <v>2027</v>
      </c>
      <c r="D87" s="523" t="s">
        <v>2028</v>
      </c>
      <c r="E87" s="536">
        <v>0.1</v>
      </c>
      <c r="F87" s="536">
        <v>15</v>
      </c>
    </row>
    <row r="88" ht="13.5" spans="1:6">
      <c r="A88" s="536">
        <v>14</v>
      </c>
      <c r="B88" s="554"/>
      <c r="C88" s="523" t="s">
        <v>2029</v>
      </c>
      <c r="D88" s="523" t="s">
        <v>2030</v>
      </c>
      <c r="E88" s="536">
        <v>0.1</v>
      </c>
      <c r="F88" s="536">
        <v>15</v>
      </c>
    </row>
    <row r="89" ht="13.5" spans="1:6">
      <c r="A89" s="536">
        <v>15</v>
      </c>
      <c r="B89" s="554"/>
      <c r="C89" s="523" t="s">
        <v>2031</v>
      </c>
      <c r="D89" s="523" t="s">
        <v>2032</v>
      </c>
      <c r="E89" s="536">
        <v>0.1</v>
      </c>
      <c r="F89" s="536">
        <v>15</v>
      </c>
    </row>
    <row r="90" ht="24" spans="1:6">
      <c r="A90" s="536">
        <v>16</v>
      </c>
      <c r="B90" s="554"/>
      <c r="C90" s="523" t="s">
        <v>2033</v>
      </c>
      <c r="D90" s="523" t="s">
        <v>2034</v>
      </c>
      <c r="E90" s="536">
        <v>0.1</v>
      </c>
      <c r="F90" s="536">
        <v>15</v>
      </c>
    </row>
    <row r="91" ht="24" spans="1:6">
      <c r="A91" s="536">
        <v>17</v>
      </c>
      <c r="B91" s="566"/>
      <c r="C91" s="523" t="s">
        <v>2035</v>
      </c>
      <c r="D91" s="523" t="s">
        <v>2036</v>
      </c>
      <c r="E91" s="536">
        <v>0.1</v>
      </c>
      <c r="F91" s="536">
        <v>15</v>
      </c>
    </row>
    <row r="92" ht="13.5" spans="1:6">
      <c r="A92" s="536">
        <v>18</v>
      </c>
      <c r="B92" s="557" t="s">
        <v>2037</v>
      </c>
      <c r="C92" s="523" t="s">
        <v>2038</v>
      </c>
      <c r="D92" s="523" t="s">
        <v>2039</v>
      </c>
      <c r="E92" s="536">
        <v>0.2</v>
      </c>
      <c r="F92" s="536">
        <v>25</v>
      </c>
    </row>
    <row r="93" ht="24" spans="1:6">
      <c r="A93" s="536">
        <v>19</v>
      </c>
      <c r="B93" s="554"/>
      <c r="C93" s="523" t="s">
        <v>2040</v>
      </c>
      <c r="D93" s="523" t="s">
        <v>2041</v>
      </c>
      <c r="E93" s="536">
        <v>0.2</v>
      </c>
      <c r="F93" s="536">
        <v>25</v>
      </c>
    </row>
    <row r="94" ht="13.5" spans="1:6">
      <c r="A94" s="536">
        <v>20</v>
      </c>
      <c r="B94" s="554"/>
      <c r="C94" s="523" t="s">
        <v>2042</v>
      </c>
      <c r="D94" s="523" t="s">
        <v>2043</v>
      </c>
      <c r="E94" s="536">
        <v>0.15</v>
      </c>
      <c r="F94" s="536">
        <v>20</v>
      </c>
    </row>
    <row r="95" ht="13.5" spans="1:6">
      <c r="A95" s="536">
        <v>21</v>
      </c>
      <c r="B95" s="554"/>
      <c r="C95" s="523" t="s">
        <v>2044</v>
      </c>
      <c r="D95" s="523" t="s">
        <v>2045</v>
      </c>
      <c r="E95" s="536">
        <v>0.15</v>
      </c>
      <c r="F95" s="536">
        <v>20</v>
      </c>
    </row>
    <row r="96" ht="13.5" spans="1:6">
      <c r="A96" s="536">
        <v>22</v>
      </c>
      <c r="B96" s="554"/>
      <c r="C96" s="523" t="s">
        <v>2046</v>
      </c>
      <c r="D96" s="523" t="s">
        <v>2047</v>
      </c>
      <c r="E96" s="536">
        <v>0.15</v>
      </c>
      <c r="F96" s="536">
        <v>20</v>
      </c>
    </row>
    <row r="97" ht="36" spans="1:6">
      <c r="A97" s="536">
        <v>23</v>
      </c>
      <c r="B97" s="554"/>
      <c r="C97" s="523" t="s">
        <v>2048</v>
      </c>
      <c r="D97" s="523" t="s">
        <v>2049</v>
      </c>
      <c r="E97" s="536">
        <v>0.15</v>
      </c>
      <c r="F97" s="536">
        <v>20</v>
      </c>
    </row>
    <row r="98" ht="13.5" spans="1:6">
      <c r="A98" s="536">
        <v>24</v>
      </c>
      <c r="B98" s="554"/>
      <c r="C98" s="523" t="s">
        <v>2050</v>
      </c>
      <c r="D98" s="523" t="s">
        <v>2051</v>
      </c>
      <c r="E98" s="536">
        <v>0.1</v>
      </c>
      <c r="F98" s="536">
        <v>15</v>
      </c>
    </row>
    <row r="99" ht="13.5" spans="1:6">
      <c r="A99" s="536">
        <v>25</v>
      </c>
      <c r="B99" s="554"/>
      <c r="C99" s="523" t="s">
        <v>2052</v>
      </c>
      <c r="D99" s="523" t="s">
        <v>2053</v>
      </c>
      <c r="E99" s="536">
        <v>0.1</v>
      </c>
      <c r="F99" s="536">
        <v>15</v>
      </c>
    </row>
    <row r="100" ht="24" spans="1:6">
      <c r="A100" s="536">
        <v>26</v>
      </c>
      <c r="B100" s="554"/>
      <c r="C100" s="523" t="s">
        <v>2054</v>
      </c>
      <c r="D100" s="523" t="s">
        <v>2055</v>
      </c>
      <c r="E100" s="536">
        <v>0.1</v>
      </c>
      <c r="F100" s="536">
        <v>15</v>
      </c>
    </row>
    <row r="101" ht="24" spans="1:6">
      <c r="A101" s="536">
        <v>27</v>
      </c>
      <c r="B101" s="554"/>
      <c r="C101" s="523" t="s">
        <v>2056</v>
      </c>
      <c r="D101" s="523" t="s">
        <v>2057</v>
      </c>
      <c r="E101" s="536">
        <v>0.1</v>
      </c>
      <c r="F101" s="536">
        <v>15</v>
      </c>
    </row>
    <row r="102" ht="13.5" spans="1:6">
      <c r="A102" s="536">
        <v>28</v>
      </c>
      <c r="B102" s="554"/>
      <c r="C102" s="523" t="s">
        <v>2058</v>
      </c>
      <c r="D102" s="523" t="s">
        <v>2059</v>
      </c>
      <c r="E102" s="536">
        <v>0.1</v>
      </c>
      <c r="F102" s="536">
        <v>15</v>
      </c>
    </row>
    <row r="103" ht="13.5" spans="1:6">
      <c r="A103" s="536">
        <v>29</v>
      </c>
      <c r="B103" s="554"/>
      <c r="C103" s="523" t="s">
        <v>2060</v>
      </c>
      <c r="D103" s="523" t="s">
        <v>2061</v>
      </c>
      <c r="E103" s="536">
        <v>0.1</v>
      </c>
      <c r="F103" s="536">
        <v>15</v>
      </c>
    </row>
    <row r="104" ht="13.5" spans="1:6">
      <c r="A104" s="536">
        <v>30</v>
      </c>
      <c r="B104" s="554"/>
      <c r="C104" s="523" t="s">
        <v>2062</v>
      </c>
      <c r="D104" s="523" t="s">
        <v>2063</v>
      </c>
      <c r="E104" s="536">
        <v>0.1</v>
      </c>
      <c r="F104" s="536">
        <v>15</v>
      </c>
    </row>
    <row r="105" ht="24" spans="1:6">
      <c r="A105" s="536">
        <v>31</v>
      </c>
      <c r="B105" s="554"/>
      <c r="C105" s="523" t="s">
        <v>2064</v>
      </c>
      <c r="D105" s="523" t="s">
        <v>2065</v>
      </c>
      <c r="E105" s="536">
        <v>0.1</v>
      </c>
      <c r="F105" s="536">
        <v>15</v>
      </c>
    </row>
    <row r="106" ht="24" spans="1:6">
      <c r="A106" s="536">
        <v>32</v>
      </c>
      <c r="B106" s="554"/>
      <c r="C106" s="523" t="s">
        <v>2066</v>
      </c>
      <c r="D106" s="523" t="s">
        <v>2067</v>
      </c>
      <c r="E106" s="536">
        <v>0.1</v>
      </c>
      <c r="F106" s="536">
        <v>15</v>
      </c>
    </row>
    <row r="107" ht="24" spans="1:6">
      <c r="A107" s="536">
        <v>33</v>
      </c>
      <c r="B107" s="554"/>
      <c r="C107" s="523" t="s">
        <v>2068</v>
      </c>
      <c r="D107" s="523" t="s">
        <v>2069</v>
      </c>
      <c r="E107" s="536">
        <v>0.1</v>
      </c>
      <c r="F107" s="536">
        <v>15</v>
      </c>
    </row>
    <row r="108" ht="24" spans="1:6">
      <c r="A108" s="536">
        <v>34</v>
      </c>
      <c r="B108" s="566"/>
      <c r="C108" s="523" t="s">
        <v>2070</v>
      </c>
      <c r="D108" s="523" t="s">
        <v>2071</v>
      </c>
      <c r="E108" s="536">
        <v>0.1</v>
      </c>
      <c r="F108" s="536">
        <v>15</v>
      </c>
    </row>
    <row r="109" ht="24" spans="1:6">
      <c r="A109" s="536">
        <v>35</v>
      </c>
      <c r="B109" s="557" t="s">
        <v>2072</v>
      </c>
      <c r="C109" s="536" t="s">
        <v>2073</v>
      </c>
      <c r="D109" s="523" t="s">
        <v>2074</v>
      </c>
      <c r="E109" s="536">
        <v>0.15</v>
      </c>
      <c r="F109" s="536">
        <v>20</v>
      </c>
    </row>
    <row r="110" ht="13.5" spans="1:6">
      <c r="A110" s="536">
        <v>36</v>
      </c>
      <c r="B110" s="554"/>
      <c r="C110" s="536" t="s">
        <v>2075</v>
      </c>
      <c r="D110" s="523" t="s">
        <v>2076</v>
      </c>
      <c r="E110" s="536">
        <v>0.15</v>
      </c>
      <c r="F110" s="536">
        <v>20</v>
      </c>
    </row>
    <row r="111" ht="13.5" spans="1:6">
      <c r="A111" s="536">
        <v>37</v>
      </c>
      <c r="B111" s="554"/>
      <c r="C111" s="536" t="s">
        <v>2077</v>
      </c>
      <c r="D111" s="523" t="s">
        <v>2078</v>
      </c>
      <c r="E111" s="536">
        <v>0.15</v>
      </c>
      <c r="F111" s="536">
        <v>20</v>
      </c>
    </row>
    <row r="112" ht="13.5" spans="1:6">
      <c r="A112" s="536">
        <v>38</v>
      </c>
      <c r="B112" s="554"/>
      <c r="C112" s="536" t="s">
        <v>2079</v>
      </c>
      <c r="D112" s="523" t="s">
        <v>2080</v>
      </c>
      <c r="E112" s="536">
        <v>0.1</v>
      </c>
      <c r="F112" s="536">
        <v>15</v>
      </c>
    </row>
    <row r="113" ht="24" spans="1:6">
      <c r="A113" s="536">
        <v>39</v>
      </c>
      <c r="B113" s="554"/>
      <c r="C113" s="536" t="s">
        <v>2081</v>
      </c>
      <c r="D113" s="523" t="s">
        <v>2082</v>
      </c>
      <c r="E113" s="536">
        <v>0.1</v>
      </c>
      <c r="F113" s="536">
        <v>15</v>
      </c>
    </row>
    <row r="114" ht="24" spans="1:6">
      <c r="A114" s="536">
        <v>40</v>
      </c>
      <c r="B114" s="566"/>
      <c r="C114" s="536" t="s">
        <v>2083</v>
      </c>
      <c r="D114" s="523" t="s">
        <v>2084</v>
      </c>
      <c r="E114" s="536">
        <v>0.1</v>
      </c>
      <c r="F114" s="536">
        <v>15</v>
      </c>
    </row>
    <row r="115" ht="13.5" spans="1:6">
      <c r="A115" s="536">
        <v>41</v>
      </c>
      <c r="B115" s="536" t="s">
        <v>2085</v>
      </c>
      <c r="C115" s="536" t="s">
        <v>2086</v>
      </c>
      <c r="D115" s="523" t="s">
        <v>2087</v>
      </c>
      <c r="E115" s="536">
        <v>0.1</v>
      </c>
      <c r="F115" s="536">
        <v>15</v>
      </c>
    </row>
    <row r="116" ht="13.5" spans="1:6">
      <c r="A116" s="536">
        <v>42</v>
      </c>
      <c r="B116" s="536"/>
      <c r="C116" s="536" t="s">
        <v>2088</v>
      </c>
      <c r="D116" s="523" t="s">
        <v>2089</v>
      </c>
      <c r="E116" s="536">
        <v>0.1</v>
      </c>
      <c r="F116" s="536">
        <v>15</v>
      </c>
    </row>
    <row r="117" ht="24" spans="1:6">
      <c r="A117" s="536">
        <v>43</v>
      </c>
      <c r="B117" s="536"/>
      <c r="C117" s="536" t="s">
        <v>2090</v>
      </c>
      <c r="D117" s="523" t="s">
        <v>2091</v>
      </c>
      <c r="E117" s="536">
        <v>0.1</v>
      </c>
      <c r="F117" s="536">
        <v>15</v>
      </c>
    </row>
    <row r="118" ht="13.5" spans="1:6">
      <c r="A118" s="536">
        <v>44</v>
      </c>
      <c r="B118" s="557" t="s">
        <v>2092</v>
      </c>
      <c r="C118" s="536" t="s">
        <v>2093</v>
      </c>
      <c r="D118" s="523" t="s">
        <v>2094</v>
      </c>
      <c r="E118" s="536">
        <v>0.1</v>
      </c>
      <c r="F118" s="536">
        <v>15</v>
      </c>
    </row>
    <row r="119" ht="24" spans="1:6">
      <c r="A119" s="536">
        <v>45</v>
      </c>
      <c r="B119" s="566"/>
      <c r="C119" s="523" t="s">
        <v>2095</v>
      </c>
      <c r="D119" s="523" t="s">
        <v>2096</v>
      </c>
      <c r="E119" s="536">
        <v>0.1</v>
      </c>
      <c r="F119" s="536">
        <v>15</v>
      </c>
    </row>
    <row r="120" ht="24" spans="1:6">
      <c r="A120" s="536">
        <v>46</v>
      </c>
      <c r="B120" s="557" t="s">
        <v>2097</v>
      </c>
      <c r="C120" s="536" t="s">
        <v>2098</v>
      </c>
      <c r="D120" s="523" t="s">
        <v>2099</v>
      </c>
      <c r="E120" s="536">
        <v>0.1</v>
      </c>
      <c r="F120" s="536">
        <v>15</v>
      </c>
    </row>
    <row r="121" ht="24" spans="1:6">
      <c r="A121" s="536">
        <v>47</v>
      </c>
      <c r="B121" s="566"/>
      <c r="C121" s="536" t="s">
        <v>2100</v>
      </c>
      <c r="D121" s="523" t="s">
        <v>2101</v>
      </c>
      <c r="E121" s="536">
        <v>0.1</v>
      </c>
      <c r="F121" s="536">
        <v>15</v>
      </c>
    </row>
    <row r="122" ht="13.5" spans="1:6">
      <c r="A122" s="536">
        <v>48</v>
      </c>
      <c r="B122" s="557" t="s">
        <v>2102</v>
      </c>
      <c r="C122" s="536" t="s">
        <v>2103</v>
      </c>
      <c r="D122" s="523" t="s">
        <v>2104</v>
      </c>
      <c r="E122" s="536">
        <v>0.1</v>
      </c>
      <c r="F122" s="536">
        <v>15</v>
      </c>
    </row>
    <row r="123" ht="13.5" spans="1:6">
      <c r="A123" s="536">
        <v>49</v>
      </c>
      <c r="B123" s="566"/>
      <c r="C123" s="536" t="s">
        <v>2105</v>
      </c>
      <c r="D123" s="523" t="s">
        <v>2106</v>
      </c>
      <c r="E123" s="536">
        <v>0.1</v>
      </c>
      <c r="F123" s="536">
        <v>15</v>
      </c>
    </row>
    <row r="124" ht="24" spans="1:6">
      <c r="A124" s="536">
        <v>50</v>
      </c>
      <c r="B124" s="536" t="s">
        <v>2107</v>
      </c>
      <c r="C124" s="536" t="s">
        <v>2108</v>
      </c>
      <c r="D124" s="523" t="s">
        <v>2109</v>
      </c>
      <c r="E124" s="536">
        <v>0.1</v>
      </c>
      <c r="F124" s="536">
        <v>15</v>
      </c>
    </row>
    <row r="125" ht="24" spans="1:6">
      <c r="A125" s="536">
        <v>51</v>
      </c>
      <c r="B125" s="536"/>
      <c r="C125" s="536" t="s">
        <v>2110</v>
      </c>
      <c r="D125" s="523" t="s">
        <v>2111</v>
      </c>
      <c r="E125" s="536">
        <v>0.1</v>
      </c>
      <c r="F125" s="536">
        <v>15</v>
      </c>
    </row>
    <row r="126" ht="24" spans="1:6">
      <c r="A126" s="536">
        <v>52</v>
      </c>
      <c r="B126" s="536" t="s">
        <v>2112</v>
      </c>
      <c r="C126" s="536" t="s">
        <v>2113</v>
      </c>
      <c r="D126" s="523" t="s">
        <v>2114</v>
      </c>
      <c r="E126" s="536">
        <v>0.1</v>
      </c>
      <c r="F126" s="536">
        <v>15</v>
      </c>
    </row>
    <row r="127" ht="24" spans="1:6">
      <c r="A127" s="536">
        <v>53</v>
      </c>
      <c r="B127" s="536"/>
      <c r="C127" s="536" t="s">
        <v>2115</v>
      </c>
      <c r="D127" s="523" t="s">
        <v>2116</v>
      </c>
      <c r="E127" s="536">
        <v>0.1</v>
      </c>
      <c r="F127" s="536">
        <v>15</v>
      </c>
    </row>
    <row r="128" ht="13.5" spans="1:6">
      <c r="A128" s="536">
        <v>54</v>
      </c>
      <c r="B128" s="536" t="s">
        <v>2117</v>
      </c>
      <c r="C128" s="536" t="s">
        <v>2118</v>
      </c>
      <c r="D128" s="523" t="s">
        <v>2119</v>
      </c>
      <c r="E128" s="536">
        <v>0.1</v>
      </c>
      <c r="F128" s="536">
        <v>15</v>
      </c>
    </row>
    <row r="129" ht="13.5" spans="1:6">
      <c r="A129" s="536">
        <v>55</v>
      </c>
      <c r="B129" s="536" t="s">
        <v>2120</v>
      </c>
      <c r="C129" s="536" t="s">
        <v>2121</v>
      </c>
      <c r="D129" s="523" t="s">
        <v>2122</v>
      </c>
      <c r="E129" s="536">
        <v>0.1</v>
      </c>
      <c r="F129" s="536">
        <v>15</v>
      </c>
    </row>
    <row r="130" ht="13.5" spans="1:6">
      <c r="A130" s="536">
        <v>56</v>
      </c>
      <c r="B130" s="536"/>
      <c r="C130" s="536" t="s">
        <v>2123</v>
      </c>
      <c r="D130" s="523" t="s">
        <v>2124</v>
      </c>
      <c r="E130" s="536">
        <v>0.1</v>
      </c>
      <c r="F130" s="536">
        <v>15</v>
      </c>
    </row>
    <row r="131" ht="24" spans="1:6">
      <c r="A131" s="536">
        <v>57</v>
      </c>
      <c r="B131" s="536"/>
      <c r="C131" s="536" t="s">
        <v>2125</v>
      </c>
      <c r="D131" s="523" t="s">
        <v>2126</v>
      </c>
      <c r="E131" s="536">
        <v>0.1</v>
      </c>
      <c r="F131" s="536">
        <v>15</v>
      </c>
    </row>
    <row r="132" ht="24" spans="1:6">
      <c r="A132" s="536">
        <v>58</v>
      </c>
      <c r="B132" s="536" t="s">
        <v>2127</v>
      </c>
      <c r="C132" s="536" t="s">
        <v>2128</v>
      </c>
      <c r="D132" s="523" t="s">
        <v>2129</v>
      </c>
      <c r="E132" s="536">
        <v>0.1</v>
      </c>
      <c r="F132" s="536">
        <v>15</v>
      </c>
    </row>
    <row r="133" ht="13.5" spans="1:6">
      <c r="A133" s="536">
        <v>59</v>
      </c>
      <c r="B133" s="536"/>
      <c r="C133" s="536" t="s">
        <v>2130</v>
      </c>
      <c r="D133" s="523" t="s">
        <v>2131</v>
      </c>
      <c r="E133" s="536">
        <v>0.1</v>
      </c>
      <c r="F133" s="536">
        <v>15</v>
      </c>
    </row>
    <row r="134" ht="13.5" spans="1:6">
      <c r="A134" s="536">
        <v>60</v>
      </c>
      <c r="B134" s="557" t="s">
        <v>2132</v>
      </c>
      <c r="C134" s="536" t="s">
        <v>2133</v>
      </c>
      <c r="D134" s="523" t="s">
        <v>2134</v>
      </c>
      <c r="E134" s="536">
        <v>0.1</v>
      </c>
      <c r="F134" s="536">
        <v>15</v>
      </c>
    </row>
    <row r="135" ht="13.5" spans="1:6">
      <c r="A135" s="536">
        <v>61</v>
      </c>
      <c r="B135" s="566"/>
      <c r="C135" s="536" t="s">
        <v>2135</v>
      </c>
      <c r="D135" s="523" t="s">
        <v>2136</v>
      </c>
      <c r="E135" s="536">
        <v>0.1</v>
      </c>
      <c r="F135" s="536">
        <v>15</v>
      </c>
    </row>
    <row r="136" ht="24" spans="1:6">
      <c r="A136" s="536">
        <v>62</v>
      </c>
      <c r="B136" s="536" t="s">
        <v>2137</v>
      </c>
      <c r="C136" s="536" t="s">
        <v>2138</v>
      </c>
      <c r="D136" s="523" t="s">
        <v>2139</v>
      </c>
      <c r="E136" s="536">
        <v>0.1</v>
      </c>
      <c r="F136" s="536">
        <v>15</v>
      </c>
    </row>
    <row r="137" ht="13.5" spans="1:6">
      <c r="A137" s="536">
        <v>63</v>
      </c>
      <c r="B137" s="536" t="s">
        <v>2140</v>
      </c>
      <c r="C137" s="536" t="s">
        <v>2141</v>
      </c>
      <c r="D137" s="523" t="s">
        <v>2142</v>
      </c>
      <c r="E137" s="536">
        <v>0.1</v>
      </c>
      <c r="F137" s="536">
        <v>15</v>
      </c>
    </row>
    <row r="138" ht="13.5" spans="1:6">
      <c r="A138" s="536">
        <v>64</v>
      </c>
      <c r="B138" s="536"/>
      <c r="C138" s="536" t="s">
        <v>2143</v>
      </c>
      <c r="D138" s="523" t="s">
        <v>2144</v>
      </c>
      <c r="E138" s="536">
        <v>0.1</v>
      </c>
      <c r="F138" s="536">
        <v>15</v>
      </c>
    </row>
    <row r="139" ht="13.5" spans="1:6">
      <c r="A139" s="536">
        <v>65</v>
      </c>
      <c r="B139" s="536" t="s">
        <v>2145</v>
      </c>
      <c r="C139" s="536" t="s">
        <v>2146</v>
      </c>
      <c r="D139" s="523" t="s">
        <v>2147</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2148</v>
      </c>
      <c r="B1" s="488"/>
      <c r="C1" s="488"/>
      <c r="D1" s="488"/>
      <c r="E1" s="488"/>
      <c r="F1" s="488"/>
      <c r="G1" s="488"/>
      <c r="H1" s="488"/>
      <c r="I1" s="488"/>
      <c r="J1" s="488"/>
      <c r="K1" s="488"/>
      <c r="L1" s="488"/>
      <c r="M1" s="488"/>
      <c r="N1" s="495"/>
    </row>
    <row r="2" spans="1:20">
      <c r="A2" s="489" t="s">
        <v>2149</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2150</v>
      </c>
      <c r="R2" s="500" t="s">
        <v>2151</v>
      </c>
      <c r="S2" s="500" t="s">
        <v>2152</v>
      </c>
      <c r="T2" s="500" t="s">
        <v>2153</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2154</v>
      </c>
      <c r="B93" s="488"/>
      <c r="C93" s="488"/>
      <c r="D93" s="488"/>
      <c r="E93" s="488"/>
      <c r="F93" s="488"/>
      <c r="G93" s="488"/>
      <c r="H93" s="488"/>
      <c r="I93" s="488"/>
      <c r="J93" s="488"/>
      <c r="K93" s="488"/>
      <c r="L93" s="488"/>
      <c r="M93" s="488"/>
    </row>
    <row r="94" spans="1:20">
      <c r="A94" s="489" t="s">
        <v>2149</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v>
      </c>
      <c r="Q94" s="500" t="s">
        <v>2150</v>
      </c>
      <c r="R94" s="500" t="s">
        <v>2151</v>
      </c>
      <c r="S94" s="500" t="s">
        <v>2152</v>
      </c>
      <c r="T94" s="500" t="s">
        <v>2153</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2155</v>
      </c>
      <c r="B185" s="488"/>
      <c r="C185" s="488"/>
      <c r="D185" s="488"/>
      <c r="E185" s="488"/>
      <c r="F185" s="488"/>
      <c r="G185" s="488"/>
      <c r="H185" s="488"/>
      <c r="I185" s="488"/>
      <c r="J185" s="488"/>
      <c r="K185" s="488"/>
      <c r="L185" s="488"/>
      <c r="M185" s="488"/>
    </row>
    <row r="186" spans="1:20">
      <c r="A186" s="489" t="s">
        <v>2149</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2150</v>
      </c>
      <c r="R186" s="500" t="s">
        <v>2151</v>
      </c>
      <c r="S186" s="500" t="s">
        <v>2152</v>
      </c>
      <c r="T186" s="500" t="s">
        <v>2153</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2156</v>
      </c>
      <c r="B277" s="488"/>
      <c r="C277" s="488"/>
      <c r="D277" s="488"/>
      <c r="E277" s="488"/>
      <c r="F277" s="488"/>
      <c r="G277" s="488"/>
      <c r="H277" s="488"/>
      <c r="I277" s="488"/>
      <c r="J277" s="488"/>
      <c r="K277" s="488"/>
      <c r="L277" s="488"/>
      <c r="M277" s="488"/>
    </row>
    <row r="278" spans="1:21">
      <c r="A278" s="489" t="s">
        <v>2149</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2150</v>
      </c>
      <c r="R278" s="500" t="s">
        <v>2151</v>
      </c>
      <c r="S278" s="500" t="s">
        <v>2157</v>
      </c>
      <c r="T278" s="500" t="s">
        <v>2158</v>
      </c>
      <c r="U278" s="500" t="s">
        <v>2153</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2159</v>
      </c>
      <c r="B369" s="504"/>
      <c r="C369" s="504"/>
      <c r="D369" s="504"/>
      <c r="E369" s="504"/>
      <c r="F369" s="504"/>
      <c r="G369" s="504"/>
      <c r="H369" s="504"/>
      <c r="I369" s="504"/>
      <c r="J369" s="504"/>
      <c r="K369" s="504"/>
      <c r="L369" s="504"/>
      <c r="M369" s="504"/>
    </row>
    <row r="370" spans="1:20">
      <c r="A370" s="489" t="s">
        <v>2149</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0.9512</v>
      </c>
      <c r="Q370" s="500" t="s">
        <v>2150</v>
      </c>
      <c r="R370" s="500" t="s">
        <v>2151</v>
      </c>
      <c r="S370" s="500" t="s">
        <v>2152</v>
      </c>
      <c r="T370" s="500" t="s">
        <v>2153</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8" customWidth="1"/>
    <col min="2" max="2" width="37.25" style="3668" customWidth="1"/>
    <col min="3" max="3" width="11.375" style="3668" customWidth="1"/>
    <col min="4" max="4" width="31.75" style="3668" customWidth="1"/>
    <col min="5" max="5" width="0.5" style="3668" customWidth="1"/>
    <col min="6" max="7" width="13" style="3668" customWidth="1"/>
    <col min="8" max="16384" width="9" style="3668"/>
  </cols>
  <sheetData>
    <row r="1" ht="18.75" spans="1:5">
      <c r="A1" s="3669" t="s">
        <v>94</v>
      </c>
      <c r="B1" s="3670"/>
      <c r="C1" s="3670"/>
      <c r="D1" s="3670"/>
      <c r="E1" s="3670"/>
    </row>
    <row r="2" ht="78" customHeight="1" spans="1:5">
      <c r="A2" s="36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1"/>
      <c r="C2" s="3671"/>
      <c r="D2" s="3671"/>
      <c r="E2" s="3671"/>
    </row>
    <row r="3" ht="18" spans="1:5">
      <c r="A3" s="3672" t="str">
        <f>IF(项目基本情况!B9="房地产市场价值","估价结果一览表（市场价值不需“结果表-1”）","估价结果一览表")</f>
        <v>估价结果一览表</v>
      </c>
      <c r="B3" s="3672"/>
      <c r="C3" s="3672"/>
      <c r="D3" s="3672"/>
      <c r="E3" s="3672"/>
    </row>
    <row r="4" ht="19.5" spans="1:5">
      <c r="A4" s="3672"/>
      <c r="B4" s="3673" t="s">
        <v>95</v>
      </c>
      <c r="C4" s="3673"/>
      <c r="D4" s="3673"/>
      <c r="E4" s="3672"/>
    </row>
    <row r="5" ht="16.5" spans="1:5">
      <c r="A5" s="3670"/>
      <c r="B5" s="3674" t="s">
        <v>96</v>
      </c>
      <c r="C5" s="3675" t="s">
        <v>97</v>
      </c>
      <c r="D5" s="3676">
        <f ca="1">结果表!H101</f>
        <v>278</v>
      </c>
      <c r="E5" s="3670"/>
    </row>
    <row r="6" spans="1:5">
      <c r="A6" s="3670"/>
      <c r="B6" s="3674"/>
      <c r="C6" s="3675" t="s">
        <v>98</v>
      </c>
      <c r="D6" s="3676" t="str">
        <f ca="1">NUMBERSTRING(INT(D5*10000),2)&amp;"元整"</f>
        <v>贰佰柒拾捌万元整</v>
      </c>
      <c r="E6" s="3670"/>
    </row>
    <row r="7" ht="15.75" spans="1:5">
      <c r="A7" s="3670"/>
      <c r="B7" s="3677"/>
      <c r="C7" s="3678" t="s">
        <v>99</v>
      </c>
      <c r="D7" s="3679">
        <f ca="1">结果表!H102</f>
        <v>24812</v>
      </c>
      <c r="E7" s="3670"/>
    </row>
    <row r="8" ht="15.75" spans="1:5">
      <c r="A8" s="3670"/>
      <c r="B8" s="3680" t="str">
        <f>结果表!E103</f>
        <v>2.估价师知悉的法定优先受偿款</v>
      </c>
      <c r="C8" s="3681" t="s">
        <v>100</v>
      </c>
      <c r="D8" s="3679">
        <f>结果表!H103</f>
        <v>0</v>
      </c>
      <c r="E8" s="3670"/>
    </row>
    <row r="9" spans="1:5">
      <c r="A9" s="3670"/>
      <c r="B9" s="3682"/>
      <c r="C9" s="3675" t="s">
        <v>98</v>
      </c>
      <c r="D9" s="3676" t="str">
        <f>NUMBERSTRING(INT(D8*10000),2)&amp;"元整"</f>
        <v>零元整</v>
      </c>
      <c r="E9" s="3670"/>
    </row>
    <row r="10" ht="15" spans="1:5">
      <c r="A10" s="3670"/>
      <c r="B10" s="3683" t="s">
        <v>101</v>
      </c>
      <c r="C10" s="3684" t="s">
        <v>102</v>
      </c>
      <c r="D10" s="3685">
        <f>结果表!H104</f>
        <v>0</v>
      </c>
      <c r="E10" s="3670"/>
    </row>
    <row r="11" ht="15" spans="1:5">
      <c r="A11" s="3670"/>
      <c r="B11" s="3683" t="s">
        <v>103</v>
      </c>
      <c r="C11" s="3684" t="s">
        <v>102</v>
      </c>
      <c r="D11" s="3685">
        <f>结果表!H105</f>
        <v>0</v>
      </c>
      <c r="E11" s="3670"/>
    </row>
    <row r="12" ht="15" spans="1:5">
      <c r="A12" s="3670"/>
      <c r="B12" s="3683" t="s">
        <v>104</v>
      </c>
      <c r="C12" s="3684" t="s">
        <v>102</v>
      </c>
      <c r="D12" s="3685">
        <f>结果表!H106</f>
        <v>0</v>
      </c>
      <c r="E12" s="3670"/>
    </row>
    <row r="13" ht="15.75" spans="1:5">
      <c r="A13" s="3670"/>
      <c r="B13" s="3686" t="str">
        <f>结果表!E107</f>
        <v>3.房地产抵押价值</v>
      </c>
      <c r="C13" s="3687" t="s">
        <v>97</v>
      </c>
      <c r="D13" s="3688">
        <f ca="1">结果表!H107</f>
        <v>278</v>
      </c>
      <c r="E13" s="3670"/>
    </row>
    <row r="14" spans="1:5">
      <c r="A14" s="3670"/>
      <c r="B14" s="3674"/>
      <c r="C14" s="3675" t="s">
        <v>98</v>
      </c>
      <c r="D14" s="3676" t="str">
        <f ca="1">NUMBERSTRING(INT(D13*10000),2)&amp;"元整"</f>
        <v>贰佰柒拾捌万元整</v>
      </c>
      <c r="E14" s="3670"/>
    </row>
    <row r="15" ht="15" spans="1:5">
      <c r="A15" s="3670"/>
      <c r="B15" s="3677"/>
      <c r="C15" s="3678" t="s">
        <v>99</v>
      </c>
      <c r="D15" s="3689">
        <f ca="1">结果表!H108</f>
        <v>24812</v>
      </c>
      <c r="E15" s="3670"/>
    </row>
    <row r="16" ht="15" spans="1:5">
      <c r="A16" s="3670"/>
      <c r="B16" s="3680" t="str">
        <f>结果表!E109</f>
        <v>——</v>
      </c>
      <c r="C16" s="3687" t="s">
        <v>97</v>
      </c>
      <c r="D16" s="3690" t="str">
        <f ca="1">结果表!H109</f>
        <v>——</v>
      </c>
      <c r="E16" s="3670"/>
    </row>
    <row r="17" ht="15.75" spans="1:5">
      <c r="A17" s="3670"/>
      <c r="B17" s="3691"/>
      <c r="C17" s="3675" t="s">
        <v>98</v>
      </c>
      <c r="D17" s="3676" t="e">
        <f ca="1">NUMBERSTRING(INT(D16*10000),2)&amp;"元整"</f>
        <v>#VALUE!</v>
      </c>
      <c r="E17" s="3670"/>
    </row>
    <row r="18" ht="15" spans="1:5">
      <c r="A18" s="3670"/>
      <c r="B18" s="3682"/>
      <c r="C18" s="3678" t="s">
        <v>99</v>
      </c>
      <c r="D18" s="3689" t="str">
        <f ca="1">结果表!H110</f>
        <v>——</v>
      </c>
      <c r="E18" s="3670"/>
    </row>
    <row r="19" ht="15.75" spans="1:5">
      <c r="A19" s="3670"/>
      <c r="B19" s="3686" t="str">
        <f>结果表!E111</f>
        <v>——</v>
      </c>
      <c r="C19" s="3687" t="s">
        <v>97</v>
      </c>
      <c r="D19" s="3679" t="str">
        <f ca="1">结果表!H111</f>
        <v>——</v>
      </c>
      <c r="E19" s="3670"/>
    </row>
    <row r="20" ht="15.75" spans="1:5">
      <c r="A20" s="3670"/>
      <c r="B20" s="3674"/>
      <c r="C20" s="3675" t="s">
        <v>98</v>
      </c>
      <c r="D20" s="3676" t="e">
        <f ca="1">NUMBERSTRING(INT(D19*10000),2)&amp;"元整"</f>
        <v>#VALUE!</v>
      </c>
      <c r="E20" s="3670"/>
    </row>
    <row r="21" ht="15.75" spans="1:5">
      <c r="A21" s="3670"/>
      <c r="B21" s="3692"/>
      <c r="C21" s="3693" t="s">
        <v>99</v>
      </c>
      <c r="D21" s="3694" t="str">
        <f ca="1">结果表!H112</f>
        <v>——</v>
      </c>
      <c r="E21" s="3670"/>
    </row>
    <row r="22" ht="15" spans="1:5">
      <c r="A22" s="3670"/>
      <c r="B22" s="3695" t="s">
        <v>105</v>
      </c>
      <c r="C22" s="3670"/>
      <c r="D22" s="3670"/>
      <c r="E22" s="3670"/>
    </row>
    <row r="23" spans="1:5">
      <c r="A23" s="3670"/>
      <c r="B23" s="3670"/>
      <c r="C23" s="3670"/>
      <c r="D23" s="3670"/>
      <c r="E23" s="3670"/>
    </row>
    <row r="24" ht="18.75" spans="1:5">
      <c r="A24" s="3696"/>
      <c r="B24" s="3697" t="s">
        <v>106</v>
      </c>
      <c r="C24" s="3696"/>
      <c r="D24" s="3696"/>
      <c r="E24" s="3696"/>
    </row>
    <row r="25" spans="1:5">
      <c r="A25" s="3696"/>
      <c r="B25" s="3696"/>
      <c r="C25" s="3696"/>
      <c r="D25" s="3696"/>
      <c r="E25" s="3696"/>
    </row>
    <row r="26" spans="1:5">
      <c r="A26" s="3696"/>
      <c r="B26" s="3696"/>
      <c r="C26" s="3696"/>
      <c r="D26" s="3696"/>
      <c r="E26" s="3696"/>
    </row>
    <row r="27" spans="1:5">
      <c r="A27" s="3696"/>
      <c r="B27" s="3696"/>
      <c r="C27" s="3696"/>
      <c r="D27" s="3696"/>
      <c r="E27" s="3696"/>
    </row>
    <row r="28" spans="1:5">
      <c r="A28" s="3696"/>
      <c r="B28" s="3696"/>
      <c r="C28" s="3696"/>
      <c r="D28" s="3696"/>
      <c r="E28" s="3696"/>
    </row>
    <row r="29" spans="1:5">
      <c r="A29" s="3696"/>
      <c r="B29" s="3696"/>
      <c r="C29" s="3696"/>
      <c r="D29" s="3696"/>
      <c r="E29" s="3696"/>
    </row>
    <row r="30" spans="1:5">
      <c r="A30" s="3696"/>
      <c r="B30" s="3696"/>
      <c r="C30" s="3696"/>
      <c r="D30" s="3696"/>
      <c r="E30" s="3696"/>
    </row>
    <row r="31" spans="1:5">
      <c r="A31" s="3696"/>
      <c r="B31" s="3696"/>
      <c r="C31" s="3696"/>
      <c r="D31" s="3696"/>
      <c r="E31" s="3696"/>
    </row>
    <row r="32" spans="1:5">
      <c r="A32" s="3696"/>
      <c r="B32" s="3696"/>
      <c r="C32" s="3696"/>
      <c r="D32" s="3696"/>
      <c r="E32" s="3696"/>
    </row>
    <row r="33" spans="1:5">
      <c r="A33" s="3696"/>
      <c r="B33" s="3696"/>
      <c r="C33" s="3696"/>
      <c r="D33" s="3696"/>
      <c r="E33" s="3696"/>
    </row>
    <row r="34" spans="1:5">
      <c r="A34" s="3696"/>
      <c r="B34" s="3696"/>
      <c r="C34" s="3696"/>
      <c r="D34" s="3696"/>
      <c r="E34" s="3696"/>
    </row>
    <row r="35" spans="1:5">
      <c r="A35" s="3696"/>
      <c r="B35" s="3696"/>
      <c r="C35" s="3696"/>
      <c r="D35" s="3696"/>
      <c r="E35" s="3696"/>
    </row>
    <row r="36" spans="1:5">
      <c r="A36" s="3696"/>
      <c r="B36" s="3696"/>
      <c r="C36" s="3696"/>
      <c r="D36" s="3696"/>
      <c r="E36" s="3696"/>
    </row>
    <row r="37" spans="1:5">
      <c r="A37" s="3696"/>
      <c r="B37" s="3696"/>
      <c r="C37" s="3696"/>
      <c r="D37" s="3696"/>
      <c r="E37" s="3696"/>
    </row>
    <row r="38" spans="1:5">
      <c r="A38" s="3696"/>
      <c r="B38" s="3696"/>
      <c r="C38" s="3696"/>
      <c r="D38" s="3696"/>
      <c r="E38" s="3696"/>
    </row>
    <row r="39" spans="1:5">
      <c r="A39" s="3696"/>
      <c r="B39" s="3696"/>
      <c r="C39" s="3696"/>
      <c r="D39" s="3696"/>
      <c r="E39" s="3696"/>
    </row>
    <row r="40" spans="1:5">
      <c r="A40" s="3696"/>
      <c r="B40" s="3696"/>
      <c r="C40" s="3696"/>
      <c r="D40" s="3696"/>
      <c r="E40" s="3696"/>
    </row>
    <row r="41" spans="1:5">
      <c r="A41" s="3696"/>
      <c r="B41" s="3696"/>
      <c r="C41" s="3696"/>
      <c r="D41" s="3696"/>
      <c r="E41" s="3696"/>
    </row>
    <row r="42" spans="1:5">
      <c r="A42" s="3696"/>
      <c r="B42" s="3696"/>
      <c r="C42" s="3696"/>
      <c r="D42" s="3696"/>
      <c r="E42" s="369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2160</v>
      </c>
      <c r="B1" s="399"/>
      <c r="C1" s="400"/>
      <c r="D1" s="400"/>
      <c r="E1" s="400"/>
      <c r="F1" s="400"/>
      <c r="G1" s="401"/>
    </row>
    <row r="2" s="390" customFormat="1" ht="18" customHeight="1" spans="1:7">
      <c r="A2" s="402" t="s">
        <v>2161</v>
      </c>
      <c r="B2" s="403">
        <f ca="1">C52</f>
        <v>27628</v>
      </c>
      <c r="C2" s="404" t="s">
        <v>1335</v>
      </c>
      <c r="D2" s="401"/>
      <c r="E2" s="401"/>
      <c r="F2" s="401"/>
      <c r="G2" s="401"/>
    </row>
    <row r="3" s="390" customFormat="1" ht="18" customHeight="1" spans="1:7">
      <c r="A3" s="405" t="s">
        <v>2162</v>
      </c>
      <c r="B3" s="406">
        <f ca="1">ROUND(B2*10000/'数据-汇总表'!E3,0)</f>
        <v>2463926</v>
      </c>
      <c r="C3" s="404" t="s">
        <v>1665</v>
      </c>
      <c r="D3" s="401"/>
      <c r="E3" s="401"/>
      <c r="F3" s="401"/>
      <c r="G3" s="401"/>
    </row>
    <row r="4" s="391" customFormat="1" ht="15.75" spans="1:7">
      <c r="A4" s="407" t="s">
        <v>2163</v>
      </c>
      <c r="B4" s="408"/>
      <c r="C4" s="408"/>
      <c r="D4" s="408"/>
      <c r="E4" s="408"/>
      <c r="F4" s="408"/>
      <c r="G4" s="409"/>
    </row>
    <row r="5" s="392" customFormat="1" ht="13.5" customHeight="1" spans="1:7">
      <c r="A5" s="410" t="s">
        <v>1039</v>
      </c>
      <c r="B5" s="411" t="s">
        <v>2164</v>
      </c>
      <c r="C5" s="412">
        <f>C6+C7+C8</f>
        <v>20610</v>
      </c>
      <c r="D5" s="412" t="s">
        <v>2165</v>
      </c>
      <c r="E5" s="413" t="s">
        <v>2166</v>
      </c>
      <c r="F5" s="413" t="s">
        <v>2167</v>
      </c>
      <c r="G5" s="414"/>
    </row>
    <row r="6" s="392" customFormat="1" ht="13.5" customHeight="1" spans="1:7">
      <c r="A6" s="415" t="s">
        <v>1043</v>
      </c>
      <c r="B6" s="416" t="s">
        <v>2168</v>
      </c>
      <c r="C6" s="417">
        <v>20000</v>
      </c>
      <c r="D6" s="418"/>
      <c r="E6" s="419"/>
      <c r="F6" s="419"/>
      <c r="G6" s="420"/>
    </row>
    <row r="7" s="392" customFormat="1" ht="13.5" customHeight="1" spans="1:7">
      <c r="A7" s="415" t="s">
        <v>1045</v>
      </c>
      <c r="B7" s="416" t="s">
        <v>2169</v>
      </c>
      <c r="C7" s="421">
        <f>ROUND(C6*F7,0)</f>
        <v>610</v>
      </c>
      <c r="D7" s="421"/>
      <c r="E7" s="419"/>
      <c r="F7" s="422">
        <f>'数据-取费表'!B48+'数据-取费表'!B49</f>
        <v>0.0305</v>
      </c>
      <c r="G7" s="420"/>
    </row>
    <row r="8" s="393" customFormat="1" spans="1:7">
      <c r="A8" s="415" t="s">
        <v>1047</v>
      </c>
      <c r="B8" s="416" t="s">
        <v>2170</v>
      </c>
      <c r="C8" s="421" t="str">
        <f>IF(G8="已包含在土地购买价格中","0",'数据-取费表'!B29)</f>
        <v>0</v>
      </c>
      <c r="D8" s="423"/>
      <c r="E8" s="421"/>
      <c r="F8" s="422"/>
      <c r="G8" s="424" t="s">
        <v>2171</v>
      </c>
    </row>
    <row r="9" s="392" customFormat="1" ht="13.5" customHeight="1" spans="1:7">
      <c r="A9" s="425" t="s">
        <v>1049</v>
      </c>
      <c r="B9" s="426" t="s">
        <v>2172</v>
      </c>
      <c r="C9" s="427">
        <f>ROUND(D9*E9/10000,0)</f>
        <v>0</v>
      </c>
      <c r="D9" s="428">
        <f>'数据-汇总表'!E5</f>
        <v>0</v>
      </c>
      <c r="E9" s="427">
        <f>'数据-取费表'!B27</f>
        <v>0</v>
      </c>
      <c r="F9" s="422"/>
      <c r="G9" s="429"/>
    </row>
    <row r="10" s="392" customFormat="1" ht="13.5" customHeight="1" spans="1:7">
      <c r="A10" s="425" t="s">
        <v>1052</v>
      </c>
      <c r="B10" s="426" t="s">
        <v>2173</v>
      </c>
      <c r="C10" s="427">
        <f>ROUND(D10*E10/10000,0)</f>
        <v>2</v>
      </c>
      <c r="D10" s="428">
        <f>'数据-汇总表'!E6</f>
        <v>112.13</v>
      </c>
      <c r="E10" s="427">
        <f>'数据-取费表'!B28</f>
        <v>200</v>
      </c>
      <c r="F10" s="422"/>
      <c r="G10" s="429"/>
    </row>
    <row r="11" s="392" customFormat="1" ht="13.5" hidden="1" customHeight="1" spans="1:7">
      <c r="A11" s="430" t="s">
        <v>1054</v>
      </c>
      <c r="B11" s="416" t="s">
        <v>2174</v>
      </c>
      <c r="C11" s="412"/>
      <c r="D11" s="431"/>
      <c r="E11" s="419"/>
      <c r="F11" s="419"/>
      <c r="G11" s="420"/>
    </row>
    <row r="12" s="392" customFormat="1" ht="13.5" hidden="1" customHeight="1" spans="1:7">
      <c r="A12" s="430" t="s">
        <v>1056</v>
      </c>
      <c r="B12" s="416" t="s">
        <v>2175</v>
      </c>
      <c r="C12" s="412">
        <v>0</v>
      </c>
      <c r="D12" s="431"/>
      <c r="E12" s="432"/>
      <c r="F12" s="422">
        <v>0.0305</v>
      </c>
      <c r="G12" s="420"/>
    </row>
    <row r="13" s="392" customFormat="1" ht="13.5" hidden="1" customHeight="1" spans="1:7">
      <c r="A13" s="430" t="s">
        <v>1057</v>
      </c>
      <c r="B13" s="416" t="s">
        <v>2176</v>
      </c>
      <c r="C13" s="412"/>
      <c r="D13" s="431"/>
      <c r="E13" s="419"/>
      <c r="F13" s="419"/>
      <c r="G13" s="420"/>
    </row>
    <row r="14" s="392" customFormat="1" ht="13.5" hidden="1" customHeight="1" spans="1:7">
      <c r="A14" s="430" t="s">
        <v>1059</v>
      </c>
      <c r="B14" s="416" t="s">
        <v>2170</v>
      </c>
      <c r="C14" s="412"/>
      <c r="D14" s="431"/>
      <c r="E14" s="419"/>
      <c r="F14" s="419"/>
      <c r="G14" s="420" t="s">
        <v>2177</v>
      </c>
    </row>
    <row r="15" s="392" customFormat="1" ht="13.5" hidden="1" customHeight="1" spans="1:7">
      <c r="A15" s="430" t="s">
        <v>1061</v>
      </c>
      <c r="B15" s="416" t="s">
        <v>2178</v>
      </c>
      <c r="C15" s="421"/>
      <c r="D15" s="431"/>
      <c r="E15" s="419"/>
      <c r="F15" s="419"/>
      <c r="G15" s="420" t="s">
        <v>2179</v>
      </c>
    </row>
    <row r="16" s="392" customFormat="1" ht="13.5" hidden="1" customHeight="1" spans="1:7">
      <c r="A16" s="430" t="s">
        <v>1064</v>
      </c>
      <c r="B16" s="416" t="s">
        <v>2170</v>
      </c>
      <c r="C16" s="421"/>
      <c r="D16" s="431"/>
      <c r="E16" s="419"/>
      <c r="F16" s="419"/>
      <c r="G16" s="420"/>
    </row>
    <row r="17" s="392" customFormat="1" ht="13.5" hidden="1" customHeight="1" spans="1:7">
      <c r="A17" s="430" t="s">
        <v>1065</v>
      </c>
      <c r="B17" s="416" t="s">
        <v>2180</v>
      </c>
      <c r="C17" s="433"/>
      <c r="D17" s="434"/>
      <c r="E17" s="433"/>
      <c r="F17" s="433"/>
      <c r="G17" s="420" t="s">
        <v>2179</v>
      </c>
    </row>
    <row r="18" s="392" customFormat="1" ht="13.5" hidden="1" customHeight="1" spans="1:7">
      <c r="A18" s="430" t="s">
        <v>1067</v>
      </c>
      <c r="B18" s="416" t="s">
        <v>2181</v>
      </c>
      <c r="C18" s="421">
        <v>0</v>
      </c>
      <c r="D18" s="431"/>
      <c r="E18" s="419"/>
      <c r="F18" s="422">
        <v>0.0305</v>
      </c>
      <c r="G18" s="420" t="s">
        <v>2182</v>
      </c>
    </row>
    <row r="19" s="393" customFormat="1" ht="13.5" customHeight="1" spans="1:7">
      <c r="A19" s="435" t="s">
        <v>1769</v>
      </c>
      <c r="B19" s="411" t="s">
        <v>2183</v>
      </c>
      <c r="C19" s="412">
        <f>IF(G19="已包含在土地取得成本中","0",ROUND(D19*E19/10000,0))</f>
        <v>2</v>
      </c>
      <c r="D19" s="436">
        <f>'数据-汇总表'!E3</f>
        <v>112.13</v>
      </c>
      <c r="E19" s="412">
        <f>'数据-取费表'!B31</f>
        <v>200</v>
      </c>
      <c r="F19" s="437"/>
      <c r="G19" s="424" t="s">
        <v>2184</v>
      </c>
    </row>
    <row r="20" s="392" customFormat="1" ht="13.5" customHeight="1" spans="1:7">
      <c r="A20" s="435" t="s">
        <v>1805</v>
      </c>
      <c r="B20" s="411" t="s">
        <v>2185</v>
      </c>
      <c r="C20" s="438">
        <f>ROUND((C5+C19)*F20,0)</f>
        <v>412</v>
      </c>
      <c r="D20" s="438"/>
      <c r="E20" s="438"/>
      <c r="F20" s="439">
        <f>'数据-取费表'!B37</f>
        <v>0.02</v>
      </c>
      <c r="G20" s="440" t="s">
        <v>2186</v>
      </c>
    </row>
    <row r="21" s="392" customFormat="1" ht="13.5" customHeight="1" spans="1:7">
      <c r="A21" s="435" t="s">
        <v>1810</v>
      </c>
      <c r="B21" s="411" t="s">
        <v>2187</v>
      </c>
      <c r="C21" s="441">
        <f>F21</f>
        <v>0.02</v>
      </c>
      <c r="D21" s="442" t="s">
        <v>2188</v>
      </c>
      <c r="E21" s="438"/>
      <c r="F21" s="439">
        <f>'数据-取费表'!B38</f>
        <v>0.02</v>
      </c>
      <c r="G21" s="443" t="s">
        <v>2189</v>
      </c>
    </row>
    <row r="22" s="392" customFormat="1" ht="13.5" customHeight="1" spans="1:7">
      <c r="A22" s="435" t="s">
        <v>1819</v>
      </c>
      <c r="B22" s="411" t="s">
        <v>2190</v>
      </c>
      <c r="C22" s="444">
        <f ca="1">ROUND(SUM(C23:C25),0)</f>
        <v>1267</v>
      </c>
      <c r="D22" s="441">
        <f ca="1">C26</f>
        <v>0.0006</v>
      </c>
      <c r="E22" s="442" t="s">
        <v>2188</v>
      </c>
      <c r="F22" s="445">
        <f ca="1">'数据-取费表'!B40</f>
        <v>0.03</v>
      </c>
      <c r="G22" s="440" t="str">
        <f>IF('数据-取费表'!B22&lt;=1,"单利计息","复利计息")</f>
        <v>复利计息</v>
      </c>
    </row>
    <row r="23" s="392" customFormat="1" ht="13.5" customHeight="1" spans="1:7">
      <c r="A23" s="446" t="s">
        <v>1043</v>
      </c>
      <c r="B23" s="416" t="s">
        <v>2191</v>
      </c>
      <c r="C23" s="447">
        <f ca="1">ROUND(IF('数据-取费表'!B22&lt;=1,C5*F22*'数据-取费表'!B23,C5*(POWER((1+F22),'数据-取费表'!B23)-1)),0)</f>
        <v>1255</v>
      </c>
      <c r="D23" s="448"/>
      <c r="E23" s="448"/>
      <c r="F23" s="449"/>
      <c r="G23" s="450" t="s">
        <v>2192</v>
      </c>
    </row>
    <row r="24" s="392" customFormat="1" ht="13.5" customHeight="1" spans="1:7">
      <c r="A24" s="446" t="s">
        <v>1045</v>
      </c>
      <c r="B24" s="416" t="s">
        <v>2193</v>
      </c>
      <c r="C24" s="447">
        <f ca="1">ROUND(IF('数据-取费表'!B22&lt;=1,C19*F22*('数据-取费表'!B19/2+'数据-取费表'!B21),C19*(POWER((1+F22),('数据-取费表'!B19/2+'数据-取费表'!B21))-1)),0)</f>
        <v>0</v>
      </c>
      <c r="D24" s="448"/>
      <c r="E24" s="448"/>
      <c r="F24" s="449"/>
      <c r="G24" s="450" t="s">
        <v>2194</v>
      </c>
    </row>
    <row r="25" s="392" customFormat="1" ht="24" spans="1:7">
      <c r="A25" s="446" t="s">
        <v>1047</v>
      </c>
      <c r="B25" s="416" t="s">
        <v>2195</v>
      </c>
      <c r="C25" s="447">
        <f ca="1">ROUND(IF('数据-取费表'!B22&lt;=1,C20*F22*'数据-取费表'!B23/2,C20*(POWER((1+F22),'数据-取费表'!B23/2)-1)),0)</f>
        <v>12</v>
      </c>
      <c r="D25" s="448"/>
      <c r="E25" s="451"/>
      <c r="F25" s="449"/>
      <c r="G25" s="452" t="s">
        <v>2196</v>
      </c>
    </row>
    <row r="26" s="392" customFormat="1" spans="1:7">
      <c r="A26" s="446" t="s">
        <v>1087</v>
      </c>
      <c r="B26" s="416" t="s">
        <v>2197</v>
      </c>
      <c r="C26" s="448">
        <f ca="1">ROUND(IF('数据-取费表'!B22&lt;=1,F21*F22*'数据-取费表'!B23/2,F21*(POWER((1+F22),'数据-取费表'!B23/2)-1)),4)</f>
        <v>0.0006</v>
      </c>
      <c r="D26" s="448"/>
      <c r="E26" s="451"/>
      <c r="F26" s="449"/>
      <c r="G26" s="453"/>
    </row>
    <row r="27" s="392" customFormat="1" ht="24.75" spans="1:7">
      <c r="A27" s="435" t="s">
        <v>1828</v>
      </c>
      <c r="B27" s="454" t="s">
        <v>2198</v>
      </c>
      <c r="C27" s="455">
        <f>C28</f>
        <v>3154</v>
      </c>
      <c r="D27" s="441">
        <f>C29</f>
        <v>0.003</v>
      </c>
      <c r="E27" s="442" t="s">
        <v>2188</v>
      </c>
      <c r="F27" s="456">
        <f>'数据-取费表'!Q16</f>
        <v>0.15</v>
      </c>
      <c r="G27" s="457" t="s">
        <v>2199</v>
      </c>
    </row>
    <row r="28" s="392" customFormat="1" ht="13.5" customHeight="1" spans="1:7">
      <c r="A28" s="446" t="s">
        <v>1043</v>
      </c>
      <c r="B28" s="458" t="s">
        <v>2200</v>
      </c>
      <c r="C28" s="459">
        <f>ROUND((C5+C19+C20)*F27*'数据-取费表'!B21/'数据-取费表'!B20,0)</f>
        <v>3154</v>
      </c>
      <c r="D28" s="441"/>
      <c r="E28" s="442"/>
      <c r="F28" s="456"/>
      <c r="G28" s="457"/>
    </row>
    <row r="29" s="392" customFormat="1" ht="13.5" customHeight="1" spans="1:7">
      <c r="A29" s="446" t="s">
        <v>1045</v>
      </c>
      <c r="B29" s="458" t="s">
        <v>2201</v>
      </c>
      <c r="C29" s="448">
        <f>ROUND(C21*F27*'数据-取费表'!B21/'数据-取费表'!B20,4)</f>
        <v>0.003</v>
      </c>
      <c r="D29" s="441"/>
      <c r="E29" s="442"/>
      <c r="F29" s="456"/>
      <c r="G29" s="457"/>
    </row>
    <row r="30" s="392" customFormat="1" ht="13.5" customHeight="1" spans="1:7">
      <c r="A30" s="435" t="s">
        <v>2202</v>
      </c>
      <c r="B30" s="411" t="s">
        <v>2203</v>
      </c>
      <c r="C30" s="441">
        <f>F30</f>
        <v>0.056</v>
      </c>
      <c r="D30" s="442" t="s">
        <v>2204</v>
      </c>
      <c r="E30" s="451"/>
      <c r="F30" s="445">
        <f>'数据-取费表'!B41</f>
        <v>0.056</v>
      </c>
      <c r="G30" s="443" t="s">
        <v>2205</v>
      </c>
    </row>
    <row r="31" ht="16.5" customHeight="1" spans="1:7">
      <c r="A31" s="460">
        <v>1</v>
      </c>
      <c r="B31" s="411" t="s">
        <v>2206</v>
      </c>
      <c r="C31" s="412">
        <f ca="1">ROUND((C5+C19+C20+C22+C27)/(1-C21-D22-D27-C30/(1+'数据-取费表'!B42)),0)</f>
        <v>27566</v>
      </c>
      <c r="D31" s="461"/>
      <c r="E31" s="412"/>
      <c r="F31" s="462"/>
      <c r="G31" s="443" t="s">
        <v>2207</v>
      </c>
    </row>
    <row r="32" s="391" customFormat="1" ht="15.75" spans="1:7">
      <c r="A32" s="463" t="s">
        <v>2208</v>
      </c>
      <c r="B32" s="464"/>
      <c r="C32" s="464"/>
      <c r="D32" s="464"/>
      <c r="E32" s="464"/>
      <c r="F32" s="464"/>
      <c r="G32" s="465"/>
    </row>
    <row r="33" s="392" customFormat="1" ht="13.5" customHeight="1" spans="1:7">
      <c r="A33" s="410" t="s">
        <v>1039</v>
      </c>
      <c r="B33" s="411" t="s">
        <v>2209</v>
      </c>
      <c r="C33" s="466">
        <f>SUM(C34:C38)</f>
        <v>62</v>
      </c>
      <c r="D33" s="438"/>
      <c r="E33" s="413"/>
      <c r="F33" s="451"/>
      <c r="G33" s="443"/>
    </row>
    <row r="34" s="394" customFormat="1" ht="13.5" customHeight="1" spans="1:7">
      <c r="A34" s="446" t="s">
        <v>1043</v>
      </c>
      <c r="B34" s="416" t="s">
        <v>2210</v>
      </c>
      <c r="C34" s="421">
        <f>IF(F34=100%,'数据-取费表'!M16-SUMIF('数据-取费表'!C:C,"公共配套",'数据-取费表'!M:M),'数据-取费表'!O16-SUMIF('数据-取费表'!C:C,"公共配套",'数据-取费表'!O:O))</f>
        <v>56</v>
      </c>
      <c r="D34" s="418"/>
      <c r="E34" s="421"/>
      <c r="F34" s="467">
        <f>IF('数据-取费表'!B24=0,1,'数据-取费表'!N16)</f>
        <v>1</v>
      </c>
      <c r="G34" s="420" t="s">
        <v>2211</v>
      </c>
    </row>
    <row r="35" ht="13.5" customHeight="1" spans="1:7">
      <c r="A35" s="446" t="s">
        <v>1045</v>
      </c>
      <c r="B35" s="416" t="s">
        <v>2212</v>
      </c>
      <c r="C35" s="421">
        <f>ROUND(C34*F35,0)</f>
        <v>3</v>
      </c>
      <c r="D35" s="421"/>
      <c r="E35" s="421"/>
      <c r="F35" s="468">
        <f>'数据-取费表'!B33</f>
        <v>0.05</v>
      </c>
      <c r="G35" s="420" t="s">
        <v>2213</v>
      </c>
    </row>
    <row r="36" ht="24" spans="1:7">
      <c r="A36" s="446" t="s">
        <v>1047</v>
      </c>
      <c r="B36" s="416" t="s">
        <v>2214</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2215</v>
      </c>
    </row>
    <row r="37" s="394" customFormat="1" ht="13.5" customHeight="1" spans="1:7">
      <c r="A37" s="446" t="s">
        <v>1087</v>
      </c>
      <c r="B37" s="416" t="s">
        <v>2216</v>
      </c>
      <c r="C37" s="459">
        <f>ROUND(E37*D37*F34/10000,0)</f>
        <v>2</v>
      </c>
      <c r="D37" s="418">
        <f>'数据-汇总表'!E3</f>
        <v>112.13</v>
      </c>
      <c r="E37" s="459">
        <f>'数据-取费表'!B35</f>
        <v>200</v>
      </c>
      <c r="F37" s="468"/>
      <c r="G37" s="470" t="s">
        <v>2217</v>
      </c>
    </row>
    <row r="38" ht="13.5" customHeight="1" spans="1:7">
      <c r="A38" s="446" t="s">
        <v>1109</v>
      </c>
      <c r="B38" s="416" t="s">
        <v>2175</v>
      </c>
      <c r="C38" s="421">
        <f>ROUND(C34*F38,0)</f>
        <v>1</v>
      </c>
      <c r="D38" s="421"/>
      <c r="E38" s="421"/>
      <c r="F38" s="468">
        <f>'数据-取费表'!B36</f>
        <v>0.02</v>
      </c>
      <c r="G38" s="420" t="s">
        <v>2213</v>
      </c>
    </row>
    <row r="39" s="392" customFormat="1" ht="13.5" customHeight="1" spans="1:7">
      <c r="A39" s="435" t="s">
        <v>1769</v>
      </c>
      <c r="B39" s="411" t="s">
        <v>2185</v>
      </c>
      <c r="C39" s="438">
        <f>ROUND(C33*F20,0)</f>
        <v>1</v>
      </c>
      <c r="D39" s="438"/>
      <c r="E39" s="438"/>
      <c r="F39" s="439"/>
      <c r="G39" s="440" t="s">
        <v>2218</v>
      </c>
    </row>
    <row r="40" s="392" customFormat="1" ht="13.5" customHeight="1" spans="1:7">
      <c r="A40" s="435" t="s">
        <v>1805</v>
      </c>
      <c r="B40" s="411" t="s">
        <v>2187</v>
      </c>
      <c r="C40" s="471">
        <f>F21</f>
        <v>0.02</v>
      </c>
      <c r="D40" s="442" t="s">
        <v>2219</v>
      </c>
      <c r="E40" s="438"/>
      <c r="F40" s="439"/>
      <c r="G40" s="443" t="s">
        <v>2220</v>
      </c>
    </row>
    <row r="41" s="392" customFormat="1" ht="13.5" customHeight="1" spans="1:7">
      <c r="A41" s="435" t="s">
        <v>1810</v>
      </c>
      <c r="B41" s="411" t="s">
        <v>2190</v>
      </c>
      <c r="C41" s="438">
        <f ca="1">ROUND(SUM(C42:C43),0)</f>
        <v>2</v>
      </c>
      <c r="D41" s="441">
        <f ca="1">C44</f>
        <v>0.0006</v>
      </c>
      <c r="E41" s="442" t="s">
        <v>2219</v>
      </c>
      <c r="F41" s="445"/>
      <c r="G41" s="440" t="str">
        <f>IF('数据-取费表'!B22&lt;=1,"单利计息","复利计息")</f>
        <v>复利计息</v>
      </c>
    </row>
    <row r="42" ht="13.5" customHeight="1" spans="1:7">
      <c r="A42" s="446" t="s">
        <v>1043</v>
      </c>
      <c r="B42" s="416" t="s">
        <v>2191</v>
      </c>
      <c r="C42" s="448">
        <f ca="1">ROUND(IF('数据-取费表'!B22&lt;=1,C33*F22*'数据-取费表'!B21/2,C33*(POWER((1+F22),'数据-取费表'!B21/2)-1)),0)</f>
        <v>2</v>
      </c>
      <c r="D42" s="448"/>
      <c r="E42" s="448"/>
      <c r="F42" s="449"/>
      <c r="G42" s="472" t="s">
        <v>2221</v>
      </c>
    </row>
    <row r="43" ht="13.5" customHeight="1" spans="1:7">
      <c r="A43" s="446" t="s">
        <v>1045</v>
      </c>
      <c r="B43" s="416" t="s">
        <v>2193</v>
      </c>
      <c r="C43" s="448">
        <f ca="1">ROUND(IF('数据-取费表'!B22&lt;=1,C39*F22*'数据-取费表'!B21/2,C39*(POWER((1+F22),'数据-取费表'!B21/2)-1)),0)</f>
        <v>0</v>
      </c>
      <c r="D43" s="448"/>
      <c r="E43" s="448"/>
      <c r="F43" s="449"/>
      <c r="G43" s="473"/>
    </row>
    <row r="44" ht="13.5" customHeight="1" spans="1:7">
      <c r="A44" s="446" t="s">
        <v>1047</v>
      </c>
      <c r="B44" s="416" t="s">
        <v>2195</v>
      </c>
      <c r="C44" s="448">
        <f ca="1">ROUND(IF('数据-取费表'!B22&lt;=1,C40*F22*'数据-取费表'!B21/2,C40*(POWER((1+F22),'数据-取费表'!B21/2)-1)),4)</f>
        <v>0.0006</v>
      </c>
      <c r="D44" s="448"/>
      <c r="E44" s="448"/>
      <c r="F44" s="449"/>
      <c r="G44" s="474"/>
    </row>
    <row r="45" s="392" customFormat="1" ht="13.5" customHeight="1" spans="1:7">
      <c r="A45" s="435" t="s">
        <v>1819</v>
      </c>
      <c r="B45" s="454" t="s">
        <v>2198</v>
      </c>
      <c r="C45" s="455">
        <f>C46</f>
        <v>9</v>
      </c>
      <c r="D45" s="441">
        <f>C47</f>
        <v>0.003</v>
      </c>
      <c r="E45" s="442" t="s">
        <v>2219</v>
      </c>
      <c r="F45" s="456"/>
      <c r="G45" s="457" t="s">
        <v>2222</v>
      </c>
    </row>
    <row r="46" s="392" customFormat="1" ht="13.5" customHeight="1" spans="1:7">
      <c r="A46" s="446" t="s">
        <v>1043</v>
      </c>
      <c r="B46" s="458" t="s">
        <v>2223</v>
      </c>
      <c r="C46" s="459">
        <f>ROUND((C33+C39)*F27,0)</f>
        <v>9</v>
      </c>
      <c r="D46" s="475"/>
      <c r="E46" s="442"/>
      <c r="F46" s="456"/>
      <c r="G46" s="457"/>
    </row>
    <row r="47" s="392" customFormat="1" ht="13.5" customHeight="1" spans="1:7">
      <c r="A47" s="446" t="s">
        <v>1045</v>
      </c>
      <c r="B47" s="458" t="s">
        <v>2224</v>
      </c>
      <c r="C47" s="448">
        <f>ROUND(C40*F27,4)</f>
        <v>0.003</v>
      </c>
      <c r="D47" s="475"/>
      <c r="E47" s="442"/>
      <c r="F47" s="456"/>
      <c r="G47" s="457"/>
    </row>
    <row r="48" s="392" customFormat="1" ht="13.5" customHeight="1" spans="1:7">
      <c r="A48" s="435" t="s">
        <v>1828</v>
      </c>
      <c r="B48" s="411" t="s">
        <v>2203</v>
      </c>
      <c r="C48" s="471">
        <f>F30</f>
        <v>0.056</v>
      </c>
      <c r="D48" s="442" t="s">
        <v>2225</v>
      </c>
      <c r="E48" s="438"/>
      <c r="F48" s="445"/>
      <c r="G48" s="443" t="s">
        <v>2226</v>
      </c>
    </row>
    <row r="49" ht="16.5" customHeight="1" spans="1:7">
      <c r="A49" s="435" t="s">
        <v>2202</v>
      </c>
      <c r="B49" s="411" t="s">
        <v>2227</v>
      </c>
      <c r="C49" s="438">
        <f ca="1">ROUND((C33+C39+C41+C45)/(1-C40-D41-D45-C48/(1+'数据-取费表'!B42)),0)</f>
        <v>80</v>
      </c>
      <c r="D49" s="438"/>
      <c r="E49" s="438"/>
      <c r="F49" s="476"/>
      <c r="G49" s="443" t="s">
        <v>2228</v>
      </c>
    </row>
    <row r="50" s="394" customFormat="1" ht="24" spans="1:7">
      <c r="A50" s="435" t="s">
        <v>2229</v>
      </c>
      <c r="B50" s="411" t="s">
        <v>2230</v>
      </c>
      <c r="C50" s="438"/>
      <c r="D50" s="438"/>
      <c r="E50" s="438"/>
      <c r="F50" s="476">
        <f>IF('数据-取费表'!B24=0,'数据-取费表'!N16,1)</f>
        <v>0.78</v>
      </c>
      <c r="G50" s="457" t="s">
        <v>2231</v>
      </c>
    </row>
    <row r="51" ht="16.5" customHeight="1" spans="1:7">
      <c r="A51" s="435" t="s">
        <v>2232</v>
      </c>
      <c r="B51" s="411" t="s">
        <v>2233</v>
      </c>
      <c r="C51" s="438">
        <f ca="1">ROUND(C49*F50,0)</f>
        <v>62</v>
      </c>
      <c r="D51" s="438"/>
      <c r="E51" s="438"/>
      <c r="F51" s="476"/>
      <c r="G51" s="443" t="s">
        <v>2234</v>
      </c>
    </row>
    <row r="52" s="391" customFormat="1" ht="16.5" spans="1:7">
      <c r="A52" s="477" t="s">
        <v>2235</v>
      </c>
      <c r="B52" s="478"/>
      <c r="C52" s="479">
        <f ca="1">C31+C51</f>
        <v>27628</v>
      </c>
      <c r="D52" s="478"/>
      <c r="E52" s="478"/>
      <c r="F52" s="478"/>
      <c r="G52" s="480"/>
    </row>
    <row r="55" ht="15" spans="2:3">
      <c r="B55" s="481" t="s">
        <v>2236</v>
      </c>
      <c r="C55" s="482"/>
    </row>
    <row r="56" spans="2:3">
      <c r="B56" s="483" t="s">
        <v>2237</v>
      </c>
      <c r="C56" s="484">
        <f ca="1">ROUND(C51/C52,3)</f>
        <v>0.002</v>
      </c>
    </row>
    <row r="57" spans="2:3">
      <c r="B57" s="483" t="s">
        <v>2238</v>
      </c>
      <c r="C57" s="485">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2239</v>
      </c>
      <c r="B1" s="356"/>
    </row>
    <row r="2" ht="14.25" spans="1:2">
      <c r="A2" s="356"/>
      <c r="B2" s="356"/>
    </row>
    <row r="3" ht="14.25" spans="1:7">
      <c r="A3" s="356"/>
      <c r="B3" s="356"/>
      <c r="C3" s="357" t="s">
        <v>229</v>
      </c>
      <c r="D3" s="357" t="s">
        <v>230</v>
      </c>
      <c r="E3" s="357" t="s">
        <v>232</v>
      </c>
      <c r="F3" s="357" t="s">
        <v>233</v>
      </c>
      <c r="G3" s="357" t="s">
        <v>231</v>
      </c>
    </row>
    <row r="4" ht="14.25" spans="1:7">
      <c r="A4" s="358" t="s">
        <v>2240</v>
      </c>
      <c r="B4" s="359" t="s">
        <v>2241</v>
      </c>
      <c r="C4" s="357"/>
      <c r="D4" s="357"/>
      <c r="E4" s="357"/>
      <c r="F4" s="357"/>
      <c r="G4" s="357"/>
    </row>
    <row r="5" spans="1:7">
      <c r="A5" s="360" t="s">
        <v>235</v>
      </c>
      <c r="B5" s="361" t="s">
        <v>2242</v>
      </c>
      <c r="C5" s="362">
        <v>0.098</v>
      </c>
      <c r="D5" s="362">
        <v>0.087</v>
      </c>
      <c r="E5" s="362">
        <v>0.087</v>
      </c>
      <c r="F5" s="362">
        <v>0.098</v>
      </c>
      <c r="G5" s="363">
        <v>0.095</v>
      </c>
    </row>
    <row r="6" spans="1:7">
      <c r="A6" s="364" t="s">
        <v>235</v>
      </c>
      <c r="B6" s="365" t="s">
        <v>2243</v>
      </c>
      <c r="C6" s="366">
        <v>0.098</v>
      </c>
      <c r="D6" s="366">
        <v>0.098</v>
      </c>
      <c r="E6" s="366">
        <v>0.098</v>
      </c>
      <c r="F6" s="366">
        <v>0.1</v>
      </c>
      <c r="G6" s="367">
        <v>0.099</v>
      </c>
    </row>
    <row r="7" spans="1:7">
      <c r="A7" s="364" t="s">
        <v>235</v>
      </c>
      <c r="B7" s="365" t="s">
        <v>2244</v>
      </c>
      <c r="C7" s="366">
        <v>0.097</v>
      </c>
      <c r="D7" s="366">
        <v>0.097</v>
      </c>
      <c r="E7" s="366">
        <v>0.096</v>
      </c>
      <c r="F7" s="366">
        <v>0.1</v>
      </c>
      <c r="G7" s="367">
        <v>0.098</v>
      </c>
    </row>
    <row r="8" spans="1:7">
      <c r="A8" s="364" t="s">
        <v>235</v>
      </c>
      <c r="B8" s="365" t="s">
        <v>2245</v>
      </c>
      <c r="C8" s="366">
        <v>0.081</v>
      </c>
      <c r="D8" s="366">
        <v>0.082</v>
      </c>
      <c r="E8" s="366">
        <v>0.07</v>
      </c>
      <c r="F8" s="366">
        <v>0.096</v>
      </c>
      <c r="G8" s="367">
        <v>0.089</v>
      </c>
    </row>
    <row r="9" ht="14.25" spans="1:7">
      <c r="A9" s="368" t="s">
        <v>235</v>
      </c>
      <c r="B9" s="369" t="s">
        <v>2246</v>
      </c>
      <c r="C9" s="370">
        <v>0.1</v>
      </c>
      <c r="D9" s="370">
        <v>0.1</v>
      </c>
      <c r="E9" s="370">
        <v>0.1</v>
      </c>
      <c r="F9" s="371"/>
      <c r="G9" s="372">
        <v>0.1</v>
      </c>
    </row>
    <row r="10" spans="1:7">
      <c r="A10" s="360" t="s">
        <v>251</v>
      </c>
      <c r="B10" s="361" t="s">
        <v>2247</v>
      </c>
      <c r="C10" s="362">
        <v>0.067</v>
      </c>
      <c r="D10" s="362">
        <v>0.079</v>
      </c>
      <c r="E10" s="362">
        <v>0.079</v>
      </c>
      <c r="F10" s="362">
        <v>0.1</v>
      </c>
      <c r="G10" s="363">
        <v>0.091</v>
      </c>
    </row>
    <row r="11" spans="1:7">
      <c r="A11" s="364" t="s">
        <v>251</v>
      </c>
      <c r="B11" s="365" t="s">
        <v>2248</v>
      </c>
      <c r="C11" s="366">
        <v>0.05</v>
      </c>
      <c r="D11" s="366">
        <v>0.053</v>
      </c>
      <c r="E11" s="366">
        <v>0.063</v>
      </c>
      <c r="F11" s="366">
        <v>0.1</v>
      </c>
      <c r="G11" s="367">
        <v>0.072</v>
      </c>
    </row>
    <row r="12" spans="1:7">
      <c r="A12" s="364" t="s">
        <v>251</v>
      </c>
      <c r="B12" s="365" t="s">
        <v>2249</v>
      </c>
      <c r="C12" s="366">
        <v>0.053</v>
      </c>
      <c r="D12" s="366">
        <v>0.09</v>
      </c>
      <c r="E12" s="366">
        <v>0.072</v>
      </c>
      <c r="F12" s="366">
        <v>0.1</v>
      </c>
      <c r="G12" s="367">
        <v>0.097</v>
      </c>
    </row>
    <row r="13" spans="1:7">
      <c r="A13" s="364" t="s">
        <v>251</v>
      </c>
      <c r="B13" s="365" t="s">
        <v>2250</v>
      </c>
      <c r="C13" s="366">
        <v>0.097</v>
      </c>
      <c r="D13" s="366">
        <v>0.092</v>
      </c>
      <c r="E13" s="366">
        <v>0.095</v>
      </c>
      <c r="F13" s="366">
        <v>0.1</v>
      </c>
      <c r="G13" s="367">
        <v>0.097</v>
      </c>
    </row>
    <row r="14" spans="1:7">
      <c r="A14" s="364" t="s">
        <v>251</v>
      </c>
      <c r="B14" s="365" t="s">
        <v>2251</v>
      </c>
      <c r="C14" s="366">
        <v>0.097</v>
      </c>
      <c r="D14" s="366">
        <v>0.097</v>
      </c>
      <c r="E14" s="366">
        <v>0.097</v>
      </c>
      <c r="F14" s="366">
        <v>0.1</v>
      </c>
      <c r="G14" s="367">
        <v>0.098</v>
      </c>
    </row>
    <row r="15" spans="1:7">
      <c r="A15" s="364" t="s">
        <v>251</v>
      </c>
      <c r="B15" s="365" t="s">
        <v>2252</v>
      </c>
      <c r="C15" s="366">
        <v>0.098</v>
      </c>
      <c r="D15" s="366">
        <v>0.091</v>
      </c>
      <c r="E15" s="366">
        <v>0.06</v>
      </c>
      <c r="F15" s="366">
        <v>0.1</v>
      </c>
      <c r="G15" s="367">
        <v>0.097</v>
      </c>
    </row>
    <row r="16" spans="1:7">
      <c r="A16" s="364" t="s">
        <v>251</v>
      </c>
      <c r="B16" s="365" t="s">
        <v>2253</v>
      </c>
      <c r="C16" s="366">
        <v>0.098</v>
      </c>
      <c r="D16" s="366">
        <v>0.097</v>
      </c>
      <c r="E16" s="366">
        <v>0.095</v>
      </c>
      <c r="F16" s="366">
        <v>0.1</v>
      </c>
      <c r="G16" s="367">
        <v>0.099</v>
      </c>
    </row>
    <row r="17" spans="1:7">
      <c r="A17" s="364" t="s">
        <v>251</v>
      </c>
      <c r="B17" s="365" t="s">
        <v>2254</v>
      </c>
      <c r="C17" s="366">
        <v>0.089</v>
      </c>
      <c r="D17" s="366">
        <v>0.092</v>
      </c>
      <c r="E17" s="366">
        <v>0.061</v>
      </c>
      <c r="F17" s="366">
        <v>0.1</v>
      </c>
      <c r="G17" s="367">
        <v>0.097</v>
      </c>
    </row>
    <row r="18" spans="1:7">
      <c r="A18" s="364" t="s">
        <v>251</v>
      </c>
      <c r="B18" s="365" t="s">
        <v>2255</v>
      </c>
      <c r="C18" s="366">
        <v>0.098</v>
      </c>
      <c r="D18" s="366">
        <v>0.098</v>
      </c>
      <c r="E18" s="366">
        <v>0.098</v>
      </c>
      <c r="F18" s="373"/>
      <c r="G18" s="367">
        <v>0.099</v>
      </c>
    </row>
    <row r="19" spans="1:7">
      <c r="A19" s="364" t="s">
        <v>251</v>
      </c>
      <c r="B19" s="365" t="s">
        <v>2256</v>
      </c>
      <c r="C19" s="366">
        <v>0.099</v>
      </c>
      <c r="D19" s="366">
        <v>0.074</v>
      </c>
      <c r="E19" s="366">
        <v>0.081</v>
      </c>
      <c r="F19" s="373"/>
      <c r="G19" s="367">
        <v>0.093</v>
      </c>
    </row>
    <row r="20" spans="1:7">
      <c r="A20" s="364" t="s">
        <v>251</v>
      </c>
      <c r="B20" s="365" t="s">
        <v>2257</v>
      </c>
      <c r="C20" s="366">
        <v>0.1</v>
      </c>
      <c r="D20" s="366">
        <v>0.089</v>
      </c>
      <c r="E20" s="366">
        <v>0.089</v>
      </c>
      <c r="F20" s="373"/>
      <c r="G20" s="367">
        <v>0.095</v>
      </c>
    </row>
    <row r="21" spans="1:7">
      <c r="A21" s="364" t="s">
        <v>251</v>
      </c>
      <c r="B21" s="365" t="s">
        <v>2258</v>
      </c>
      <c r="C21" s="366">
        <v>0.1</v>
      </c>
      <c r="D21" s="366">
        <v>0.091</v>
      </c>
      <c r="E21" s="366">
        <v>0.082</v>
      </c>
      <c r="F21" s="373"/>
      <c r="G21" s="367">
        <v>0.097</v>
      </c>
    </row>
    <row r="22" spans="1:7">
      <c r="A22" s="364" t="s">
        <v>251</v>
      </c>
      <c r="B22" s="365" t="s">
        <v>2259</v>
      </c>
      <c r="C22" s="366">
        <v>0.095</v>
      </c>
      <c r="D22" s="366">
        <v>0.099</v>
      </c>
      <c r="E22" s="366">
        <v>0.098</v>
      </c>
      <c r="F22" s="373"/>
      <c r="G22" s="367">
        <v>0.1</v>
      </c>
    </row>
    <row r="23" spans="1:7">
      <c r="A23" s="364" t="s">
        <v>251</v>
      </c>
      <c r="B23" s="365" t="s">
        <v>2260</v>
      </c>
      <c r="C23" s="366">
        <v>0.099</v>
      </c>
      <c r="D23" s="366">
        <v>0.1</v>
      </c>
      <c r="E23" s="366">
        <v>0.1</v>
      </c>
      <c r="F23" s="373"/>
      <c r="G23" s="367">
        <v>0.1</v>
      </c>
    </row>
    <row r="24" spans="1:7">
      <c r="A24" s="364" t="s">
        <v>251</v>
      </c>
      <c r="B24" s="365" t="s">
        <v>2261</v>
      </c>
      <c r="C24" s="366">
        <v>0.095</v>
      </c>
      <c r="D24" s="366">
        <v>0.1</v>
      </c>
      <c r="E24" s="366">
        <v>0.098</v>
      </c>
      <c r="F24" s="373"/>
      <c r="G24" s="367">
        <v>0.1</v>
      </c>
    </row>
    <row r="25" spans="1:7">
      <c r="A25" s="364" t="s">
        <v>251</v>
      </c>
      <c r="B25" s="365" t="s">
        <v>2262</v>
      </c>
      <c r="C25" s="366">
        <v>0.05</v>
      </c>
      <c r="D25" s="366">
        <v>0.096</v>
      </c>
      <c r="E25" s="366">
        <v>0.096</v>
      </c>
      <c r="F25" s="373"/>
      <c r="G25" s="367">
        <v>0.096</v>
      </c>
    </row>
    <row r="26" spans="1:7">
      <c r="A26" s="364" t="s">
        <v>251</v>
      </c>
      <c r="B26" s="365" t="s">
        <v>2263</v>
      </c>
      <c r="C26" s="366">
        <v>0.063</v>
      </c>
      <c r="D26" s="366">
        <v>0.099</v>
      </c>
      <c r="E26" s="366">
        <v>0.098</v>
      </c>
      <c r="F26" s="373"/>
      <c r="G26" s="367">
        <v>0.1</v>
      </c>
    </row>
    <row r="27" spans="1:7">
      <c r="A27" s="364" t="s">
        <v>251</v>
      </c>
      <c r="B27" s="365" t="s">
        <v>2264</v>
      </c>
      <c r="C27" s="366">
        <v>0.052</v>
      </c>
      <c r="D27" s="366">
        <v>0.095</v>
      </c>
      <c r="E27" s="366">
        <v>0.064</v>
      </c>
      <c r="F27" s="373"/>
      <c r="G27" s="367">
        <v>0.097</v>
      </c>
    </row>
    <row r="28" spans="1:7">
      <c r="A28" s="364" t="s">
        <v>251</v>
      </c>
      <c r="B28" s="365" t="s">
        <v>2265</v>
      </c>
      <c r="C28" s="373"/>
      <c r="D28" s="366">
        <v>0.063</v>
      </c>
      <c r="E28" s="366">
        <v>0.052</v>
      </c>
      <c r="F28" s="373"/>
      <c r="G28" s="367">
        <v>0.063</v>
      </c>
    </row>
    <row r="29" ht="14.25" spans="1:7">
      <c r="A29" s="368" t="s">
        <v>251</v>
      </c>
      <c r="B29" s="369" t="s">
        <v>2266</v>
      </c>
      <c r="C29" s="374"/>
      <c r="D29" s="370">
        <v>0.052</v>
      </c>
      <c r="E29" s="370">
        <v>0.07</v>
      </c>
      <c r="F29" s="374"/>
      <c r="G29" s="372">
        <v>0.071</v>
      </c>
    </row>
    <row r="30" spans="1:7">
      <c r="A30" s="375" t="s">
        <v>264</v>
      </c>
      <c r="B30" s="361" t="s">
        <v>2267</v>
      </c>
      <c r="C30" s="362">
        <v>0.066</v>
      </c>
      <c r="D30" s="362">
        <v>0.066</v>
      </c>
      <c r="E30" s="362">
        <v>0.057</v>
      </c>
      <c r="F30" s="362">
        <v>0.1</v>
      </c>
      <c r="G30" s="363">
        <v>0.068</v>
      </c>
    </row>
    <row r="31" spans="1:7">
      <c r="A31" s="376" t="s">
        <v>264</v>
      </c>
      <c r="B31" s="365" t="s">
        <v>2268</v>
      </c>
      <c r="C31" s="366">
        <v>0.055</v>
      </c>
      <c r="D31" s="366">
        <v>0.082</v>
      </c>
      <c r="E31" s="366">
        <v>0.064</v>
      </c>
      <c r="F31" s="366">
        <v>0.1</v>
      </c>
      <c r="G31" s="367">
        <v>0.095</v>
      </c>
    </row>
    <row r="32" spans="1:7">
      <c r="A32" s="376" t="s">
        <v>264</v>
      </c>
      <c r="B32" s="365" t="s">
        <v>2269</v>
      </c>
      <c r="C32" s="366">
        <v>0.082</v>
      </c>
      <c r="D32" s="366">
        <v>0.087</v>
      </c>
      <c r="E32" s="366">
        <v>0.095</v>
      </c>
      <c r="F32" s="366">
        <v>0.1</v>
      </c>
      <c r="G32" s="367">
        <v>0.096</v>
      </c>
    </row>
    <row r="33" spans="1:7">
      <c r="A33" s="376" t="s">
        <v>264</v>
      </c>
      <c r="B33" s="365" t="s">
        <v>2270</v>
      </c>
      <c r="C33" s="366">
        <v>0.099</v>
      </c>
      <c r="D33" s="366">
        <v>0.092</v>
      </c>
      <c r="E33" s="366">
        <v>0.087</v>
      </c>
      <c r="F33" s="366">
        <v>0.1</v>
      </c>
      <c r="G33" s="367">
        <v>0.097</v>
      </c>
    </row>
    <row r="34" spans="1:7">
      <c r="A34" s="376" t="s">
        <v>264</v>
      </c>
      <c r="B34" s="365" t="s">
        <v>2271</v>
      </c>
      <c r="C34" s="366">
        <v>0.084</v>
      </c>
      <c r="D34" s="366">
        <v>0.097</v>
      </c>
      <c r="E34" s="366">
        <v>0.071</v>
      </c>
      <c r="F34" s="366">
        <v>0.1</v>
      </c>
      <c r="G34" s="367">
        <v>0.098</v>
      </c>
    </row>
    <row r="35" spans="1:7">
      <c r="A35" s="376" t="s">
        <v>264</v>
      </c>
      <c r="B35" s="365" t="s">
        <v>2272</v>
      </c>
      <c r="C35" s="366">
        <v>0.083</v>
      </c>
      <c r="D35" s="366">
        <v>0.097</v>
      </c>
      <c r="E35" s="366">
        <v>0.061</v>
      </c>
      <c r="F35" s="366">
        <v>0.1</v>
      </c>
      <c r="G35" s="367">
        <v>0.099</v>
      </c>
    </row>
    <row r="36" spans="1:7">
      <c r="A36" s="376" t="s">
        <v>264</v>
      </c>
      <c r="B36" s="365" t="s">
        <v>2273</v>
      </c>
      <c r="C36" s="366">
        <v>0.097</v>
      </c>
      <c r="D36" s="366">
        <v>0.097</v>
      </c>
      <c r="E36" s="366">
        <v>0.078</v>
      </c>
      <c r="F36" s="366">
        <v>0.1</v>
      </c>
      <c r="G36" s="367">
        <v>0.099</v>
      </c>
    </row>
    <row r="37" spans="1:7">
      <c r="A37" s="376" t="s">
        <v>264</v>
      </c>
      <c r="B37" s="365" t="s">
        <v>2274</v>
      </c>
      <c r="C37" s="366">
        <v>0.097</v>
      </c>
      <c r="D37" s="366">
        <v>0.095</v>
      </c>
      <c r="E37" s="366">
        <v>0.078</v>
      </c>
      <c r="F37" s="366">
        <v>0.1</v>
      </c>
      <c r="G37" s="367">
        <v>0.097</v>
      </c>
    </row>
    <row r="38" spans="1:7">
      <c r="A38" s="376" t="s">
        <v>264</v>
      </c>
      <c r="B38" s="365" t="s">
        <v>2275</v>
      </c>
      <c r="C38" s="366">
        <v>0.097</v>
      </c>
      <c r="D38" s="366">
        <v>0.077</v>
      </c>
      <c r="E38" s="366">
        <v>0.07</v>
      </c>
      <c r="F38" s="366">
        <v>0.1</v>
      </c>
      <c r="G38" s="367">
        <v>0.077</v>
      </c>
    </row>
    <row r="39" spans="1:7">
      <c r="A39" s="376" t="s">
        <v>264</v>
      </c>
      <c r="B39" s="365" t="s">
        <v>2276</v>
      </c>
      <c r="C39" s="366">
        <v>0.095</v>
      </c>
      <c r="D39" s="366">
        <v>0.077</v>
      </c>
      <c r="E39" s="366">
        <v>0.066</v>
      </c>
      <c r="F39" s="366">
        <v>0.1</v>
      </c>
      <c r="G39" s="367">
        <v>0.086</v>
      </c>
    </row>
    <row r="40" spans="1:7">
      <c r="A40" s="376" t="s">
        <v>264</v>
      </c>
      <c r="B40" s="365" t="s">
        <v>2277</v>
      </c>
      <c r="C40" s="366">
        <v>0.077</v>
      </c>
      <c r="D40" s="366">
        <v>0.078</v>
      </c>
      <c r="E40" s="366">
        <v>0.082</v>
      </c>
      <c r="F40" s="377"/>
      <c r="G40" s="367">
        <v>0.078</v>
      </c>
    </row>
    <row r="41" spans="1:7">
      <c r="A41" s="376" t="s">
        <v>264</v>
      </c>
      <c r="B41" s="365" t="s">
        <v>2278</v>
      </c>
      <c r="C41" s="366">
        <v>0.078</v>
      </c>
      <c r="D41" s="366">
        <v>0.078</v>
      </c>
      <c r="E41" s="366">
        <v>0.082</v>
      </c>
      <c r="F41" s="377"/>
      <c r="G41" s="367">
        <v>0.086</v>
      </c>
    </row>
    <row r="42" spans="1:7">
      <c r="A42" s="376" t="s">
        <v>264</v>
      </c>
      <c r="B42" s="365" t="s">
        <v>2279</v>
      </c>
      <c r="C42" s="366">
        <v>0.078</v>
      </c>
      <c r="D42" s="366">
        <v>0.096</v>
      </c>
      <c r="E42" s="366">
        <v>0.072</v>
      </c>
      <c r="F42" s="377"/>
      <c r="G42" s="367">
        <v>0.098</v>
      </c>
    </row>
    <row r="43" spans="1:7">
      <c r="A43" s="376" t="s">
        <v>264</v>
      </c>
      <c r="B43" s="365" t="s">
        <v>2280</v>
      </c>
      <c r="C43" s="366">
        <v>0.078</v>
      </c>
      <c r="D43" s="366">
        <v>0.099</v>
      </c>
      <c r="E43" s="366">
        <v>0.096</v>
      </c>
      <c r="F43" s="377"/>
      <c r="G43" s="367">
        <v>0.1</v>
      </c>
    </row>
    <row r="44" spans="1:7">
      <c r="A44" s="376" t="s">
        <v>264</v>
      </c>
      <c r="B44" s="365" t="s">
        <v>2281</v>
      </c>
      <c r="C44" s="366">
        <v>0.096</v>
      </c>
      <c r="D44" s="366">
        <v>0.1</v>
      </c>
      <c r="E44" s="366">
        <v>0.098</v>
      </c>
      <c r="F44" s="377"/>
      <c r="G44" s="367">
        <v>0.1</v>
      </c>
    </row>
    <row r="45" spans="1:7">
      <c r="A45" s="376" t="s">
        <v>264</v>
      </c>
      <c r="B45" s="365" t="s">
        <v>2282</v>
      </c>
      <c r="C45" s="366">
        <v>0.099</v>
      </c>
      <c r="D45" s="366">
        <v>0.098</v>
      </c>
      <c r="E45" s="366">
        <v>0.095</v>
      </c>
      <c r="F45" s="377"/>
      <c r="G45" s="367">
        <v>0.098</v>
      </c>
    </row>
    <row r="46" spans="1:7">
      <c r="A46" s="376" t="s">
        <v>264</v>
      </c>
      <c r="B46" s="365" t="s">
        <v>2283</v>
      </c>
      <c r="C46" s="366">
        <v>0.1</v>
      </c>
      <c r="D46" s="366">
        <v>0.099</v>
      </c>
      <c r="E46" s="366">
        <v>0.096</v>
      </c>
      <c r="F46" s="377"/>
      <c r="G46" s="367">
        <v>0.1</v>
      </c>
    </row>
    <row r="47" spans="1:7">
      <c r="A47" s="376" t="s">
        <v>264</v>
      </c>
      <c r="B47" s="365" t="s">
        <v>2284</v>
      </c>
      <c r="C47" s="366">
        <v>0.098</v>
      </c>
      <c r="D47" s="366">
        <v>0.087</v>
      </c>
      <c r="E47" s="366">
        <v>0.059</v>
      </c>
      <c r="F47" s="377"/>
      <c r="G47" s="367">
        <v>0.096</v>
      </c>
    </row>
    <row r="48" spans="1:7">
      <c r="A48" s="376" t="s">
        <v>264</v>
      </c>
      <c r="B48" s="365" t="s">
        <v>2285</v>
      </c>
      <c r="C48" s="366">
        <v>0.099</v>
      </c>
      <c r="D48" s="366">
        <v>0.098</v>
      </c>
      <c r="E48" s="366">
        <v>0.095</v>
      </c>
      <c r="F48" s="377"/>
      <c r="G48" s="367">
        <v>0.098</v>
      </c>
    </row>
    <row r="49" spans="1:7">
      <c r="A49" s="376" t="s">
        <v>264</v>
      </c>
      <c r="B49" s="365" t="s">
        <v>2286</v>
      </c>
      <c r="C49" s="366">
        <v>0.088</v>
      </c>
      <c r="D49" s="366">
        <v>0.099</v>
      </c>
      <c r="E49" s="366">
        <v>0.07</v>
      </c>
      <c r="F49" s="377"/>
      <c r="G49" s="367">
        <v>0.1</v>
      </c>
    </row>
    <row r="50" spans="1:7">
      <c r="A50" s="376" t="s">
        <v>264</v>
      </c>
      <c r="B50" s="365" t="s">
        <v>2287</v>
      </c>
      <c r="C50" s="366">
        <v>0.098</v>
      </c>
      <c r="D50" s="366">
        <v>0.073</v>
      </c>
      <c r="E50" s="366">
        <v>0.071</v>
      </c>
      <c r="F50" s="377"/>
      <c r="G50" s="367">
        <v>0.073</v>
      </c>
    </row>
    <row r="51" spans="1:7">
      <c r="A51" s="376" t="s">
        <v>264</v>
      </c>
      <c r="B51" s="365" t="s">
        <v>2288</v>
      </c>
      <c r="C51" s="366">
        <v>0.099</v>
      </c>
      <c r="D51" s="366">
        <v>0.085</v>
      </c>
      <c r="E51" s="366">
        <v>0.063</v>
      </c>
      <c r="F51" s="377"/>
      <c r="G51" s="367">
        <v>0.096</v>
      </c>
    </row>
    <row r="52" spans="1:7">
      <c r="A52" s="376" t="s">
        <v>264</v>
      </c>
      <c r="B52" s="365" t="s">
        <v>2289</v>
      </c>
      <c r="C52" s="366">
        <v>0.074</v>
      </c>
      <c r="D52" s="366">
        <v>0.096</v>
      </c>
      <c r="E52" s="366">
        <v>0.05</v>
      </c>
      <c r="F52" s="377"/>
      <c r="G52" s="367">
        <v>0.098</v>
      </c>
    </row>
    <row r="53" spans="1:7">
      <c r="A53" s="376" t="s">
        <v>264</v>
      </c>
      <c r="B53" s="365" t="s">
        <v>2290</v>
      </c>
      <c r="C53" s="366">
        <v>0.086</v>
      </c>
      <c r="D53" s="377"/>
      <c r="E53" s="366">
        <v>0.092</v>
      </c>
      <c r="F53" s="377"/>
      <c r="G53" s="378"/>
    </row>
    <row r="54" ht="14.25" spans="1:7">
      <c r="A54" s="379" t="s">
        <v>264</v>
      </c>
      <c r="B54" s="369" t="s">
        <v>2291</v>
      </c>
      <c r="C54" s="370">
        <v>0.096</v>
      </c>
      <c r="D54" s="371"/>
      <c r="E54" s="380"/>
      <c r="F54" s="371"/>
      <c r="G54" s="381"/>
    </row>
    <row r="55" spans="1:7">
      <c r="A55" s="375" t="s">
        <v>275</v>
      </c>
      <c r="B55" s="361" t="s">
        <v>2292</v>
      </c>
      <c r="C55" s="362">
        <v>0.096</v>
      </c>
      <c r="D55" s="362">
        <v>0.084</v>
      </c>
      <c r="E55" s="362">
        <v>0.092</v>
      </c>
      <c r="F55" s="362">
        <v>0.1</v>
      </c>
      <c r="G55" s="363">
        <v>0.095</v>
      </c>
    </row>
    <row r="56" spans="1:7">
      <c r="A56" s="376" t="s">
        <v>275</v>
      </c>
      <c r="B56" s="365" t="s">
        <v>2293</v>
      </c>
      <c r="C56" s="366">
        <v>0.084</v>
      </c>
      <c r="D56" s="366">
        <v>0.092</v>
      </c>
      <c r="E56" s="366">
        <v>0.095</v>
      </c>
      <c r="F56" s="366">
        <v>0.092</v>
      </c>
      <c r="G56" s="367">
        <v>0.096</v>
      </c>
    </row>
    <row r="57" spans="1:7">
      <c r="A57" s="376" t="s">
        <v>275</v>
      </c>
      <c r="B57" s="365" t="s">
        <v>2294</v>
      </c>
      <c r="C57" s="366">
        <v>0.099</v>
      </c>
      <c r="D57" s="366">
        <v>0.096</v>
      </c>
      <c r="E57" s="366">
        <v>0.092</v>
      </c>
      <c r="F57" s="366">
        <v>0.1</v>
      </c>
      <c r="G57" s="367">
        <v>0.098</v>
      </c>
    </row>
    <row r="58" spans="1:7">
      <c r="A58" s="376" t="s">
        <v>275</v>
      </c>
      <c r="B58" s="365" t="s">
        <v>2295</v>
      </c>
      <c r="C58" s="366">
        <v>0.098</v>
      </c>
      <c r="D58" s="366">
        <v>0.095</v>
      </c>
      <c r="E58" s="366">
        <v>0.057</v>
      </c>
      <c r="F58" s="366">
        <v>0.1</v>
      </c>
      <c r="G58" s="367">
        <v>0.096</v>
      </c>
    </row>
    <row r="59" spans="1:7">
      <c r="A59" s="376" t="s">
        <v>275</v>
      </c>
      <c r="B59" s="365" t="s">
        <v>2296</v>
      </c>
      <c r="C59" s="366">
        <v>0.095</v>
      </c>
      <c r="D59" s="366">
        <v>0.1</v>
      </c>
      <c r="E59" s="366">
        <v>0.075</v>
      </c>
      <c r="F59" s="366">
        <v>0.1</v>
      </c>
      <c r="G59" s="367">
        <v>0.1</v>
      </c>
    </row>
    <row r="60" spans="1:7">
      <c r="A60" s="376" t="s">
        <v>275</v>
      </c>
      <c r="B60" s="365" t="s">
        <v>2297</v>
      </c>
      <c r="C60" s="366">
        <v>0.1</v>
      </c>
      <c r="D60" s="366">
        <v>0.097</v>
      </c>
      <c r="E60" s="366">
        <v>0.1</v>
      </c>
      <c r="F60" s="366">
        <v>0.1</v>
      </c>
      <c r="G60" s="367">
        <v>0.097</v>
      </c>
    </row>
    <row r="61" spans="1:7">
      <c r="A61" s="376" t="s">
        <v>275</v>
      </c>
      <c r="B61" s="365" t="s">
        <v>2298</v>
      </c>
      <c r="C61" s="366">
        <v>0.097</v>
      </c>
      <c r="D61" s="366">
        <v>0.1</v>
      </c>
      <c r="E61" s="366">
        <v>0.093</v>
      </c>
      <c r="F61" s="366">
        <v>0.1</v>
      </c>
      <c r="G61" s="367">
        <v>0.1</v>
      </c>
    </row>
    <row r="62" spans="1:7">
      <c r="A62" s="376" t="s">
        <v>275</v>
      </c>
      <c r="B62" s="365" t="s">
        <v>2299</v>
      </c>
      <c r="C62" s="366">
        <v>0.1</v>
      </c>
      <c r="D62" s="366">
        <v>0.097</v>
      </c>
      <c r="E62" s="366">
        <v>0.089</v>
      </c>
      <c r="F62" s="366">
        <v>0.1</v>
      </c>
      <c r="G62" s="367">
        <v>0.098</v>
      </c>
    </row>
    <row r="63" spans="1:7">
      <c r="A63" s="376" t="s">
        <v>275</v>
      </c>
      <c r="B63" s="365" t="s">
        <v>2300</v>
      </c>
      <c r="C63" s="366">
        <v>0.097</v>
      </c>
      <c r="D63" s="366">
        <v>0.097</v>
      </c>
      <c r="E63" s="366">
        <v>0.099</v>
      </c>
      <c r="F63" s="366">
        <v>0.1</v>
      </c>
      <c r="G63" s="367">
        <v>0.097</v>
      </c>
    </row>
    <row r="64" spans="1:7">
      <c r="A64" s="376" t="s">
        <v>275</v>
      </c>
      <c r="B64" s="365" t="s">
        <v>2301</v>
      </c>
      <c r="C64" s="366">
        <v>0.097</v>
      </c>
      <c r="D64" s="366">
        <v>0.074</v>
      </c>
      <c r="E64" s="366">
        <v>0.078</v>
      </c>
      <c r="F64" s="366">
        <v>0.1</v>
      </c>
      <c r="G64" s="367">
        <v>0.089</v>
      </c>
    </row>
    <row r="65" spans="1:7">
      <c r="A65" s="376" t="s">
        <v>275</v>
      </c>
      <c r="B65" s="365" t="s">
        <v>2302</v>
      </c>
      <c r="C65" s="366">
        <v>0.073</v>
      </c>
      <c r="D65" s="366">
        <v>0.098</v>
      </c>
      <c r="E65" s="366">
        <v>0.095</v>
      </c>
      <c r="F65" s="366">
        <v>0.1</v>
      </c>
      <c r="G65" s="367">
        <v>0.099</v>
      </c>
    </row>
    <row r="66" spans="1:7">
      <c r="A66" s="376" t="s">
        <v>275</v>
      </c>
      <c r="B66" s="365" t="s">
        <v>2303</v>
      </c>
      <c r="C66" s="366">
        <v>0.098</v>
      </c>
      <c r="D66" s="366">
        <v>0.095</v>
      </c>
      <c r="E66" s="366">
        <v>0.05</v>
      </c>
      <c r="F66" s="366">
        <v>0.1</v>
      </c>
      <c r="G66" s="367">
        <v>0.097</v>
      </c>
    </row>
    <row r="67" spans="1:7">
      <c r="A67" s="376" t="s">
        <v>275</v>
      </c>
      <c r="B67" s="365" t="s">
        <v>2304</v>
      </c>
      <c r="C67" s="366">
        <v>0.095</v>
      </c>
      <c r="D67" s="366">
        <v>0.097</v>
      </c>
      <c r="E67" s="366">
        <v>0.097</v>
      </c>
      <c r="F67" s="366">
        <v>0.1</v>
      </c>
      <c r="G67" s="367">
        <v>0.099</v>
      </c>
    </row>
    <row r="68" spans="1:7">
      <c r="A68" s="376" t="s">
        <v>275</v>
      </c>
      <c r="B68" s="365" t="s">
        <v>2305</v>
      </c>
      <c r="C68" s="366">
        <v>0.097</v>
      </c>
      <c r="D68" s="366">
        <v>0.068</v>
      </c>
      <c r="E68" s="366">
        <v>0.066</v>
      </c>
      <c r="F68" s="366">
        <v>0.1</v>
      </c>
      <c r="G68" s="367">
        <v>0.084</v>
      </c>
    </row>
    <row r="69" spans="1:7">
      <c r="A69" s="376" t="s">
        <v>275</v>
      </c>
      <c r="B69" s="365" t="s">
        <v>2306</v>
      </c>
      <c r="C69" s="366">
        <v>0.068</v>
      </c>
      <c r="D69" s="366">
        <v>0.098</v>
      </c>
      <c r="E69" s="366">
        <v>0.095</v>
      </c>
      <c r="F69" s="366">
        <v>0.1</v>
      </c>
      <c r="G69" s="367">
        <v>0.1</v>
      </c>
    </row>
    <row r="70" spans="1:7">
      <c r="A70" s="376" t="s">
        <v>275</v>
      </c>
      <c r="B70" s="365" t="s">
        <v>2307</v>
      </c>
      <c r="C70" s="366">
        <v>0.098</v>
      </c>
      <c r="D70" s="366">
        <v>0.089</v>
      </c>
      <c r="E70" s="366">
        <v>0.059</v>
      </c>
      <c r="F70" s="366">
        <v>0.1</v>
      </c>
      <c r="G70" s="367">
        <v>0.096</v>
      </c>
    </row>
    <row r="71" spans="1:7">
      <c r="A71" s="376" t="s">
        <v>275</v>
      </c>
      <c r="B71" s="365" t="s">
        <v>2308</v>
      </c>
      <c r="C71" s="366">
        <v>0.089</v>
      </c>
      <c r="D71" s="366">
        <v>0.099</v>
      </c>
      <c r="E71" s="366">
        <v>0.096</v>
      </c>
      <c r="F71" s="366">
        <v>0.1</v>
      </c>
      <c r="G71" s="367">
        <v>0.1</v>
      </c>
    </row>
    <row r="72" spans="1:7">
      <c r="A72" s="376" t="s">
        <v>275</v>
      </c>
      <c r="B72" s="365" t="s">
        <v>547</v>
      </c>
      <c r="C72" s="366">
        <v>0.099</v>
      </c>
      <c r="D72" s="366">
        <v>0.1</v>
      </c>
      <c r="E72" s="366">
        <v>0.07</v>
      </c>
      <c r="F72" s="377"/>
      <c r="G72" s="367">
        <v>0.1</v>
      </c>
    </row>
    <row r="73" spans="1:7">
      <c r="A73" s="376" t="s">
        <v>275</v>
      </c>
      <c r="B73" s="365" t="s">
        <v>2309</v>
      </c>
      <c r="C73" s="366">
        <v>0.1</v>
      </c>
      <c r="D73" s="366">
        <v>0.1</v>
      </c>
      <c r="E73" s="366">
        <v>0.096</v>
      </c>
      <c r="F73" s="377"/>
      <c r="G73" s="367">
        <v>0.1</v>
      </c>
    </row>
    <row r="74" spans="1:7">
      <c r="A74" s="376" t="s">
        <v>275</v>
      </c>
      <c r="B74" s="365" t="s">
        <v>2310</v>
      </c>
      <c r="C74" s="366">
        <v>0.1</v>
      </c>
      <c r="D74" s="366">
        <v>0.1</v>
      </c>
      <c r="E74" s="366">
        <v>0.098</v>
      </c>
      <c r="F74" s="377"/>
      <c r="G74" s="367">
        <v>0.1</v>
      </c>
    </row>
    <row r="75" spans="1:7">
      <c r="A75" s="376" t="s">
        <v>275</v>
      </c>
      <c r="B75" s="365" t="s">
        <v>2311</v>
      </c>
      <c r="C75" s="366">
        <v>0.1</v>
      </c>
      <c r="D75" s="366">
        <v>0.099</v>
      </c>
      <c r="E75" s="366">
        <v>0.098</v>
      </c>
      <c r="F75" s="377"/>
      <c r="G75" s="367">
        <v>0.1</v>
      </c>
    </row>
    <row r="76" spans="1:7">
      <c r="A76" s="376" t="s">
        <v>275</v>
      </c>
      <c r="B76" s="365" t="s">
        <v>2312</v>
      </c>
      <c r="C76" s="366">
        <v>0.099</v>
      </c>
      <c r="D76" s="366">
        <v>0.1</v>
      </c>
      <c r="E76" s="366">
        <v>0.097</v>
      </c>
      <c r="F76" s="377"/>
      <c r="G76" s="367">
        <v>0.1</v>
      </c>
    </row>
    <row r="77" spans="1:7">
      <c r="A77" s="376" t="s">
        <v>275</v>
      </c>
      <c r="B77" s="365" t="s">
        <v>2313</v>
      </c>
      <c r="C77" s="366">
        <v>0.1</v>
      </c>
      <c r="D77" s="366">
        <v>0.1</v>
      </c>
      <c r="E77" s="366">
        <v>0.096</v>
      </c>
      <c r="F77" s="377"/>
      <c r="G77" s="367">
        <v>0.1</v>
      </c>
    </row>
    <row r="78" spans="1:7">
      <c r="A78" s="376" t="s">
        <v>275</v>
      </c>
      <c r="B78" s="365" t="s">
        <v>2314</v>
      </c>
      <c r="C78" s="366">
        <v>0.1</v>
      </c>
      <c r="D78" s="366">
        <v>0.085</v>
      </c>
      <c r="E78" s="366">
        <v>0.096</v>
      </c>
      <c r="F78" s="377"/>
      <c r="G78" s="367">
        <v>0.096</v>
      </c>
    </row>
    <row r="79" spans="1:7">
      <c r="A79" s="376" t="s">
        <v>275</v>
      </c>
      <c r="B79" s="365" t="s">
        <v>2315</v>
      </c>
      <c r="C79" s="366">
        <v>0.05</v>
      </c>
      <c r="D79" s="366">
        <v>0.096</v>
      </c>
      <c r="E79" s="366">
        <v>0.095</v>
      </c>
      <c r="F79" s="377"/>
      <c r="G79" s="367">
        <v>0.098</v>
      </c>
    </row>
    <row r="80" spans="1:7">
      <c r="A80" s="376" t="s">
        <v>275</v>
      </c>
      <c r="B80" s="365" t="s">
        <v>2316</v>
      </c>
      <c r="C80" s="366">
        <v>0.086</v>
      </c>
      <c r="D80" s="382"/>
      <c r="E80" s="366">
        <v>0.1</v>
      </c>
      <c r="F80" s="377"/>
      <c r="G80" s="378"/>
    </row>
    <row r="81" spans="1:7">
      <c r="A81" s="376" t="s">
        <v>275</v>
      </c>
      <c r="B81" s="365" t="s">
        <v>2317</v>
      </c>
      <c r="C81" s="366">
        <v>0.096</v>
      </c>
      <c r="D81" s="377"/>
      <c r="E81" s="366">
        <v>0.098</v>
      </c>
      <c r="F81" s="377"/>
      <c r="G81" s="378"/>
    </row>
    <row r="82" spans="1:7">
      <c r="A82" s="376" t="s">
        <v>275</v>
      </c>
      <c r="B82" s="365" t="s">
        <v>2318</v>
      </c>
      <c r="C82" s="382"/>
      <c r="D82" s="377"/>
      <c r="E82" s="366">
        <v>0.077</v>
      </c>
      <c r="F82" s="377"/>
      <c r="G82" s="378"/>
    </row>
    <row r="83" spans="1:7">
      <c r="A83" s="376" t="s">
        <v>275</v>
      </c>
      <c r="B83" s="365" t="s">
        <v>2319</v>
      </c>
      <c r="C83" s="377"/>
      <c r="D83" s="377"/>
      <c r="E83" s="377"/>
      <c r="F83" s="366">
        <v>0.1</v>
      </c>
      <c r="G83" s="383"/>
    </row>
    <row r="84" spans="1:7">
      <c r="A84" s="376" t="s">
        <v>275</v>
      </c>
      <c r="B84" s="365" t="s">
        <v>2320</v>
      </c>
      <c r="C84" s="377"/>
      <c r="D84" s="377"/>
      <c r="E84" s="377"/>
      <c r="F84" s="366">
        <v>0.1</v>
      </c>
      <c r="G84" s="383"/>
    </row>
    <row r="85" spans="1:7">
      <c r="A85" s="376" t="s">
        <v>275</v>
      </c>
      <c r="B85" s="365" t="s">
        <v>2321</v>
      </c>
      <c r="C85" s="377"/>
      <c r="D85" s="377"/>
      <c r="E85" s="377"/>
      <c r="F85" s="366">
        <v>0.1</v>
      </c>
      <c r="G85" s="383"/>
    </row>
    <row r="86" ht="14.25" spans="1:7">
      <c r="A86" s="379" t="s">
        <v>275</v>
      </c>
      <c r="B86" s="369" t="s">
        <v>2322</v>
      </c>
      <c r="C86" s="370">
        <v>0.098</v>
      </c>
      <c r="D86" s="370">
        <v>0.098</v>
      </c>
      <c r="E86" s="370">
        <v>0.096</v>
      </c>
      <c r="F86" s="380"/>
      <c r="G86" s="372">
        <v>0.1</v>
      </c>
    </row>
    <row r="87" spans="1:7">
      <c r="A87" s="375" t="s">
        <v>286</v>
      </c>
      <c r="B87" s="361" t="s">
        <v>2323</v>
      </c>
      <c r="C87" s="362">
        <v>0.1</v>
      </c>
      <c r="D87" s="362">
        <v>0.1</v>
      </c>
      <c r="E87" s="362">
        <v>0.098</v>
      </c>
      <c r="F87" s="362">
        <v>0.1</v>
      </c>
      <c r="G87" s="363">
        <v>0.1</v>
      </c>
    </row>
    <row r="88" spans="1:7">
      <c r="A88" s="376" t="s">
        <v>286</v>
      </c>
      <c r="B88" s="365" t="s">
        <v>2324</v>
      </c>
      <c r="C88" s="366">
        <v>0.091</v>
      </c>
      <c r="D88" s="366">
        <v>0.092</v>
      </c>
      <c r="E88" s="366">
        <v>0.1</v>
      </c>
      <c r="F88" s="366">
        <v>0.1</v>
      </c>
      <c r="G88" s="367">
        <v>0.096</v>
      </c>
    </row>
    <row r="89" spans="1:7">
      <c r="A89" s="376" t="s">
        <v>286</v>
      </c>
      <c r="B89" s="365" t="s">
        <v>2325</v>
      </c>
      <c r="C89" s="366">
        <v>0.1</v>
      </c>
      <c r="D89" s="366">
        <v>0.1</v>
      </c>
      <c r="E89" s="366">
        <v>0.067</v>
      </c>
      <c r="F89" s="366">
        <v>0.093</v>
      </c>
      <c r="G89" s="367">
        <v>0.1</v>
      </c>
    </row>
    <row r="90" spans="1:7">
      <c r="A90" s="376" t="s">
        <v>286</v>
      </c>
      <c r="B90" s="365" t="s">
        <v>2326</v>
      </c>
      <c r="C90" s="366">
        <v>0.096</v>
      </c>
      <c r="D90" s="366">
        <v>0.096</v>
      </c>
      <c r="E90" s="366">
        <v>0.1</v>
      </c>
      <c r="F90" s="366">
        <v>0.1</v>
      </c>
      <c r="G90" s="367">
        <v>0.098</v>
      </c>
    </row>
    <row r="91" spans="1:7">
      <c r="A91" s="376" t="s">
        <v>286</v>
      </c>
      <c r="B91" s="365" t="s">
        <v>2327</v>
      </c>
      <c r="C91" s="366">
        <v>0.077</v>
      </c>
      <c r="D91" s="366">
        <v>0.077</v>
      </c>
      <c r="E91" s="366">
        <v>0.096</v>
      </c>
      <c r="F91" s="366">
        <v>0.1</v>
      </c>
      <c r="G91" s="367">
        <v>0.077</v>
      </c>
    </row>
    <row r="92" spans="1:7">
      <c r="A92" s="376" t="s">
        <v>286</v>
      </c>
      <c r="B92" s="365" t="s">
        <v>2328</v>
      </c>
      <c r="C92" s="366">
        <v>0.1</v>
      </c>
      <c r="D92" s="366">
        <v>0.1</v>
      </c>
      <c r="E92" s="366">
        <v>0.092</v>
      </c>
      <c r="F92" s="366">
        <v>0.1</v>
      </c>
      <c r="G92" s="367">
        <v>0.1</v>
      </c>
    </row>
    <row r="93" spans="1:7">
      <c r="A93" s="376" t="s">
        <v>286</v>
      </c>
      <c r="B93" s="365" t="s">
        <v>2329</v>
      </c>
      <c r="C93" s="366">
        <v>0.098</v>
      </c>
      <c r="D93" s="366">
        <v>0.098</v>
      </c>
      <c r="E93" s="366">
        <v>0.096</v>
      </c>
      <c r="F93" s="366">
        <v>0.1</v>
      </c>
      <c r="G93" s="367">
        <v>0.099</v>
      </c>
    </row>
    <row r="94" spans="1:7">
      <c r="A94" s="376" t="s">
        <v>286</v>
      </c>
      <c r="B94" s="365" t="s">
        <v>2330</v>
      </c>
      <c r="C94" s="366">
        <v>0.088</v>
      </c>
      <c r="D94" s="366">
        <v>0.088</v>
      </c>
      <c r="E94" s="366">
        <v>0.096</v>
      </c>
      <c r="F94" s="366">
        <v>0.1</v>
      </c>
      <c r="G94" s="367">
        <v>0.088</v>
      </c>
    </row>
    <row r="95" spans="1:7">
      <c r="A95" s="376" t="s">
        <v>286</v>
      </c>
      <c r="B95" s="365" t="s">
        <v>2331</v>
      </c>
      <c r="C95" s="366">
        <v>0.096</v>
      </c>
      <c r="D95" s="366">
        <v>0.096</v>
      </c>
      <c r="E95" s="366">
        <v>0.1</v>
      </c>
      <c r="F95" s="366">
        <v>0.1</v>
      </c>
      <c r="G95" s="367">
        <v>0.098</v>
      </c>
    </row>
    <row r="96" spans="1:7">
      <c r="A96" s="376" t="s">
        <v>286</v>
      </c>
      <c r="B96" s="365" t="s">
        <v>2332</v>
      </c>
      <c r="C96" s="366">
        <v>0.097</v>
      </c>
      <c r="D96" s="366">
        <v>0.097</v>
      </c>
      <c r="E96" s="366">
        <v>0.1</v>
      </c>
      <c r="F96" s="366">
        <v>0.1</v>
      </c>
      <c r="G96" s="367">
        <v>0.098</v>
      </c>
    </row>
    <row r="97" spans="1:7">
      <c r="A97" s="376" t="s">
        <v>286</v>
      </c>
      <c r="B97" s="365" t="s">
        <v>2333</v>
      </c>
      <c r="C97" s="366">
        <v>0.096</v>
      </c>
      <c r="D97" s="366">
        <v>0.096</v>
      </c>
      <c r="E97" s="366">
        <v>0.099</v>
      </c>
      <c r="F97" s="366">
        <v>0.1</v>
      </c>
      <c r="G97" s="367">
        <v>0.098</v>
      </c>
    </row>
    <row r="98" spans="1:7">
      <c r="A98" s="376" t="s">
        <v>286</v>
      </c>
      <c r="B98" s="365" t="s">
        <v>2334</v>
      </c>
      <c r="C98" s="366">
        <v>0.098</v>
      </c>
      <c r="D98" s="366">
        <v>0.098</v>
      </c>
      <c r="E98" s="366">
        <v>0.1</v>
      </c>
      <c r="F98" s="366">
        <v>0.1</v>
      </c>
      <c r="G98" s="367">
        <v>0.099</v>
      </c>
    </row>
    <row r="99" spans="1:7">
      <c r="A99" s="376" t="s">
        <v>286</v>
      </c>
      <c r="B99" s="365" t="s">
        <v>2335</v>
      </c>
      <c r="C99" s="366">
        <v>0.096</v>
      </c>
      <c r="D99" s="366">
        <v>0.096</v>
      </c>
      <c r="E99" s="366">
        <v>0.1</v>
      </c>
      <c r="F99" s="366">
        <v>0.1</v>
      </c>
      <c r="G99" s="367">
        <v>0.097</v>
      </c>
    </row>
    <row r="100" spans="1:7">
      <c r="A100" s="376" t="s">
        <v>286</v>
      </c>
      <c r="B100" s="365" t="s">
        <v>2336</v>
      </c>
      <c r="C100" s="366">
        <v>0.1</v>
      </c>
      <c r="D100" s="366">
        <v>0.1</v>
      </c>
      <c r="E100" s="366">
        <v>0.097</v>
      </c>
      <c r="F100" s="366">
        <v>0.098</v>
      </c>
      <c r="G100" s="367">
        <v>0.1</v>
      </c>
    </row>
    <row r="101" spans="1:7">
      <c r="A101" s="376" t="s">
        <v>286</v>
      </c>
      <c r="B101" s="365" t="s">
        <v>2337</v>
      </c>
      <c r="C101" s="366">
        <v>0.1</v>
      </c>
      <c r="D101" s="366">
        <v>0.1</v>
      </c>
      <c r="E101" s="366">
        <v>0.095</v>
      </c>
      <c r="F101" s="366">
        <v>0.1</v>
      </c>
      <c r="G101" s="367">
        <v>0.1</v>
      </c>
    </row>
    <row r="102" spans="1:7">
      <c r="A102" s="376" t="s">
        <v>286</v>
      </c>
      <c r="B102" s="365" t="s">
        <v>2338</v>
      </c>
      <c r="C102" s="366">
        <v>0.1</v>
      </c>
      <c r="D102" s="366">
        <v>0.1</v>
      </c>
      <c r="E102" s="366">
        <v>0.099</v>
      </c>
      <c r="F102" s="366">
        <v>0.097</v>
      </c>
      <c r="G102" s="367">
        <v>0.1</v>
      </c>
    </row>
    <row r="103" spans="1:7">
      <c r="A103" s="376" t="s">
        <v>286</v>
      </c>
      <c r="B103" s="365" t="s">
        <v>2339</v>
      </c>
      <c r="C103" s="366">
        <v>0.1</v>
      </c>
      <c r="D103" s="366">
        <v>0.1</v>
      </c>
      <c r="E103" s="366">
        <v>0.098</v>
      </c>
      <c r="F103" s="366">
        <v>0.1</v>
      </c>
      <c r="G103" s="367">
        <v>0.1</v>
      </c>
    </row>
    <row r="104" spans="1:7">
      <c r="A104" s="376" t="s">
        <v>286</v>
      </c>
      <c r="B104" s="365" t="s">
        <v>2340</v>
      </c>
      <c r="C104" s="366">
        <v>0.1</v>
      </c>
      <c r="D104" s="366">
        <v>0.1</v>
      </c>
      <c r="E104" s="366">
        <v>0.098</v>
      </c>
      <c r="F104" s="366">
        <v>0.1</v>
      </c>
      <c r="G104" s="367">
        <v>0.1</v>
      </c>
    </row>
    <row r="105" spans="1:7">
      <c r="A105" s="376" t="s">
        <v>286</v>
      </c>
      <c r="B105" s="365" t="s">
        <v>2341</v>
      </c>
      <c r="C105" s="366">
        <v>0.098</v>
      </c>
      <c r="D105" s="366">
        <v>0.098</v>
      </c>
      <c r="E105" s="366">
        <v>0.098</v>
      </c>
      <c r="F105" s="366">
        <v>0.1</v>
      </c>
      <c r="G105" s="367">
        <v>0.099</v>
      </c>
    </row>
    <row r="106" spans="1:7">
      <c r="A106" s="376" t="s">
        <v>286</v>
      </c>
      <c r="B106" s="365" t="s">
        <v>2342</v>
      </c>
      <c r="C106" s="366">
        <v>0.097</v>
      </c>
      <c r="D106" s="366">
        <v>0.097</v>
      </c>
      <c r="E106" s="366">
        <v>0.097</v>
      </c>
      <c r="F106" s="366">
        <v>0.1</v>
      </c>
      <c r="G106" s="367">
        <v>0.099</v>
      </c>
    </row>
    <row r="107" spans="1:7">
      <c r="A107" s="376" t="s">
        <v>286</v>
      </c>
      <c r="B107" s="365" t="s">
        <v>2343</v>
      </c>
      <c r="C107" s="366">
        <v>0.1</v>
      </c>
      <c r="D107" s="366">
        <v>0.1</v>
      </c>
      <c r="E107" s="366">
        <v>0.086</v>
      </c>
      <c r="F107" s="366">
        <v>0.09</v>
      </c>
      <c r="G107" s="367">
        <v>0.1</v>
      </c>
    </row>
    <row r="108" spans="1:7">
      <c r="A108" s="376" t="s">
        <v>286</v>
      </c>
      <c r="B108" s="365" t="s">
        <v>2344</v>
      </c>
      <c r="C108" s="366">
        <v>0.1</v>
      </c>
      <c r="D108" s="366">
        <v>0.1</v>
      </c>
      <c r="E108" s="366">
        <v>0.096</v>
      </c>
      <c r="F108" s="377"/>
      <c r="G108" s="367">
        <v>0.1</v>
      </c>
    </row>
    <row r="109" spans="1:7">
      <c r="A109" s="376" t="s">
        <v>286</v>
      </c>
      <c r="B109" s="365" t="s">
        <v>2345</v>
      </c>
      <c r="C109" s="366">
        <v>0.1</v>
      </c>
      <c r="D109" s="366">
        <v>0.1</v>
      </c>
      <c r="E109" s="366">
        <v>0.1</v>
      </c>
      <c r="F109" s="377"/>
      <c r="G109" s="367">
        <v>0.1</v>
      </c>
    </row>
    <row r="110" spans="1:7">
      <c r="A110" s="376" t="s">
        <v>286</v>
      </c>
      <c r="B110" s="365" t="s">
        <v>2346</v>
      </c>
      <c r="C110" s="366">
        <v>0.1</v>
      </c>
      <c r="D110" s="366">
        <v>0.1</v>
      </c>
      <c r="E110" s="366">
        <v>0.1</v>
      </c>
      <c r="F110" s="377"/>
      <c r="G110" s="367">
        <v>0.1</v>
      </c>
    </row>
    <row r="111" spans="1:7">
      <c r="A111" s="376" t="s">
        <v>286</v>
      </c>
      <c r="B111" s="365" t="s">
        <v>2347</v>
      </c>
      <c r="C111" s="366">
        <v>0.1</v>
      </c>
      <c r="D111" s="366">
        <v>0.1</v>
      </c>
      <c r="E111" s="366">
        <v>0.095</v>
      </c>
      <c r="F111" s="377"/>
      <c r="G111" s="367">
        <v>0.1</v>
      </c>
    </row>
    <row r="112" spans="1:7">
      <c r="A112" s="376" t="s">
        <v>286</v>
      </c>
      <c r="B112" s="365" t="s">
        <v>2348</v>
      </c>
      <c r="C112" s="366">
        <v>0.097</v>
      </c>
      <c r="D112" s="366">
        <v>0.097</v>
      </c>
      <c r="E112" s="366">
        <v>0.05</v>
      </c>
      <c r="F112" s="377"/>
      <c r="G112" s="367">
        <v>0.098</v>
      </c>
    </row>
    <row r="113" spans="1:7">
      <c r="A113" s="376" t="s">
        <v>286</v>
      </c>
      <c r="B113" s="365" t="s">
        <v>2349</v>
      </c>
      <c r="C113" s="366">
        <v>0.1</v>
      </c>
      <c r="D113" s="366">
        <v>0.1</v>
      </c>
      <c r="E113" s="377"/>
      <c r="F113" s="377"/>
      <c r="G113" s="367">
        <v>0.1</v>
      </c>
    </row>
    <row r="114" spans="1:7">
      <c r="A114" s="376" t="s">
        <v>286</v>
      </c>
      <c r="B114" s="365" t="s">
        <v>2350</v>
      </c>
      <c r="C114" s="366">
        <v>0.097</v>
      </c>
      <c r="D114" s="366">
        <v>0.097</v>
      </c>
      <c r="E114" s="377"/>
      <c r="F114" s="377"/>
      <c r="G114" s="367">
        <v>0.099</v>
      </c>
    </row>
    <row r="115" spans="1:7">
      <c r="A115" s="376" t="s">
        <v>286</v>
      </c>
      <c r="B115" s="365" t="s">
        <v>2351</v>
      </c>
      <c r="C115" s="366">
        <v>0.1</v>
      </c>
      <c r="D115" s="366">
        <v>0.1</v>
      </c>
      <c r="E115" s="377"/>
      <c r="F115" s="377"/>
      <c r="G115" s="367">
        <v>0.1</v>
      </c>
    </row>
    <row r="116" spans="1:7">
      <c r="A116" s="376" t="s">
        <v>286</v>
      </c>
      <c r="B116" s="365" t="s">
        <v>2352</v>
      </c>
      <c r="C116" s="366">
        <v>0.1</v>
      </c>
      <c r="D116" s="366">
        <v>0.1</v>
      </c>
      <c r="E116" s="377"/>
      <c r="F116" s="377"/>
      <c r="G116" s="367">
        <v>0.1</v>
      </c>
    </row>
    <row r="117" spans="1:7">
      <c r="A117" s="376" t="s">
        <v>286</v>
      </c>
      <c r="B117" s="365" t="s">
        <v>2353</v>
      </c>
      <c r="C117" s="366">
        <v>0.097</v>
      </c>
      <c r="D117" s="366">
        <v>0.097</v>
      </c>
      <c r="E117" s="377"/>
      <c r="F117" s="377"/>
      <c r="G117" s="367">
        <v>0.097</v>
      </c>
    </row>
    <row r="118" spans="1:7">
      <c r="A118" s="376" t="s">
        <v>286</v>
      </c>
      <c r="B118" s="365" t="s">
        <v>2354</v>
      </c>
      <c r="C118" s="366">
        <v>0.1</v>
      </c>
      <c r="D118" s="366">
        <v>0.1</v>
      </c>
      <c r="E118" s="377"/>
      <c r="F118" s="377"/>
      <c r="G118" s="367">
        <v>0.1</v>
      </c>
    </row>
    <row r="119" spans="1:7">
      <c r="A119" s="376" t="s">
        <v>286</v>
      </c>
      <c r="B119" s="365" t="s">
        <v>2355</v>
      </c>
      <c r="C119" s="366">
        <v>0.051</v>
      </c>
      <c r="D119" s="366">
        <v>0.052</v>
      </c>
      <c r="E119" s="377"/>
      <c r="F119" s="382"/>
      <c r="G119" s="367">
        <v>0.06</v>
      </c>
    </row>
    <row r="120" spans="1:7">
      <c r="A120" s="376" t="s">
        <v>286</v>
      </c>
      <c r="B120" s="365" t="s">
        <v>2356</v>
      </c>
      <c r="C120" s="377"/>
      <c r="D120" s="377"/>
      <c r="E120" s="377"/>
      <c r="F120" s="366">
        <v>0.1</v>
      </c>
      <c r="G120" s="383"/>
    </row>
    <row r="121" spans="1:7">
      <c r="A121" s="376" t="s">
        <v>286</v>
      </c>
      <c r="B121" s="365" t="s">
        <v>2357</v>
      </c>
      <c r="C121" s="377"/>
      <c r="D121" s="377"/>
      <c r="E121" s="377"/>
      <c r="F121" s="366">
        <v>0.1</v>
      </c>
      <c r="G121" s="383"/>
    </row>
    <row r="122" spans="1:7">
      <c r="A122" s="376" t="s">
        <v>286</v>
      </c>
      <c r="B122" s="365" t="s">
        <v>2358</v>
      </c>
      <c r="C122" s="366">
        <v>0.1</v>
      </c>
      <c r="D122" s="366">
        <v>0.1</v>
      </c>
      <c r="E122" s="366">
        <v>0.098</v>
      </c>
      <c r="F122" s="366">
        <v>0.1</v>
      </c>
      <c r="G122" s="367">
        <v>0.1</v>
      </c>
    </row>
    <row r="123" spans="1:7">
      <c r="A123" s="376" t="s">
        <v>286</v>
      </c>
      <c r="B123" s="365" t="s">
        <v>2359</v>
      </c>
      <c r="C123" s="366">
        <v>0.1</v>
      </c>
      <c r="D123" s="366">
        <v>0.1</v>
      </c>
      <c r="E123" s="366">
        <v>0.098</v>
      </c>
      <c r="F123" s="366">
        <v>0.1</v>
      </c>
      <c r="G123" s="367">
        <v>0.1</v>
      </c>
    </row>
    <row r="124" spans="1:7">
      <c r="A124" s="376" t="s">
        <v>286</v>
      </c>
      <c r="B124" s="365" t="s">
        <v>2360</v>
      </c>
      <c r="C124" s="366">
        <v>0.1</v>
      </c>
      <c r="D124" s="366">
        <v>0.1</v>
      </c>
      <c r="E124" s="366">
        <v>0.098</v>
      </c>
      <c r="F124" s="382"/>
      <c r="G124" s="367">
        <v>0.1</v>
      </c>
    </row>
    <row r="125" spans="1:7">
      <c r="A125" s="376" t="s">
        <v>286</v>
      </c>
      <c r="B125" s="365" t="s">
        <v>2361</v>
      </c>
      <c r="C125" s="366">
        <v>0.098</v>
      </c>
      <c r="D125" s="366">
        <v>0.098</v>
      </c>
      <c r="E125" s="366">
        <v>0.096</v>
      </c>
      <c r="F125" s="382"/>
      <c r="G125" s="367">
        <v>0.1</v>
      </c>
    </row>
    <row r="126" ht="14.25" spans="1:7">
      <c r="A126" s="379" t="s">
        <v>286</v>
      </c>
      <c r="B126" s="369" t="s">
        <v>2362</v>
      </c>
      <c r="C126" s="370">
        <v>0.1</v>
      </c>
      <c r="D126" s="370">
        <v>0.1</v>
      </c>
      <c r="E126" s="370">
        <v>0.098</v>
      </c>
      <c r="F126" s="370">
        <v>0.1</v>
      </c>
      <c r="G126" s="372">
        <v>0.1</v>
      </c>
    </row>
    <row r="127" spans="1:7">
      <c r="A127" s="375" t="s">
        <v>295</v>
      </c>
      <c r="B127" s="361" t="s">
        <v>2363</v>
      </c>
      <c r="C127" s="362">
        <v>0.121</v>
      </c>
      <c r="D127" s="362">
        <v>0.121</v>
      </c>
      <c r="E127" s="362">
        <v>0.107</v>
      </c>
      <c r="F127" s="362">
        <v>0.13</v>
      </c>
      <c r="G127" s="363">
        <v>0.122</v>
      </c>
    </row>
    <row r="128" spans="1:7">
      <c r="A128" s="376" t="s">
        <v>295</v>
      </c>
      <c r="B128" s="365" t="s">
        <v>2364</v>
      </c>
      <c r="C128" s="366">
        <v>0.116</v>
      </c>
      <c r="D128" s="366">
        <v>0.117</v>
      </c>
      <c r="E128" s="366">
        <v>0.104</v>
      </c>
      <c r="F128" s="366">
        <v>0.13</v>
      </c>
      <c r="G128" s="367">
        <v>0.117</v>
      </c>
    </row>
    <row r="129" spans="1:7">
      <c r="A129" s="376" t="s">
        <v>295</v>
      </c>
      <c r="B129" s="365" t="s">
        <v>2365</v>
      </c>
      <c r="C129" s="366">
        <v>0.107</v>
      </c>
      <c r="D129" s="366">
        <v>0.108</v>
      </c>
      <c r="E129" s="366">
        <v>0.1</v>
      </c>
      <c r="F129" s="366">
        <v>0.13</v>
      </c>
      <c r="G129" s="367">
        <v>0.117</v>
      </c>
    </row>
    <row r="130" spans="1:7">
      <c r="A130" s="376" t="s">
        <v>295</v>
      </c>
      <c r="B130" s="365" t="s">
        <v>2366</v>
      </c>
      <c r="C130" s="366">
        <v>0.13</v>
      </c>
      <c r="D130" s="366">
        <v>0.13</v>
      </c>
      <c r="E130" s="366">
        <v>0.126</v>
      </c>
      <c r="F130" s="366">
        <v>0.13</v>
      </c>
      <c r="G130" s="367">
        <v>0.13</v>
      </c>
    </row>
    <row r="131" spans="1:7">
      <c r="A131" s="376" t="s">
        <v>295</v>
      </c>
      <c r="B131" s="365" t="s">
        <v>2367</v>
      </c>
      <c r="C131" s="366">
        <v>0.13</v>
      </c>
      <c r="D131" s="366">
        <v>0.13</v>
      </c>
      <c r="E131" s="366">
        <v>0.13</v>
      </c>
      <c r="F131" s="366">
        <v>0.13</v>
      </c>
      <c r="G131" s="367">
        <v>0.13</v>
      </c>
    </row>
    <row r="132" spans="1:7">
      <c r="A132" s="376" t="s">
        <v>295</v>
      </c>
      <c r="B132" s="365" t="s">
        <v>2368</v>
      </c>
      <c r="C132" s="366">
        <v>0.13</v>
      </c>
      <c r="D132" s="366">
        <v>0.13</v>
      </c>
      <c r="E132" s="366">
        <v>0.126</v>
      </c>
      <c r="F132" s="366">
        <v>0.13</v>
      </c>
      <c r="G132" s="367">
        <v>0.13</v>
      </c>
    </row>
    <row r="133" spans="1:7">
      <c r="A133" s="376" t="s">
        <v>295</v>
      </c>
      <c r="B133" s="365" t="s">
        <v>2369</v>
      </c>
      <c r="C133" s="366">
        <v>0.111</v>
      </c>
      <c r="D133" s="366">
        <v>0.111</v>
      </c>
      <c r="E133" s="366">
        <v>0.102</v>
      </c>
      <c r="F133" s="366">
        <v>0.13</v>
      </c>
      <c r="G133" s="367">
        <v>0.121</v>
      </c>
    </row>
    <row r="134" spans="1:7">
      <c r="A134" s="376" t="s">
        <v>295</v>
      </c>
      <c r="B134" s="365" t="s">
        <v>2370</v>
      </c>
      <c r="C134" s="366">
        <v>0.121</v>
      </c>
      <c r="D134" s="366">
        <v>0.121</v>
      </c>
      <c r="E134" s="366">
        <v>0.1</v>
      </c>
      <c r="F134" s="366">
        <v>0.13</v>
      </c>
      <c r="G134" s="367">
        <v>0.123</v>
      </c>
    </row>
    <row r="135" spans="1:7">
      <c r="A135" s="376" t="s">
        <v>295</v>
      </c>
      <c r="B135" s="365" t="s">
        <v>2371</v>
      </c>
      <c r="C135" s="366">
        <v>0.105</v>
      </c>
      <c r="D135" s="366">
        <v>0.106</v>
      </c>
      <c r="E135" s="366">
        <v>0.1</v>
      </c>
      <c r="F135" s="366">
        <v>0.13</v>
      </c>
      <c r="G135" s="367">
        <v>0.115</v>
      </c>
    </row>
    <row r="136" spans="1:7">
      <c r="A136" s="376" t="s">
        <v>295</v>
      </c>
      <c r="B136" s="365" t="s">
        <v>2372</v>
      </c>
      <c r="C136" s="366">
        <v>0.127</v>
      </c>
      <c r="D136" s="366">
        <v>0.127</v>
      </c>
      <c r="E136" s="366">
        <v>0.121</v>
      </c>
      <c r="F136" s="366">
        <v>0.123</v>
      </c>
      <c r="G136" s="367">
        <v>0.129</v>
      </c>
    </row>
    <row r="137" spans="1:7">
      <c r="A137" s="376" t="s">
        <v>295</v>
      </c>
      <c r="B137" s="365" t="s">
        <v>2373</v>
      </c>
      <c r="C137" s="366">
        <v>0.13</v>
      </c>
      <c r="D137" s="366">
        <v>0.13</v>
      </c>
      <c r="E137" s="366">
        <v>0.129</v>
      </c>
      <c r="F137" s="366">
        <v>0.13</v>
      </c>
      <c r="G137" s="367">
        <v>0.13</v>
      </c>
    </row>
    <row r="138" spans="1:7">
      <c r="A138" s="376" t="s">
        <v>295</v>
      </c>
      <c r="B138" s="365" t="s">
        <v>2374</v>
      </c>
      <c r="C138" s="366">
        <v>0.13</v>
      </c>
      <c r="D138" s="366">
        <v>0.13</v>
      </c>
      <c r="E138" s="366">
        <v>0.125</v>
      </c>
      <c r="F138" s="366">
        <v>0.13</v>
      </c>
      <c r="G138" s="367">
        <v>0.13</v>
      </c>
    </row>
    <row r="139" spans="1:7">
      <c r="A139" s="376" t="s">
        <v>295</v>
      </c>
      <c r="B139" s="365" t="s">
        <v>2375</v>
      </c>
      <c r="C139" s="366">
        <v>0.13</v>
      </c>
      <c r="D139" s="366">
        <v>0.13</v>
      </c>
      <c r="E139" s="366">
        <v>0.126</v>
      </c>
      <c r="F139" s="366">
        <v>0.13</v>
      </c>
      <c r="G139" s="367">
        <v>0.13</v>
      </c>
    </row>
    <row r="140" spans="1:7">
      <c r="A140" s="376" t="s">
        <v>295</v>
      </c>
      <c r="B140" s="365" t="s">
        <v>2376</v>
      </c>
      <c r="C140" s="366">
        <v>0.1</v>
      </c>
      <c r="D140" s="366">
        <v>0.1</v>
      </c>
      <c r="E140" s="366">
        <v>0.1</v>
      </c>
      <c r="F140" s="366">
        <v>0.123</v>
      </c>
      <c r="G140" s="367">
        <v>0.107</v>
      </c>
    </row>
    <row r="141" spans="1:7">
      <c r="A141" s="376" t="s">
        <v>295</v>
      </c>
      <c r="B141" s="365" t="s">
        <v>2377</v>
      </c>
      <c r="C141" s="366">
        <v>0.127</v>
      </c>
      <c r="D141" s="366">
        <v>0.127</v>
      </c>
      <c r="E141" s="366">
        <v>0.122</v>
      </c>
      <c r="F141" s="366">
        <v>0.1</v>
      </c>
      <c r="G141" s="367">
        <v>0.129</v>
      </c>
    </row>
    <row r="142" spans="1:7">
      <c r="A142" s="376" t="s">
        <v>295</v>
      </c>
      <c r="B142" s="365" t="s">
        <v>2378</v>
      </c>
      <c r="C142" s="366">
        <v>0.121</v>
      </c>
      <c r="D142" s="366">
        <v>0.122</v>
      </c>
      <c r="E142" s="366">
        <v>0.1</v>
      </c>
      <c r="F142" s="366">
        <v>0.123</v>
      </c>
      <c r="G142" s="367">
        <v>0.123</v>
      </c>
    </row>
    <row r="143" spans="1:7">
      <c r="A143" s="376" t="s">
        <v>295</v>
      </c>
      <c r="B143" s="365" t="s">
        <v>2379</v>
      </c>
      <c r="C143" s="366">
        <v>0.1</v>
      </c>
      <c r="D143" s="366">
        <v>0.1</v>
      </c>
      <c r="E143" s="366">
        <v>0.1</v>
      </c>
      <c r="F143" s="366">
        <v>0.13</v>
      </c>
      <c r="G143" s="367">
        <v>0.1</v>
      </c>
    </row>
    <row r="144" spans="1:7">
      <c r="A144" s="376" t="s">
        <v>295</v>
      </c>
      <c r="B144" s="365" t="s">
        <v>2380</v>
      </c>
      <c r="C144" s="366">
        <v>0.106</v>
      </c>
      <c r="D144" s="366">
        <v>0.105</v>
      </c>
      <c r="E144" s="366">
        <v>0.1</v>
      </c>
      <c r="F144" s="366">
        <v>0.13</v>
      </c>
      <c r="G144" s="367">
        <v>0.118</v>
      </c>
    </row>
    <row r="145" spans="1:7">
      <c r="A145" s="376" t="s">
        <v>295</v>
      </c>
      <c r="B145" s="365" t="s">
        <v>2381</v>
      </c>
      <c r="C145" s="366">
        <v>0.123</v>
      </c>
      <c r="D145" s="366">
        <v>0.123</v>
      </c>
      <c r="E145" s="366">
        <v>0.117</v>
      </c>
      <c r="F145" s="366">
        <v>0.13</v>
      </c>
      <c r="G145" s="367">
        <v>0.126</v>
      </c>
    </row>
    <row r="146" spans="1:7">
      <c r="A146" s="376" t="s">
        <v>295</v>
      </c>
      <c r="B146" s="365" t="s">
        <v>2382</v>
      </c>
      <c r="C146" s="366">
        <v>0.127</v>
      </c>
      <c r="D146" s="366">
        <v>0.127</v>
      </c>
      <c r="E146" s="366">
        <v>0.12</v>
      </c>
      <c r="F146" s="377"/>
      <c r="G146" s="367">
        <v>0.129</v>
      </c>
    </row>
    <row r="147" spans="1:7">
      <c r="A147" s="376" t="s">
        <v>295</v>
      </c>
      <c r="B147" s="365" t="s">
        <v>2383</v>
      </c>
      <c r="C147" s="366">
        <v>0.13</v>
      </c>
      <c r="D147" s="366">
        <v>0.13</v>
      </c>
      <c r="E147" s="366">
        <v>0.126</v>
      </c>
      <c r="F147" s="377"/>
      <c r="G147" s="367">
        <v>0.13</v>
      </c>
    </row>
    <row r="148" spans="1:7">
      <c r="A148" s="376" t="s">
        <v>295</v>
      </c>
      <c r="B148" s="365" t="s">
        <v>2384</v>
      </c>
      <c r="C148" s="366">
        <v>0.13</v>
      </c>
      <c r="D148" s="366">
        <v>0.13</v>
      </c>
      <c r="E148" s="366">
        <v>0.13</v>
      </c>
      <c r="F148" s="377"/>
      <c r="G148" s="367">
        <v>0.13</v>
      </c>
    </row>
    <row r="149" spans="1:7">
      <c r="A149" s="376" t="s">
        <v>295</v>
      </c>
      <c r="B149" s="365" t="s">
        <v>2385</v>
      </c>
      <c r="C149" s="366">
        <v>0.13</v>
      </c>
      <c r="D149" s="366">
        <v>0.13</v>
      </c>
      <c r="E149" s="366">
        <v>0.13</v>
      </c>
      <c r="F149" s="366">
        <v>0.13</v>
      </c>
      <c r="G149" s="367">
        <v>0.13</v>
      </c>
    </row>
    <row r="150" spans="1:7">
      <c r="A150" s="376" t="s">
        <v>295</v>
      </c>
      <c r="B150" s="365" t="s">
        <v>2386</v>
      </c>
      <c r="C150" s="366">
        <v>0.13</v>
      </c>
      <c r="D150" s="366">
        <v>0.13</v>
      </c>
      <c r="E150" s="366">
        <v>0.127</v>
      </c>
      <c r="F150" s="366">
        <v>0.13</v>
      </c>
      <c r="G150" s="367">
        <v>0.13</v>
      </c>
    </row>
    <row r="151" spans="1:7">
      <c r="A151" s="376" t="s">
        <v>295</v>
      </c>
      <c r="B151" s="365" t="s">
        <v>2387</v>
      </c>
      <c r="C151" s="366">
        <v>0.13</v>
      </c>
      <c r="D151" s="366">
        <v>0.13</v>
      </c>
      <c r="E151" s="366">
        <v>0.13</v>
      </c>
      <c r="F151" s="366">
        <v>0.13</v>
      </c>
      <c r="G151" s="367">
        <v>0.13</v>
      </c>
    </row>
    <row r="152" spans="1:7">
      <c r="A152" s="376" t="s">
        <v>295</v>
      </c>
      <c r="B152" s="365" t="s">
        <v>2388</v>
      </c>
      <c r="C152" s="366">
        <v>0.13</v>
      </c>
      <c r="D152" s="366">
        <v>0.13</v>
      </c>
      <c r="E152" s="366">
        <v>0.13</v>
      </c>
      <c r="F152" s="366">
        <v>0.13</v>
      </c>
      <c r="G152" s="367">
        <v>0.13</v>
      </c>
    </row>
    <row r="153" spans="1:7">
      <c r="A153" s="376" t="s">
        <v>295</v>
      </c>
      <c r="B153" s="365" t="s">
        <v>2389</v>
      </c>
      <c r="C153" s="366">
        <v>0.13</v>
      </c>
      <c r="D153" s="366">
        <v>0.13</v>
      </c>
      <c r="E153" s="366">
        <v>0.13</v>
      </c>
      <c r="F153" s="366">
        <v>0.13</v>
      </c>
      <c r="G153" s="367">
        <v>0.13</v>
      </c>
    </row>
    <row r="154" spans="1:7">
      <c r="A154" s="376" t="s">
        <v>295</v>
      </c>
      <c r="B154" s="365" t="s">
        <v>2390</v>
      </c>
      <c r="C154" s="366">
        <v>0.121</v>
      </c>
      <c r="D154" s="366">
        <v>0.121</v>
      </c>
      <c r="E154" s="366">
        <v>0.105</v>
      </c>
      <c r="F154" s="366">
        <v>0.121</v>
      </c>
      <c r="G154" s="367">
        <v>0.123</v>
      </c>
    </row>
    <row r="155" spans="1:7">
      <c r="A155" s="376" t="s">
        <v>295</v>
      </c>
      <c r="B155" s="365" t="s">
        <v>2391</v>
      </c>
      <c r="C155" s="366">
        <v>0.1</v>
      </c>
      <c r="D155" s="366">
        <v>0.1</v>
      </c>
      <c r="E155" s="366">
        <v>0.1</v>
      </c>
      <c r="F155" s="366">
        <v>0.1</v>
      </c>
      <c r="G155" s="367">
        <v>0.1</v>
      </c>
    </row>
    <row r="156" spans="1:7">
      <c r="A156" s="376" t="s">
        <v>295</v>
      </c>
      <c r="B156" s="365" t="s">
        <v>2392</v>
      </c>
      <c r="C156" s="366">
        <v>0.13</v>
      </c>
      <c r="D156" s="366">
        <v>0.13</v>
      </c>
      <c r="E156" s="366">
        <v>0.13</v>
      </c>
      <c r="F156" s="366">
        <v>0.13</v>
      </c>
      <c r="G156" s="367">
        <v>0.13</v>
      </c>
    </row>
    <row r="157" spans="1:7">
      <c r="A157" s="376" t="s">
        <v>295</v>
      </c>
      <c r="B157" s="365" t="s">
        <v>2393</v>
      </c>
      <c r="C157" s="366">
        <v>0.13</v>
      </c>
      <c r="D157" s="366">
        <v>0.13</v>
      </c>
      <c r="E157" s="366">
        <v>0.125</v>
      </c>
      <c r="F157" s="366">
        <v>0.13</v>
      </c>
      <c r="G157" s="367">
        <v>0.13</v>
      </c>
    </row>
    <row r="158" spans="1:7">
      <c r="A158" s="376" t="s">
        <v>295</v>
      </c>
      <c r="B158" s="365" t="s">
        <v>2394</v>
      </c>
      <c r="C158" s="366">
        <v>0.124</v>
      </c>
      <c r="D158" s="366">
        <v>0.124</v>
      </c>
      <c r="E158" s="366">
        <v>0.117</v>
      </c>
      <c r="F158" s="366">
        <v>0.121</v>
      </c>
      <c r="G158" s="367">
        <v>0.124</v>
      </c>
    </row>
    <row r="159" spans="1:7">
      <c r="A159" s="376" t="s">
        <v>295</v>
      </c>
      <c r="B159" s="365" t="s">
        <v>2395</v>
      </c>
      <c r="C159" s="366">
        <v>0.127</v>
      </c>
      <c r="D159" s="366">
        <v>0.127</v>
      </c>
      <c r="E159" s="366">
        <v>0.122</v>
      </c>
      <c r="F159" s="366">
        <v>0.13</v>
      </c>
      <c r="G159" s="367">
        <v>0.129</v>
      </c>
    </row>
    <row r="160" spans="1:7">
      <c r="A160" s="376" t="s">
        <v>295</v>
      </c>
      <c r="B160" s="365" t="s">
        <v>2396</v>
      </c>
      <c r="C160" s="366">
        <v>0.13</v>
      </c>
      <c r="D160" s="366">
        <v>0.13</v>
      </c>
      <c r="E160" s="366">
        <v>0.124</v>
      </c>
      <c r="F160" s="366">
        <v>0.126</v>
      </c>
      <c r="G160" s="367">
        <v>0.13</v>
      </c>
    </row>
    <row r="161" spans="1:7">
      <c r="A161" s="376" t="s">
        <v>295</v>
      </c>
      <c r="B161" s="365" t="s">
        <v>2397</v>
      </c>
      <c r="C161" s="366">
        <v>0.13</v>
      </c>
      <c r="D161" s="366">
        <v>0.13</v>
      </c>
      <c r="E161" s="366">
        <v>0.124</v>
      </c>
      <c r="F161" s="366">
        <v>0.127</v>
      </c>
      <c r="G161" s="367">
        <v>0.13</v>
      </c>
    </row>
    <row r="162" spans="1:7">
      <c r="A162" s="376" t="s">
        <v>295</v>
      </c>
      <c r="B162" s="365" t="s">
        <v>2398</v>
      </c>
      <c r="C162" s="366">
        <v>0.1</v>
      </c>
      <c r="D162" s="366">
        <v>0.1</v>
      </c>
      <c r="E162" s="366">
        <v>0.1</v>
      </c>
      <c r="F162" s="366">
        <v>0.121</v>
      </c>
      <c r="G162" s="367">
        <v>0.105</v>
      </c>
    </row>
    <row r="163" spans="1:7">
      <c r="A163" s="376" t="s">
        <v>295</v>
      </c>
      <c r="B163" s="365" t="s">
        <v>2399</v>
      </c>
      <c r="C163" s="366">
        <v>0.1</v>
      </c>
      <c r="D163" s="366">
        <v>0.1</v>
      </c>
      <c r="E163" s="366">
        <v>0.1</v>
      </c>
      <c r="F163" s="366">
        <v>0.1</v>
      </c>
      <c r="G163" s="367">
        <v>0.1</v>
      </c>
    </row>
    <row r="164" spans="1:7">
      <c r="A164" s="376" t="s">
        <v>295</v>
      </c>
      <c r="B164" s="365" t="s">
        <v>2400</v>
      </c>
      <c r="C164" s="382"/>
      <c r="D164" s="382"/>
      <c r="E164" s="382"/>
      <c r="F164" s="366">
        <v>0.1</v>
      </c>
      <c r="G164" s="378"/>
    </row>
    <row r="165" spans="1:7">
      <c r="A165" s="376" t="s">
        <v>295</v>
      </c>
      <c r="B165" s="365" t="s">
        <v>2401</v>
      </c>
      <c r="C165" s="366">
        <v>0.126</v>
      </c>
      <c r="D165" s="366">
        <v>0.126</v>
      </c>
      <c r="E165" s="366">
        <v>0.119</v>
      </c>
      <c r="F165" s="366">
        <v>0.13</v>
      </c>
      <c r="G165" s="367">
        <v>0.128</v>
      </c>
    </row>
    <row r="166" spans="1:7">
      <c r="A166" s="376" t="s">
        <v>295</v>
      </c>
      <c r="B166" s="365" t="s">
        <v>2402</v>
      </c>
      <c r="C166" s="366">
        <v>0.129</v>
      </c>
      <c r="D166" s="366">
        <v>0.129</v>
      </c>
      <c r="E166" s="366">
        <v>0.123</v>
      </c>
      <c r="F166" s="366">
        <v>0.128</v>
      </c>
      <c r="G166" s="367">
        <v>0.13</v>
      </c>
    </row>
    <row r="167" spans="1:7">
      <c r="A167" s="376" t="s">
        <v>295</v>
      </c>
      <c r="B167" s="365" t="s">
        <v>2403</v>
      </c>
      <c r="C167" s="366">
        <v>0.125</v>
      </c>
      <c r="D167" s="366">
        <v>0.125</v>
      </c>
      <c r="E167" s="366">
        <v>0.117</v>
      </c>
      <c r="F167" s="366">
        <v>0.13</v>
      </c>
      <c r="G167" s="367">
        <v>0.126</v>
      </c>
    </row>
    <row r="168" spans="1:7">
      <c r="A168" s="376" t="s">
        <v>295</v>
      </c>
      <c r="B168" s="365" t="s">
        <v>2404</v>
      </c>
      <c r="C168" s="366">
        <v>0.128</v>
      </c>
      <c r="D168" s="366">
        <v>0.128</v>
      </c>
      <c r="E168" s="366">
        <v>0.123</v>
      </c>
      <c r="F168" s="377"/>
      <c r="G168" s="367">
        <v>0.13</v>
      </c>
    </row>
    <row r="169" spans="1:7">
      <c r="A169" s="376" t="s">
        <v>295</v>
      </c>
      <c r="B169" s="365" t="s">
        <v>2405</v>
      </c>
      <c r="C169" s="382"/>
      <c r="D169" s="382"/>
      <c r="E169" s="382"/>
      <c r="F169" s="366">
        <v>0.05</v>
      </c>
      <c r="G169" s="378"/>
    </row>
    <row r="170" spans="1:7">
      <c r="A170" s="376" t="s">
        <v>295</v>
      </c>
      <c r="B170" s="365" t="s">
        <v>2406</v>
      </c>
      <c r="C170" s="382"/>
      <c r="D170" s="382"/>
      <c r="E170" s="382"/>
      <c r="F170" s="366">
        <v>0.05</v>
      </c>
      <c r="G170" s="378"/>
    </row>
    <row r="171" spans="1:7">
      <c r="A171" s="376" t="s">
        <v>295</v>
      </c>
      <c r="B171" s="365" t="s">
        <v>2407</v>
      </c>
      <c r="C171" s="382"/>
      <c r="D171" s="382"/>
      <c r="E171" s="382"/>
      <c r="F171" s="366">
        <v>0.05</v>
      </c>
      <c r="G171" s="383"/>
    </row>
    <row r="172" spans="1:7">
      <c r="A172" s="376" t="s">
        <v>295</v>
      </c>
      <c r="B172" s="365" t="s">
        <v>2408</v>
      </c>
      <c r="C172" s="382"/>
      <c r="D172" s="382"/>
      <c r="E172" s="382"/>
      <c r="F172" s="366">
        <v>0.05</v>
      </c>
      <c r="G172" s="383"/>
    </row>
    <row r="173" spans="1:7">
      <c r="A173" s="376" t="s">
        <v>295</v>
      </c>
      <c r="B173" s="365" t="s">
        <v>2409</v>
      </c>
      <c r="C173" s="382"/>
      <c r="D173" s="382"/>
      <c r="E173" s="382"/>
      <c r="F173" s="366">
        <v>0.05</v>
      </c>
      <c r="G173" s="378"/>
    </row>
    <row r="174" spans="1:7">
      <c r="A174" s="376" t="s">
        <v>295</v>
      </c>
      <c r="B174" s="365" t="s">
        <v>2410</v>
      </c>
      <c r="C174" s="382"/>
      <c r="D174" s="382"/>
      <c r="E174" s="382"/>
      <c r="F174" s="366">
        <v>0.05</v>
      </c>
      <c r="G174" s="378"/>
    </row>
    <row r="175" spans="1:7">
      <c r="A175" s="376" t="s">
        <v>295</v>
      </c>
      <c r="B175" s="365" t="s">
        <v>2411</v>
      </c>
      <c r="C175" s="382"/>
      <c r="D175" s="382"/>
      <c r="E175" s="382"/>
      <c r="F175" s="366">
        <v>0.05</v>
      </c>
      <c r="G175" s="378"/>
    </row>
    <row r="176" spans="1:7">
      <c r="A176" s="376" t="s">
        <v>295</v>
      </c>
      <c r="B176" s="365" t="s">
        <v>2412</v>
      </c>
      <c r="C176" s="382"/>
      <c r="D176" s="382"/>
      <c r="E176" s="382"/>
      <c r="F176" s="366">
        <v>0.05</v>
      </c>
      <c r="G176" s="378"/>
    </row>
    <row r="177" spans="1:7">
      <c r="A177" s="376" t="s">
        <v>295</v>
      </c>
      <c r="B177" s="365" t="s">
        <v>2413</v>
      </c>
      <c r="C177" s="377"/>
      <c r="D177" s="377"/>
      <c r="E177" s="377"/>
      <c r="F177" s="366">
        <v>0.05</v>
      </c>
      <c r="G177" s="383"/>
    </row>
    <row r="178" spans="1:7">
      <c r="A178" s="376" t="s">
        <v>295</v>
      </c>
      <c r="B178" s="365" t="s">
        <v>2414</v>
      </c>
      <c r="C178" s="377"/>
      <c r="D178" s="377"/>
      <c r="E178" s="377"/>
      <c r="F178" s="366">
        <v>0.05</v>
      </c>
      <c r="G178" s="383"/>
    </row>
    <row r="179" spans="1:7">
      <c r="A179" s="376" t="s">
        <v>295</v>
      </c>
      <c r="B179" s="365" t="s">
        <v>2415</v>
      </c>
      <c r="C179" s="377"/>
      <c r="D179" s="377"/>
      <c r="E179" s="377"/>
      <c r="F179" s="366">
        <v>0.05</v>
      </c>
      <c r="G179" s="383"/>
    </row>
    <row r="180" spans="1:7">
      <c r="A180" s="376" t="s">
        <v>295</v>
      </c>
      <c r="B180" s="365" t="s">
        <v>2416</v>
      </c>
      <c r="C180" s="377"/>
      <c r="D180" s="377"/>
      <c r="E180" s="377"/>
      <c r="F180" s="366">
        <v>0.05</v>
      </c>
      <c r="G180" s="383"/>
    </row>
    <row r="181" spans="1:7">
      <c r="A181" s="376" t="s">
        <v>295</v>
      </c>
      <c r="B181" s="365" t="s">
        <v>2417</v>
      </c>
      <c r="C181" s="377"/>
      <c r="D181" s="377"/>
      <c r="E181" s="377"/>
      <c r="F181" s="366">
        <v>0.05</v>
      </c>
      <c r="G181" s="383"/>
    </row>
    <row r="182" spans="1:7">
      <c r="A182" s="376" t="s">
        <v>295</v>
      </c>
      <c r="B182" s="365" t="s">
        <v>2418</v>
      </c>
      <c r="C182" s="377"/>
      <c r="D182" s="377"/>
      <c r="E182" s="377"/>
      <c r="F182" s="366">
        <v>0.05</v>
      </c>
      <c r="G182" s="383"/>
    </row>
    <row r="183" spans="1:7">
      <c r="A183" s="376" t="s">
        <v>295</v>
      </c>
      <c r="B183" s="365" t="s">
        <v>2419</v>
      </c>
      <c r="C183" s="377"/>
      <c r="D183" s="377"/>
      <c r="E183" s="377"/>
      <c r="F183" s="366">
        <v>0.05</v>
      </c>
      <c r="G183" s="383"/>
    </row>
    <row r="184" spans="1:7">
      <c r="A184" s="376" t="s">
        <v>295</v>
      </c>
      <c r="B184" s="365" t="s">
        <v>2420</v>
      </c>
      <c r="C184" s="377"/>
      <c r="D184" s="377"/>
      <c r="E184" s="377"/>
      <c r="F184" s="366">
        <v>0.05</v>
      </c>
      <c r="G184" s="383"/>
    </row>
    <row r="185" spans="1:7">
      <c r="A185" s="376" t="s">
        <v>295</v>
      </c>
      <c r="B185" s="365" t="s">
        <v>2421</v>
      </c>
      <c r="C185" s="377"/>
      <c r="D185" s="377"/>
      <c r="E185" s="377"/>
      <c r="F185" s="366">
        <v>0.05</v>
      </c>
      <c r="G185" s="383"/>
    </row>
    <row r="186" spans="1:7">
      <c r="A186" s="376" t="s">
        <v>295</v>
      </c>
      <c r="B186" s="365" t="s">
        <v>2422</v>
      </c>
      <c r="C186" s="377"/>
      <c r="D186" s="377"/>
      <c r="E186" s="377"/>
      <c r="F186" s="366">
        <v>0.05</v>
      </c>
      <c r="G186" s="383"/>
    </row>
    <row r="187" spans="1:7">
      <c r="A187" s="376" t="s">
        <v>295</v>
      </c>
      <c r="B187" s="365" t="s">
        <v>2423</v>
      </c>
      <c r="C187" s="377"/>
      <c r="D187" s="377"/>
      <c r="E187" s="377"/>
      <c r="F187" s="366">
        <v>0.05</v>
      </c>
      <c r="G187" s="383"/>
    </row>
    <row r="188" spans="1:7">
      <c r="A188" s="376" t="s">
        <v>295</v>
      </c>
      <c r="B188" s="365" t="s">
        <v>2424</v>
      </c>
      <c r="C188" s="377"/>
      <c r="D188" s="377"/>
      <c r="E188" s="377"/>
      <c r="F188" s="366">
        <v>0.05</v>
      </c>
      <c r="G188" s="383"/>
    </row>
    <row r="189" ht="14.25" spans="1:7">
      <c r="A189" s="379" t="s">
        <v>295</v>
      </c>
      <c r="B189" s="369" t="s">
        <v>2425</v>
      </c>
      <c r="C189" s="371"/>
      <c r="D189" s="371"/>
      <c r="E189" s="371"/>
      <c r="F189" s="370">
        <v>0.05</v>
      </c>
      <c r="G189" s="384"/>
    </row>
    <row r="190" spans="1:7">
      <c r="A190" s="375" t="s">
        <v>303</v>
      </c>
      <c r="B190" s="361" t="s">
        <v>2426</v>
      </c>
      <c r="C190" s="362">
        <v>0.124</v>
      </c>
      <c r="D190" s="362">
        <v>0.124</v>
      </c>
      <c r="E190" s="362">
        <v>0.129</v>
      </c>
      <c r="F190" s="362">
        <v>0.13</v>
      </c>
      <c r="G190" s="363">
        <v>0.127</v>
      </c>
    </row>
    <row r="191" spans="1:7">
      <c r="A191" s="376" t="s">
        <v>303</v>
      </c>
      <c r="B191" s="365" t="s">
        <v>2427</v>
      </c>
      <c r="C191" s="366">
        <v>0.13</v>
      </c>
      <c r="D191" s="366">
        <v>0.13</v>
      </c>
      <c r="E191" s="366">
        <v>0.13</v>
      </c>
      <c r="F191" s="366">
        <v>0.13</v>
      </c>
      <c r="G191" s="367">
        <v>0.13</v>
      </c>
    </row>
    <row r="192" spans="1:7">
      <c r="A192" s="376" t="s">
        <v>303</v>
      </c>
      <c r="B192" s="365" t="s">
        <v>2428</v>
      </c>
      <c r="C192" s="366">
        <v>0.13</v>
      </c>
      <c r="D192" s="366">
        <v>0.13</v>
      </c>
      <c r="E192" s="366">
        <v>0.13</v>
      </c>
      <c r="F192" s="366">
        <v>0.13</v>
      </c>
      <c r="G192" s="367">
        <v>0.13</v>
      </c>
    </row>
    <row r="193" spans="1:7">
      <c r="A193" s="376" t="s">
        <v>303</v>
      </c>
      <c r="B193" s="365" t="s">
        <v>2429</v>
      </c>
      <c r="C193" s="366">
        <v>0.13</v>
      </c>
      <c r="D193" s="366">
        <v>0.13</v>
      </c>
      <c r="E193" s="366">
        <v>0.13</v>
      </c>
      <c r="F193" s="366">
        <v>0.13</v>
      </c>
      <c r="G193" s="367">
        <v>0.13</v>
      </c>
    </row>
    <row r="194" spans="1:7">
      <c r="A194" s="376" t="s">
        <v>303</v>
      </c>
      <c r="B194" s="365" t="s">
        <v>2430</v>
      </c>
      <c r="C194" s="366">
        <v>0.123</v>
      </c>
      <c r="D194" s="366">
        <v>0.123</v>
      </c>
      <c r="E194" s="366">
        <v>0.128</v>
      </c>
      <c r="F194" s="366">
        <v>0.13</v>
      </c>
      <c r="G194" s="367">
        <v>0.126</v>
      </c>
    </row>
    <row r="195" spans="1:7">
      <c r="A195" s="376" t="s">
        <v>303</v>
      </c>
      <c r="B195" s="365" t="s">
        <v>2431</v>
      </c>
      <c r="C195" s="366">
        <v>0.127</v>
      </c>
      <c r="D195" s="366">
        <v>0.127</v>
      </c>
      <c r="E195" s="366">
        <v>0.121</v>
      </c>
      <c r="F195" s="366">
        <v>0.129</v>
      </c>
      <c r="G195" s="367">
        <v>0.129</v>
      </c>
    </row>
    <row r="196" spans="1:7">
      <c r="A196" s="376" t="s">
        <v>303</v>
      </c>
      <c r="B196" s="365" t="s">
        <v>2432</v>
      </c>
      <c r="C196" s="366">
        <v>0.127</v>
      </c>
      <c r="D196" s="366">
        <v>0.128</v>
      </c>
      <c r="E196" s="366">
        <v>0.122</v>
      </c>
      <c r="F196" s="366">
        <v>0.13</v>
      </c>
      <c r="G196" s="367">
        <v>0.129</v>
      </c>
    </row>
    <row r="197" spans="1:7">
      <c r="A197" s="376" t="s">
        <v>303</v>
      </c>
      <c r="B197" s="365" t="s">
        <v>2433</v>
      </c>
      <c r="C197" s="366">
        <v>0.126</v>
      </c>
      <c r="D197" s="366">
        <v>0.126</v>
      </c>
      <c r="E197" s="366">
        <v>0.119</v>
      </c>
      <c r="F197" s="366">
        <v>0.13</v>
      </c>
      <c r="G197" s="367">
        <v>0.128</v>
      </c>
    </row>
    <row r="198" spans="1:7">
      <c r="A198" s="376" t="s">
        <v>303</v>
      </c>
      <c r="B198" s="365" t="s">
        <v>2434</v>
      </c>
      <c r="C198" s="366">
        <v>0.13</v>
      </c>
      <c r="D198" s="366">
        <v>0.13</v>
      </c>
      <c r="E198" s="366">
        <v>0.126</v>
      </c>
      <c r="F198" s="382"/>
      <c r="G198" s="367">
        <v>0.13</v>
      </c>
    </row>
    <row r="199" spans="1:7">
      <c r="A199" s="376" t="s">
        <v>303</v>
      </c>
      <c r="B199" s="365" t="s">
        <v>2435</v>
      </c>
      <c r="C199" s="366">
        <v>0.13</v>
      </c>
      <c r="D199" s="366">
        <v>0.13</v>
      </c>
      <c r="E199" s="366">
        <v>0.13</v>
      </c>
      <c r="F199" s="366">
        <v>0.13</v>
      </c>
      <c r="G199" s="367">
        <v>0.13</v>
      </c>
    </row>
    <row r="200" spans="1:7">
      <c r="A200" s="376" t="s">
        <v>303</v>
      </c>
      <c r="B200" s="365" t="s">
        <v>2436</v>
      </c>
      <c r="C200" s="382"/>
      <c r="D200" s="382"/>
      <c r="E200" s="382"/>
      <c r="F200" s="366">
        <v>0.13</v>
      </c>
      <c r="G200" s="378"/>
    </row>
    <row r="201" spans="1:7">
      <c r="A201" s="376" t="s">
        <v>303</v>
      </c>
      <c r="B201" s="365" t="s">
        <v>2437</v>
      </c>
      <c r="C201" s="366">
        <v>0.13</v>
      </c>
      <c r="D201" s="366">
        <v>0.13</v>
      </c>
      <c r="E201" s="366">
        <v>0.13</v>
      </c>
      <c r="F201" s="366">
        <v>0.129</v>
      </c>
      <c r="G201" s="367">
        <v>0.13</v>
      </c>
    </row>
    <row r="202" spans="1:7">
      <c r="A202" s="376" t="s">
        <v>303</v>
      </c>
      <c r="B202" s="365" t="s">
        <v>2438</v>
      </c>
      <c r="C202" s="366">
        <v>0.13</v>
      </c>
      <c r="D202" s="366">
        <v>0.13</v>
      </c>
      <c r="E202" s="366">
        <v>0.13</v>
      </c>
      <c r="F202" s="366">
        <v>0.13</v>
      </c>
      <c r="G202" s="367">
        <v>0.13</v>
      </c>
    </row>
    <row r="203" spans="1:7">
      <c r="A203" s="376" t="s">
        <v>303</v>
      </c>
      <c r="B203" s="365" t="s">
        <v>2439</v>
      </c>
      <c r="C203" s="366">
        <v>0.129</v>
      </c>
      <c r="D203" s="366">
        <v>0.129</v>
      </c>
      <c r="E203" s="366">
        <v>0.13</v>
      </c>
      <c r="F203" s="366">
        <v>0.13</v>
      </c>
      <c r="G203" s="367">
        <v>0.13</v>
      </c>
    </row>
    <row r="204" spans="1:7">
      <c r="A204" s="376" t="s">
        <v>303</v>
      </c>
      <c r="B204" s="365" t="s">
        <v>2440</v>
      </c>
      <c r="C204" s="366">
        <v>0.129</v>
      </c>
      <c r="D204" s="366">
        <v>0.129</v>
      </c>
      <c r="E204" s="366">
        <v>0.123</v>
      </c>
      <c r="F204" s="366">
        <v>0.13</v>
      </c>
      <c r="G204" s="367">
        <v>0.13</v>
      </c>
    </row>
    <row r="205" spans="1:7">
      <c r="A205" s="376" t="s">
        <v>303</v>
      </c>
      <c r="B205" s="365" t="s">
        <v>2441</v>
      </c>
      <c r="C205" s="366">
        <v>0.13</v>
      </c>
      <c r="D205" s="366">
        <v>0.13</v>
      </c>
      <c r="E205" s="366">
        <v>0.13</v>
      </c>
      <c r="F205" s="366">
        <v>0.13</v>
      </c>
      <c r="G205" s="367">
        <v>0.13</v>
      </c>
    </row>
    <row r="206" spans="1:7">
      <c r="A206" s="376" t="s">
        <v>303</v>
      </c>
      <c r="B206" s="365" t="s">
        <v>2442</v>
      </c>
      <c r="C206" s="366">
        <v>0.13</v>
      </c>
      <c r="D206" s="366">
        <v>0.13</v>
      </c>
      <c r="E206" s="366">
        <v>0.13</v>
      </c>
      <c r="F206" s="366">
        <v>0.128</v>
      </c>
      <c r="G206" s="367">
        <v>0.13</v>
      </c>
    </row>
    <row r="207" spans="1:7">
      <c r="A207" s="376" t="s">
        <v>303</v>
      </c>
      <c r="B207" s="365" t="s">
        <v>2443</v>
      </c>
      <c r="C207" s="366">
        <v>0.13</v>
      </c>
      <c r="D207" s="366">
        <v>0.13</v>
      </c>
      <c r="E207" s="366">
        <v>0.13</v>
      </c>
      <c r="F207" s="366">
        <v>0.13</v>
      </c>
      <c r="G207" s="367">
        <v>0.13</v>
      </c>
    </row>
    <row r="208" spans="1:7">
      <c r="A208" s="376" t="s">
        <v>303</v>
      </c>
      <c r="B208" s="365" t="s">
        <v>2444</v>
      </c>
      <c r="C208" s="366">
        <v>0.13</v>
      </c>
      <c r="D208" s="366">
        <v>0.13</v>
      </c>
      <c r="E208" s="366">
        <v>0.13</v>
      </c>
      <c r="F208" s="366">
        <v>0.13</v>
      </c>
      <c r="G208" s="367">
        <v>0.13</v>
      </c>
    </row>
    <row r="209" spans="1:7">
      <c r="A209" s="376" t="s">
        <v>303</v>
      </c>
      <c r="B209" s="365" t="s">
        <v>2445</v>
      </c>
      <c r="C209" s="366">
        <v>0.13</v>
      </c>
      <c r="D209" s="366">
        <v>0.13</v>
      </c>
      <c r="E209" s="366">
        <v>0.13</v>
      </c>
      <c r="F209" s="366">
        <v>0.13</v>
      </c>
      <c r="G209" s="367">
        <v>0.13</v>
      </c>
    </row>
    <row r="210" spans="1:7">
      <c r="A210" s="376" t="s">
        <v>303</v>
      </c>
      <c r="B210" s="365" t="s">
        <v>2446</v>
      </c>
      <c r="C210" s="366">
        <v>0.121</v>
      </c>
      <c r="D210" s="366">
        <v>0.121</v>
      </c>
      <c r="E210" s="366">
        <v>0.125</v>
      </c>
      <c r="F210" s="366">
        <v>0.13</v>
      </c>
      <c r="G210" s="367">
        <v>0.123</v>
      </c>
    </row>
    <row r="211" spans="1:7">
      <c r="A211" s="376" t="s">
        <v>303</v>
      </c>
      <c r="B211" s="365" t="s">
        <v>2447</v>
      </c>
      <c r="C211" s="366">
        <v>0.123</v>
      </c>
      <c r="D211" s="366">
        <v>0.123</v>
      </c>
      <c r="E211" s="366">
        <v>0.127</v>
      </c>
      <c r="F211" s="366">
        <v>0.115</v>
      </c>
      <c r="G211" s="367">
        <v>0.126</v>
      </c>
    </row>
    <row r="212" spans="1:7">
      <c r="A212" s="376" t="s">
        <v>303</v>
      </c>
      <c r="B212" s="365" t="s">
        <v>2448</v>
      </c>
      <c r="C212" s="366">
        <v>0.126</v>
      </c>
      <c r="D212" s="366">
        <v>0.126</v>
      </c>
      <c r="E212" s="366">
        <v>0.13</v>
      </c>
      <c r="F212" s="366">
        <v>0.13</v>
      </c>
      <c r="G212" s="367">
        <v>0.129</v>
      </c>
    </row>
    <row r="213" spans="1:7">
      <c r="A213" s="376" t="s">
        <v>303</v>
      </c>
      <c r="B213" s="365" t="s">
        <v>2449</v>
      </c>
      <c r="C213" s="366">
        <v>0.129</v>
      </c>
      <c r="D213" s="366">
        <v>0.13</v>
      </c>
      <c r="E213" s="366">
        <v>0.127</v>
      </c>
      <c r="F213" s="366">
        <v>0.13</v>
      </c>
      <c r="G213" s="367">
        <v>0.13</v>
      </c>
    </row>
    <row r="214" spans="1:7">
      <c r="A214" s="376" t="s">
        <v>303</v>
      </c>
      <c r="B214" s="365" t="s">
        <v>2450</v>
      </c>
      <c r="C214" s="366">
        <v>0.128</v>
      </c>
      <c r="D214" s="366">
        <v>0.128</v>
      </c>
      <c r="E214" s="366">
        <v>0.13</v>
      </c>
      <c r="F214" s="366">
        <v>0.13</v>
      </c>
      <c r="G214" s="367">
        <v>0.13</v>
      </c>
    </row>
    <row r="215" spans="1:7">
      <c r="A215" s="376" t="s">
        <v>303</v>
      </c>
      <c r="B215" s="365" t="s">
        <v>2451</v>
      </c>
      <c r="C215" s="366">
        <v>0.13</v>
      </c>
      <c r="D215" s="366">
        <v>0.13</v>
      </c>
      <c r="E215" s="366">
        <v>0.13</v>
      </c>
      <c r="F215" s="366">
        <v>0.129</v>
      </c>
      <c r="G215" s="367">
        <v>0.13</v>
      </c>
    </row>
    <row r="216" spans="1:7">
      <c r="A216" s="376" t="s">
        <v>303</v>
      </c>
      <c r="B216" s="365" t="s">
        <v>2452</v>
      </c>
      <c r="C216" s="366">
        <v>0.13</v>
      </c>
      <c r="D216" s="366">
        <v>0.13</v>
      </c>
      <c r="E216" s="366">
        <v>0.13</v>
      </c>
      <c r="F216" s="366">
        <v>0.13</v>
      </c>
      <c r="G216" s="367">
        <v>0.13</v>
      </c>
    </row>
    <row r="217" spans="1:7">
      <c r="A217" s="376" t="s">
        <v>303</v>
      </c>
      <c r="B217" s="365" t="s">
        <v>2453</v>
      </c>
      <c r="C217" s="366">
        <v>0.129</v>
      </c>
      <c r="D217" s="366">
        <v>0.129</v>
      </c>
      <c r="E217" s="366">
        <v>0.13</v>
      </c>
      <c r="F217" s="366">
        <v>0.13</v>
      </c>
      <c r="G217" s="367">
        <v>0.13</v>
      </c>
    </row>
    <row r="218" spans="1:7">
      <c r="A218" s="376" t="s">
        <v>303</v>
      </c>
      <c r="B218" s="365" t="s">
        <v>2454</v>
      </c>
      <c r="C218" s="377"/>
      <c r="D218" s="377"/>
      <c r="E218" s="377"/>
      <c r="F218" s="366">
        <v>0.05</v>
      </c>
      <c r="G218" s="383"/>
    </row>
    <row r="219" spans="1:7">
      <c r="A219" s="376" t="s">
        <v>303</v>
      </c>
      <c r="B219" s="365" t="s">
        <v>2455</v>
      </c>
      <c r="C219" s="377"/>
      <c r="D219" s="377"/>
      <c r="E219" s="377"/>
      <c r="F219" s="366">
        <v>0.05</v>
      </c>
      <c r="G219" s="383"/>
    </row>
    <row r="220" spans="1:7">
      <c r="A220" s="376" t="s">
        <v>303</v>
      </c>
      <c r="B220" s="365" t="s">
        <v>2456</v>
      </c>
      <c r="C220" s="377"/>
      <c r="D220" s="377"/>
      <c r="E220" s="377"/>
      <c r="F220" s="366">
        <v>0.05</v>
      </c>
      <c r="G220" s="383"/>
    </row>
    <row r="221" spans="1:7">
      <c r="A221" s="376" t="s">
        <v>303</v>
      </c>
      <c r="B221" s="365" t="s">
        <v>2457</v>
      </c>
      <c r="C221" s="377"/>
      <c r="D221" s="377"/>
      <c r="E221" s="377"/>
      <c r="F221" s="366">
        <v>0.05</v>
      </c>
      <c r="G221" s="383"/>
    </row>
    <row r="222" spans="1:7">
      <c r="A222" s="376" t="s">
        <v>303</v>
      </c>
      <c r="B222" s="365" t="s">
        <v>2458</v>
      </c>
      <c r="C222" s="377"/>
      <c r="D222" s="377"/>
      <c r="E222" s="377"/>
      <c r="F222" s="366">
        <v>0.05</v>
      </c>
      <c r="G222" s="383"/>
    </row>
    <row r="223" spans="1:7">
      <c r="A223" s="376" t="s">
        <v>303</v>
      </c>
      <c r="B223" s="365" t="s">
        <v>2459</v>
      </c>
      <c r="C223" s="377"/>
      <c r="D223" s="377"/>
      <c r="E223" s="377"/>
      <c r="F223" s="366">
        <v>0.05</v>
      </c>
      <c r="G223" s="383"/>
    </row>
    <row r="224" spans="1:7">
      <c r="A224" s="376" t="s">
        <v>303</v>
      </c>
      <c r="B224" s="365" t="s">
        <v>2460</v>
      </c>
      <c r="C224" s="377"/>
      <c r="D224" s="377"/>
      <c r="E224" s="377"/>
      <c r="F224" s="366">
        <v>0.05</v>
      </c>
      <c r="G224" s="383"/>
    </row>
    <row r="225" spans="1:7">
      <c r="A225" s="376" t="s">
        <v>303</v>
      </c>
      <c r="B225" s="365" t="s">
        <v>2461</v>
      </c>
      <c r="C225" s="377"/>
      <c r="D225" s="377"/>
      <c r="E225" s="377"/>
      <c r="F225" s="366">
        <v>0.05</v>
      </c>
      <c r="G225" s="383"/>
    </row>
    <row r="226" spans="1:7">
      <c r="A226" s="376" t="s">
        <v>303</v>
      </c>
      <c r="B226" s="365" t="s">
        <v>2462</v>
      </c>
      <c r="C226" s="377"/>
      <c r="D226" s="377"/>
      <c r="E226" s="377"/>
      <c r="F226" s="366">
        <v>0.05</v>
      </c>
      <c r="G226" s="383"/>
    </row>
    <row r="227" spans="1:7">
      <c r="A227" s="376" t="s">
        <v>303</v>
      </c>
      <c r="B227" s="365" t="s">
        <v>2463</v>
      </c>
      <c r="C227" s="377"/>
      <c r="D227" s="377"/>
      <c r="E227" s="377"/>
      <c r="F227" s="366">
        <v>0.05</v>
      </c>
      <c r="G227" s="383"/>
    </row>
    <row r="228" spans="1:7">
      <c r="A228" s="376" t="s">
        <v>303</v>
      </c>
      <c r="B228" s="365" t="s">
        <v>2464</v>
      </c>
      <c r="C228" s="377"/>
      <c r="D228" s="377"/>
      <c r="E228" s="377"/>
      <c r="F228" s="366">
        <v>0.05</v>
      </c>
      <c r="G228" s="383"/>
    </row>
    <row r="229" spans="1:7">
      <c r="A229" s="376" t="s">
        <v>303</v>
      </c>
      <c r="B229" s="365" t="s">
        <v>2465</v>
      </c>
      <c r="C229" s="377"/>
      <c r="D229" s="377"/>
      <c r="E229" s="377"/>
      <c r="F229" s="366">
        <v>0.05</v>
      </c>
      <c r="G229" s="383"/>
    </row>
    <row r="230" spans="1:7">
      <c r="A230" s="376" t="s">
        <v>303</v>
      </c>
      <c r="B230" s="365" t="s">
        <v>2466</v>
      </c>
      <c r="C230" s="377"/>
      <c r="D230" s="377"/>
      <c r="E230" s="377"/>
      <c r="F230" s="366">
        <v>0.05</v>
      </c>
      <c r="G230" s="383"/>
    </row>
    <row r="231" spans="1:7">
      <c r="A231" s="376" t="s">
        <v>303</v>
      </c>
      <c r="B231" s="365" t="s">
        <v>2467</v>
      </c>
      <c r="C231" s="377"/>
      <c r="D231" s="377"/>
      <c r="E231" s="377"/>
      <c r="F231" s="366">
        <v>0.05</v>
      </c>
      <c r="G231" s="383"/>
    </row>
    <row r="232" spans="1:7">
      <c r="A232" s="376" t="s">
        <v>303</v>
      </c>
      <c r="B232" s="365" t="s">
        <v>2468</v>
      </c>
      <c r="C232" s="377"/>
      <c r="D232" s="377"/>
      <c r="E232" s="377"/>
      <c r="F232" s="366">
        <v>0.05</v>
      </c>
      <c r="G232" s="383"/>
    </row>
    <row r="233" ht="14.25" spans="1:7">
      <c r="A233" s="379" t="s">
        <v>303</v>
      </c>
      <c r="B233" s="369" t="s">
        <v>2469</v>
      </c>
      <c r="C233" s="371"/>
      <c r="D233" s="371"/>
      <c r="E233" s="371"/>
      <c r="F233" s="370">
        <v>0.05</v>
      </c>
      <c r="G233" s="384"/>
    </row>
    <row r="234" spans="1:7">
      <c r="A234" s="375" t="s">
        <v>311</v>
      </c>
      <c r="B234" s="361" t="s">
        <v>2470</v>
      </c>
      <c r="C234" s="362">
        <v>0.13</v>
      </c>
      <c r="D234" s="362">
        <v>0.128</v>
      </c>
      <c r="E234" s="362">
        <v>0.142</v>
      </c>
      <c r="F234" s="362">
        <v>0.147</v>
      </c>
      <c r="G234" s="363">
        <v>0.14</v>
      </c>
    </row>
    <row r="235" spans="1:7">
      <c r="A235" s="376" t="s">
        <v>311</v>
      </c>
      <c r="B235" s="365" t="s">
        <v>2471</v>
      </c>
      <c r="C235" s="366">
        <v>0.136</v>
      </c>
      <c r="D235" s="366">
        <v>0.138</v>
      </c>
      <c r="E235" s="366">
        <v>0.145</v>
      </c>
      <c r="F235" s="366">
        <v>0.143</v>
      </c>
      <c r="G235" s="367">
        <v>0.141</v>
      </c>
    </row>
    <row r="236" spans="1:7">
      <c r="A236" s="376" t="s">
        <v>311</v>
      </c>
      <c r="B236" s="365" t="s">
        <v>2472</v>
      </c>
      <c r="C236" s="366">
        <v>0.15</v>
      </c>
      <c r="D236" s="366">
        <v>0.15</v>
      </c>
      <c r="E236" s="366">
        <v>0.15</v>
      </c>
      <c r="F236" s="366">
        <v>0.15</v>
      </c>
      <c r="G236" s="367">
        <v>0.15</v>
      </c>
    </row>
    <row r="237" spans="1:7">
      <c r="A237" s="376" t="s">
        <v>311</v>
      </c>
      <c r="B237" s="365" t="s">
        <v>2473</v>
      </c>
      <c r="C237" s="366">
        <v>0.15</v>
      </c>
      <c r="D237" s="366">
        <v>0.15</v>
      </c>
      <c r="E237" s="366">
        <v>0.15</v>
      </c>
      <c r="F237" s="366">
        <v>0.15</v>
      </c>
      <c r="G237" s="367">
        <v>0.15</v>
      </c>
    </row>
    <row r="238" spans="1:7">
      <c r="A238" s="376" t="s">
        <v>311</v>
      </c>
      <c r="B238" s="365" t="s">
        <v>2474</v>
      </c>
      <c r="C238" s="366">
        <v>0.149</v>
      </c>
      <c r="D238" s="366">
        <v>0.149</v>
      </c>
      <c r="E238" s="366">
        <v>0.15</v>
      </c>
      <c r="F238" s="366">
        <v>0.15</v>
      </c>
      <c r="G238" s="367">
        <v>0.15</v>
      </c>
    </row>
    <row r="239" spans="1:7">
      <c r="A239" s="376" t="s">
        <v>311</v>
      </c>
      <c r="B239" s="365" t="s">
        <v>2475</v>
      </c>
      <c r="C239" s="366">
        <v>0.15</v>
      </c>
      <c r="D239" s="366">
        <v>0.15</v>
      </c>
      <c r="E239" s="366">
        <v>0.15</v>
      </c>
      <c r="F239" s="366">
        <v>0.15</v>
      </c>
      <c r="G239" s="367">
        <v>0.15</v>
      </c>
    </row>
    <row r="240" spans="1:7">
      <c r="A240" s="376" t="s">
        <v>311</v>
      </c>
      <c r="B240" s="365" t="s">
        <v>2476</v>
      </c>
      <c r="C240" s="366">
        <v>0.15</v>
      </c>
      <c r="D240" s="366">
        <v>0.15</v>
      </c>
      <c r="E240" s="366">
        <v>0.15</v>
      </c>
      <c r="F240" s="366">
        <v>0.15</v>
      </c>
      <c r="G240" s="367">
        <v>0.15</v>
      </c>
    </row>
    <row r="241" spans="1:7">
      <c r="A241" s="376" t="s">
        <v>311</v>
      </c>
      <c r="B241" s="365" t="s">
        <v>2477</v>
      </c>
      <c r="C241" s="366">
        <v>0.141</v>
      </c>
      <c r="D241" s="366">
        <v>0.142</v>
      </c>
      <c r="E241" s="366">
        <v>0.149</v>
      </c>
      <c r="F241" s="366">
        <v>0.15</v>
      </c>
      <c r="G241" s="367">
        <v>0.144</v>
      </c>
    </row>
    <row r="242" spans="1:7">
      <c r="A242" s="376" t="s">
        <v>311</v>
      </c>
      <c r="B242" s="365" t="s">
        <v>2478</v>
      </c>
      <c r="C242" s="366">
        <v>0.141</v>
      </c>
      <c r="D242" s="366">
        <v>0.142</v>
      </c>
      <c r="E242" s="366">
        <v>0.148</v>
      </c>
      <c r="F242" s="366">
        <v>0.127</v>
      </c>
      <c r="G242" s="367">
        <v>0.144</v>
      </c>
    </row>
    <row r="243" spans="1:7">
      <c r="A243" s="376" t="s">
        <v>311</v>
      </c>
      <c r="B243" s="365" t="s">
        <v>2479</v>
      </c>
      <c r="C243" s="366">
        <v>0.147</v>
      </c>
      <c r="D243" s="366">
        <v>0.147</v>
      </c>
      <c r="E243" s="366">
        <v>0.15</v>
      </c>
      <c r="F243" s="366">
        <v>0.15</v>
      </c>
      <c r="G243" s="367">
        <v>0.149</v>
      </c>
    </row>
    <row r="244" spans="1:7">
      <c r="A244" s="376" t="s">
        <v>311</v>
      </c>
      <c r="B244" s="365" t="s">
        <v>2480</v>
      </c>
      <c r="C244" s="366">
        <v>0.15</v>
      </c>
      <c r="D244" s="366">
        <v>0.15</v>
      </c>
      <c r="E244" s="366">
        <v>0.15</v>
      </c>
      <c r="F244" s="366">
        <v>0.15</v>
      </c>
      <c r="G244" s="367">
        <v>0.15</v>
      </c>
    </row>
    <row r="245" spans="1:7">
      <c r="A245" s="376" t="s">
        <v>311</v>
      </c>
      <c r="B245" s="365" t="s">
        <v>2481</v>
      </c>
      <c r="C245" s="366">
        <v>0.142</v>
      </c>
      <c r="D245" s="366">
        <v>0.142</v>
      </c>
      <c r="E245" s="366">
        <v>0.15</v>
      </c>
      <c r="F245" s="366">
        <v>0.15</v>
      </c>
      <c r="G245" s="367">
        <v>0.145</v>
      </c>
    </row>
    <row r="246" spans="1:7">
      <c r="A246" s="376" t="s">
        <v>311</v>
      </c>
      <c r="B246" s="365" t="s">
        <v>2482</v>
      </c>
      <c r="C246" s="366">
        <v>0.142</v>
      </c>
      <c r="D246" s="366">
        <v>0.143</v>
      </c>
      <c r="E246" s="366">
        <v>0.15</v>
      </c>
      <c r="F246" s="366">
        <v>0.142</v>
      </c>
      <c r="G246" s="367">
        <v>0.144</v>
      </c>
    </row>
    <row r="247" spans="1:7">
      <c r="A247" s="376" t="s">
        <v>311</v>
      </c>
      <c r="B247" s="365" t="s">
        <v>2483</v>
      </c>
      <c r="C247" s="366">
        <v>0.149</v>
      </c>
      <c r="D247" s="366">
        <v>0.149</v>
      </c>
      <c r="E247" s="366">
        <v>0.15</v>
      </c>
      <c r="F247" s="366">
        <v>0.15</v>
      </c>
      <c r="G247" s="367">
        <v>0.15</v>
      </c>
    </row>
    <row r="248" spans="1:7">
      <c r="A248" s="376" t="s">
        <v>311</v>
      </c>
      <c r="B248" s="365" t="s">
        <v>2484</v>
      </c>
      <c r="C248" s="366">
        <v>0.144</v>
      </c>
      <c r="D248" s="366">
        <v>0.144</v>
      </c>
      <c r="E248" s="366">
        <v>0.149</v>
      </c>
      <c r="F248" s="366">
        <v>0.148</v>
      </c>
      <c r="G248" s="367">
        <v>0.146</v>
      </c>
    </row>
    <row r="249" spans="1:7">
      <c r="A249" s="376" t="s">
        <v>311</v>
      </c>
      <c r="B249" s="365" t="s">
        <v>2485</v>
      </c>
      <c r="C249" s="366">
        <v>0.14</v>
      </c>
      <c r="D249" s="366">
        <v>0.14</v>
      </c>
      <c r="E249" s="366">
        <v>0.147</v>
      </c>
      <c r="F249" s="366">
        <v>0.149</v>
      </c>
      <c r="G249" s="367">
        <v>0.142</v>
      </c>
    </row>
    <row r="250" spans="1:7">
      <c r="A250" s="376" t="s">
        <v>311</v>
      </c>
      <c r="B250" s="365" t="s">
        <v>2486</v>
      </c>
      <c r="C250" s="366">
        <v>0.144</v>
      </c>
      <c r="D250" s="366">
        <v>0.143</v>
      </c>
      <c r="E250" s="366">
        <v>0.149</v>
      </c>
      <c r="F250" s="366">
        <v>0.15</v>
      </c>
      <c r="G250" s="367">
        <v>0.146</v>
      </c>
    </row>
    <row r="251" spans="1:7">
      <c r="A251" s="376" t="s">
        <v>311</v>
      </c>
      <c r="B251" s="365" t="s">
        <v>2487</v>
      </c>
      <c r="C251" s="382"/>
      <c r="D251" s="377"/>
      <c r="E251" s="377"/>
      <c r="F251" s="366">
        <v>0.1</v>
      </c>
      <c r="G251" s="383"/>
    </row>
    <row r="252" spans="1:7">
      <c r="A252" s="376" t="s">
        <v>311</v>
      </c>
      <c r="B252" s="365" t="s">
        <v>2488</v>
      </c>
      <c r="C252" s="366">
        <v>0.144</v>
      </c>
      <c r="D252" s="366">
        <v>0.144</v>
      </c>
      <c r="E252" s="366">
        <v>0.15</v>
      </c>
      <c r="F252" s="366">
        <v>0.149</v>
      </c>
      <c r="G252" s="367">
        <v>0.146</v>
      </c>
    </row>
    <row r="253" spans="1:7">
      <c r="A253" s="376" t="s">
        <v>311</v>
      </c>
      <c r="B253" s="365" t="s">
        <v>2489</v>
      </c>
      <c r="C253" s="366">
        <v>0.142</v>
      </c>
      <c r="D253" s="366">
        <v>0.142</v>
      </c>
      <c r="E253" s="366">
        <v>0.146</v>
      </c>
      <c r="F253" s="366">
        <v>0.148</v>
      </c>
      <c r="G253" s="367">
        <v>0.145</v>
      </c>
    </row>
    <row r="254" spans="1:7">
      <c r="A254" s="376" t="s">
        <v>311</v>
      </c>
      <c r="B254" s="365" t="s">
        <v>2490</v>
      </c>
      <c r="C254" s="366">
        <v>0.15</v>
      </c>
      <c r="D254" s="366">
        <v>0.15</v>
      </c>
      <c r="E254" s="366">
        <v>0.15</v>
      </c>
      <c r="F254" s="366">
        <v>0.15</v>
      </c>
      <c r="G254" s="367">
        <v>0.15</v>
      </c>
    </row>
    <row r="255" spans="1:7">
      <c r="A255" s="376" t="s">
        <v>311</v>
      </c>
      <c r="B255" s="365" t="s">
        <v>2491</v>
      </c>
      <c r="C255" s="366">
        <v>0.143</v>
      </c>
      <c r="D255" s="366">
        <v>0.143</v>
      </c>
      <c r="E255" s="366">
        <v>0.15</v>
      </c>
      <c r="F255" s="366">
        <v>0.15</v>
      </c>
      <c r="G255" s="367">
        <v>0.145</v>
      </c>
    </row>
    <row r="256" spans="1:7">
      <c r="A256" s="376" t="s">
        <v>311</v>
      </c>
      <c r="B256" s="365" t="s">
        <v>2492</v>
      </c>
      <c r="C256" s="366">
        <v>0.15</v>
      </c>
      <c r="D256" s="366">
        <v>0.15</v>
      </c>
      <c r="E256" s="366">
        <v>0.15</v>
      </c>
      <c r="F256" s="366">
        <v>0.146</v>
      </c>
      <c r="G256" s="367">
        <v>0.15</v>
      </c>
    </row>
    <row r="257" spans="1:7">
      <c r="A257" s="376" t="s">
        <v>311</v>
      </c>
      <c r="B257" s="365" t="s">
        <v>2493</v>
      </c>
      <c r="C257" s="366">
        <v>0.142</v>
      </c>
      <c r="D257" s="366">
        <v>0.143</v>
      </c>
      <c r="E257" s="366">
        <v>0.148</v>
      </c>
      <c r="F257" s="366">
        <v>0.15</v>
      </c>
      <c r="G257" s="367">
        <v>0.145</v>
      </c>
    </row>
    <row r="258" spans="1:7">
      <c r="A258" s="376" t="s">
        <v>311</v>
      </c>
      <c r="B258" s="365" t="s">
        <v>2494</v>
      </c>
      <c r="C258" s="366">
        <v>0.143</v>
      </c>
      <c r="D258" s="366">
        <v>0.143</v>
      </c>
      <c r="E258" s="366">
        <v>0.15</v>
      </c>
      <c r="F258" s="366">
        <v>0.148</v>
      </c>
      <c r="G258" s="367">
        <v>0.146</v>
      </c>
    </row>
    <row r="259" spans="1:7">
      <c r="A259" s="376" t="s">
        <v>311</v>
      </c>
      <c r="B259" s="365" t="s">
        <v>2495</v>
      </c>
      <c r="C259" s="366">
        <v>0.144</v>
      </c>
      <c r="D259" s="366">
        <v>0.144</v>
      </c>
      <c r="E259" s="366">
        <v>0.149</v>
      </c>
      <c r="F259" s="366">
        <v>0.147</v>
      </c>
      <c r="G259" s="367">
        <v>0.146</v>
      </c>
    </row>
    <row r="260" spans="1:7">
      <c r="A260" s="376" t="s">
        <v>311</v>
      </c>
      <c r="B260" s="365" t="s">
        <v>2496</v>
      </c>
      <c r="C260" s="366">
        <v>0.109</v>
      </c>
      <c r="D260" s="366">
        <v>0.111</v>
      </c>
      <c r="E260" s="366">
        <v>0.131</v>
      </c>
      <c r="F260" s="366">
        <v>0.126</v>
      </c>
      <c r="G260" s="367">
        <v>0.119</v>
      </c>
    </row>
    <row r="261" spans="1:7">
      <c r="A261" s="376" t="s">
        <v>311</v>
      </c>
      <c r="B261" s="365" t="s">
        <v>2497</v>
      </c>
      <c r="C261" s="366">
        <v>0.1</v>
      </c>
      <c r="D261" s="366">
        <v>0.1</v>
      </c>
      <c r="E261" s="366">
        <v>0.118</v>
      </c>
      <c r="F261" s="366">
        <v>0.108</v>
      </c>
      <c r="G261" s="367">
        <v>0.107</v>
      </c>
    </row>
    <row r="262" spans="1:7">
      <c r="A262" s="376" t="s">
        <v>311</v>
      </c>
      <c r="B262" s="365" t="s">
        <v>2498</v>
      </c>
      <c r="C262" s="366">
        <v>0.1</v>
      </c>
      <c r="D262" s="366">
        <v>0.1</v>
      </c>
      <c r="E262" s="366">
        <v>0.1</v>
      </c>
      <c r="F262" s="366">
        <v>0.141</v>
      </c>
      <c r="G262" s="367">
        <v>0.1</v>
      </c>
    </row>
    <row r="263" spans="1:7">
      <c r="A263" s="376" t="s">
        <v>311</v>
      </c>
      <c r="B263" s="365" t="s">
        <v>2499</v>
      </c>
      <c r="C263" s="366">
        <v>0.148</v>
      </c>
      <c r="D263" s="366">
        <v>0.148</v>
      </c>
      <c r="E263" s="366">
        <v>0.15</v>
      </c>
      <c r="F263" s="366">
        <v>0.147</v>
      </c>
      <c r="G263" s="367">
        <v>0.15</v>
      </c>
    </row>
    <row r="264" spans="1:7">
      <c r="A264" s="376" t="s">
        <v>311</v>
      </c>
      <c r="B264" s="365" t="s">
        <v>2500</v>
      </c>
      <c r="C264" s="366">
        <v>0.143</v>
      </c>
      <c r="D264" s="366">
        <v>0.143</v>
      </c>
      <c r="E264" s="366">
        <v>0.15</v>
      </c>
      <c r="F264" s="366">
        <v>0.149</v>
      </c>
      <c r="G264" s="367">
        <v>0.146</v>
      </c>
    </row>
    <row r="265" spans="1:7">
      <c r="A265" s="376" t="s">
        <v>311</v>
      </c>
      <c r="B265" s="365" t="s">
        <v>2501</v>
      </c>
      <c r="C265" s="377"/>
      <c r="D265" s="377"/>
      <c r="E265" s="377"/>
      <c r="F265" s="366">
        <v>0.05</v>
      </c>
      <c r="G265" s="383"/>
    </row>
    <row r="266" spans="1:7">
      <c r="A266" s="376" t="s">
        <v>311</v>
      </c>
      <c r="B266" s="365" t="s">
        <v>2502</v>
      </c>
      <c r="C266" s="377"/>
      <c r="D266" s="377"/>
      <c r="E266" s="377"/>
      <c r="F266" s="366">
        <v>0.05</v>
      </c>
      <c r="G266" s="383"/>
    </row>
    <row r="267" spans="1:7">
      <c r="A267" s="376" t="s">
        <v>311</v>
      </c>
      <c r="B267" s="365" t="s">
        <v>2503</v>
      </c>
      <c r="C267" s="377"/>
      <c r="D267" s="377"/>
      <c r="E267" s="377"/>
      <c r="F267" s="366">
        <v>0.05</v>
      </c>
      <c r="G267" s="383"/>
    </row>
    <row r="268" spans="1:7">
      <c r="A268" s="376" t="s">
        <v>311</v>
      </c>
      <c r="B268" s="365" t="s">
        <v>2504</v>
      </c>
      <c r="C268" s="377"/>
      <c r="D268" s="377"/>
      <c r="E268" s="377"/>
      <c r="F268" s="366">
        <v>0.05</v>
      </c>
      <c r="G268" s="383"/>
    </row>
    <row r="269" spans="1:7">
      <c r="A269" s="376" t="s">
        <v>311</v>
      </c>
      <c r="B269" s="365" t="s">
        <v>2505</v>
      </c>
      <c r="C269" s="377"/>
      <c r="D269" s="377"/>
      <c r="E269" s="377"/>
      <c r="F269" s="366">
        <v>0.05</v>
      </c>
      <c r="G269" s="383"/>
    </row>
    <row r="270" spans="1:7">
      <c r="A270" s="376" t="s">
        <v>311</v>
      </c>
      <c r="B270" s="365" t="s">
        <v>2506</v>
      </c>
      <c r="C270" s="377"/>
      <c r="D270" s="377"/>
      <c r="E270" s="377"/>
      <c r="F270" s="366">
        <v>0.05</v>
      </c>
      <c r="G270" s="383"/>
    </row>
    <row r="271" spans="1:7">
      <c r="A271" s="376" t="s">
        <v>311</v>
      </c>
      <c r="B271" s="365" t="s">
        <v>2507</v>
      </c>
      <c r="C271" s="377"/>
      <c r="D271" s="377"/>
      <c r="E271" s="377"/>
      <c r="F271" s="366">
        <v>0.05</v>
      </c>
      <c r="G271" s="383"/>
    </row>
    <row r="272" spans="1:7">
      <c r="A272" s="376" t="s">
        <v>311</v>
      </c>
      <c r="B272" s="365" t="s">
        <v>2508</v>
      </c>
      <c r="C272" s="377"/>
      <c r="D272" s="377"/>
      <c r="E272" s="377"/>
      <c r="F272" s="366">
        <v>0.05</v>
      </c>
      <c r="G272" s="383"/>
    </row>
    <row r="273" spans="1:7">
      <c r="A273" s="376" t="s">
        <v>311</v>
      </c>
      <c r="B273" s="365" t="s">
        <v>2509</v>
      </c>
      <c r="C273" s="377"/>
      <c r="D273" s="377"/>
      <c r="E273" s="377"/>
      <c r="F273" s="366">
        <v>0.05</v>
      </c>
      <c r="G273" s="383"/>
    </row>
    <row r="274" spans="1:7">
      <c r="A274" s="376" t="s">
        <v>311</v>
      </c>
      <c r="B274" s="365" t="s">
        <v>2510</v>
      </c>
      <c r="C274" s="377"/>
      <c r="D274" s="377"/>
      <c r="E274" s="377"/>
      <c r="F274" s="366">
        <v>0.05</v>
      </c>
      <c r="G274" s="383"/>
    </row>
    <row r="275" spans="1:7">
      <c r="A275" s="376" t="s">
        <v>311</v>
      </c>
      <c r="B275" s="365" t="s">
        <v>2511</v>
      </c>
      <c r="C275" s="377"/>
      <c r="D275" s="377"/>
      <c r="E275" s="377"/>
      <c r="F275" s="366">
        <v>0.05</v>
      </c>
      <c r="G275" s="383"/>
    </row>
    <row r="276" ht="14.25" spans="1:7">
      <c r="A276" s="379" t="s">
        <v>311</v>
      </c>
      <c r="B276" s="369" t="s">
        <v>2512</v>
      </c>
      <c r="C276" s="371"/>
      <c r="D276" s="371"/>
      <c r="E276" s="371"/>
      <c r="F276" s="370">
        <v>0.05</v>
      </c>
      <c r="G276" s="384"/>
    </row>
    <row r="277" spans="1:7">
      <c r="A277" s="375" t="s">
        <v>318</v>
      </c>
      <c r="B277" s="361" t="s">
        <v>2513</v>
      </c>
      <c r="C277" s="362">
        <v>0.15</v>
      </c>
      <c r="D277" s="362">
        <v>0.15</v>
      </c>
      <c r="E277" s="362">
        <v>0.15</v>
      </c>
      <c r="F277" s="362">
        <v>0.15</v>
      </c>
      <c r="G277" s="363">
        <v>0.15</v>
      </c>
    </row>
    <row r="278" spans="1:7">
      <c r="A278" s="376" t="s">
        <v>318</v>
      </c>
      <c r="B278" s="365" t="s">
        <v>2514</v>
      </c>
      <c r="C278" s="366">
        <v>0.15</v>
      </c>
      <c r="D278" s="366">
        <v>0.15</v>
      </c>
      <c r="E278" s="366">
        <v>0.15</v>
      </c>
      <c r="F278" s="366">
        <v>0.15</v>
      </c>
      <c r="G278" s="367">
        <v>0.15</v>
      </c>
    </row>
    <row r="279" spans="1:7">
      <c r="A279" s="376" t="s">
        <v>318</v>
      </c>
      <c r="B279" s="365" t="s">
        <v>2515</v>
      </c>
      <c r="C279" s="366">
        <v>0.15</v>
      </c>
      <c r="D279" s="366">
        <v>0.15</v>
      </c>
      <c r="E279" s="366">
        <v>0.15</v>
      </c>
      <c r="F279" s="366">
        <v>0.15</v>
      </c>
      <c r="G279" s="367">
        <v>0.15</v>
      </c>
    </row>
    <row r="280" spans="1:7">
      <c r="A280" s="376" t="s">
        <v>318</v>
      </c>
      <c r="B280" s="365" t="s">
        <v>2516</v>
      </c>
      <c r="C280" s="366">
        <v>0.15</v>
      </c>
      <c r="D280" s="366">
        <v>0.15</v>
      </c>
      <c r="E280" s="366">
        <v>0.15</v>
      </c>
      <c r="F280" s="366">
        <v>0.15</v>
      </c>
      <c r="G280" s="367">
        <v>0.15</v>
      </c>
    </row>
    <row r="281" spans="1:7">
      <c r="A281" s="376" t="s">
        <v>318</v>
      </c>
      <c r="B281" s="365" t="s">
        <v>2517</v>
      </c>
      <c r="C281" s="366">
        <v>0.15</v>
      </c>
      <c r="D281" s="366">
        <v>0.15</v>
      </c>
      <c r="E281" s="366">
        <v>0.15</v>
      </c>
      <c r="F281" s="366">
        <v>0.15</v>
      </c>
      <c r="G281" s="367">
        <v>0.15</v>
      </c>
    </row>
    <row r="282" spans="1:7">
      <c r="A282" s="376" t="s">
        <v>318</v>
      </c>
      <c r="B282" s="365" t="s">
        <v>2518</v>
      </c>
      <c r="C282" s="366">
        <v>0.15</v>
      </c>
      <c r="D282" s="366">
        <v>0.15</v>
      </c>
      <c r="E282" s="366">
        <v>0.15</v>
      </c>
      <c r="F282" s="366">
        <v>0.145</v>
      </c>
      <c r="G282" s="367">
        <v>0.15</v>
      </c>
    </row>
    <row r="283" spans="1:7">
      <c r="A283" s="376" t="s">
        <v>318</v>
      </c>
      <c r="B283" s="365" t="s">
        <v>2519</v>
      </c>
      <c r="C283" s="366">
        <v>0.15</v>
      </c>
      <c r="D283" s="366">
        <v>0.15</v>
      </c>
      <c r="E283" s="366">
        <v>0.15</v>
      </c>
      <c r="F283" s="366">
        <v>0.142</v>
      </c>
      <c r="G283" s="367">
        <v>0.15</v>
      </c>
    </row>
    <row r="284" spans="1:7">
      <c r="A284" s="376" t="s">
        <v>318</v>
      </c>
      <c r="B284" s="365" t="s">
        <v>2520</v>
      </c>
      <c r="C284" s="366">
        <v>0.15</v>
      </c>
      <c r="D284" s="366">
        <v>0.15</v>
      </c>
      <c r="E284" s="366">
        <v>0.15</v>
      </c>
      <c r="F284" s="366">
        <v>0.15</v>
      </c>
      <c r="G284" s="367">
        <v>0.15</v>
      </c>
    </row>
    <row r="285" spans="1:7">
      <c r="A285" s="376" t="s">
        <v>318</v>
      </c>
      <c r="B285" s="365" t="s">
        <v>2521</v>
      </c>
      <c r="C285" s="366">
        <v>0.15</v>
      </c>
      <c r="D285" s="366">
        <v>0.15</v>
      </c>
      <c r="E285" s="366">
        <v>0.15</v>
      </c>
      <c r="F285" s="366">
        <v>0.15</v>
      </c>
      <c r="G285" s="367">
        <v>0.15</v>
      </c>
    </row>
    <row r="286" spans="1:7">
      <c r="A286" s="376" t="s">
        <v>318</v>
      </c>
      <c r="B286" s="365" t="s">
        <v>2522</v>
      </c>
      <c r="C286" s="366">
        <v>0.145</v>
      </c>
      <c r="D286" s="366">
        <v>0.145</v>
      </c>
      <c r="E286" s="366">
        <v>0.15</v>
      </c>
      <c r="F286" s="366">
        <v>0.141</v>
      </c>
      <c r="G286" s="367">
        <v>0.145</v>
      </c>
    </row>
    <row r="287" spans="1:7">
      <c r="A287" s="376" t="s">
        <v>318</v>
      </c>
      <c r="B287" s="365" t="s">
        <v>2523</v>
      </c>
      <c r="C287" s="366">
        <v>0.11</v>
      </c>
      <c r="D287" s="366">
        <v>0.111</v>
      </c>
      <c r="E287" s="366">
        <v>0.141</v>
      </c>
      <c r="F287" s="366">
        <v>0.11</v>
      </c>
      <c r="G287" s="367">
        <v>0.12</v>
      </c>
    </row>
    <row r="288" spans="1:7">
      <c r="A288" s="376" t="s">
        <v>318</v>
      </c>
      <c r="B288" s="365" t="s">
        <v>2524</v>
      </c>
      <c r="C288" s="366">
        <v>0.142</v>
      </c>
      <c r="D288" s="366">
        <v>0.143</v>
      </c>
      <c r="E288" s="366">
        <v>0.15</v>
      </c>
      <c r="F288" s="366">
        <v>0.142</v>
      </c>
      <c r="G288" s="367">
        <v>0.144</v>
      </c>
    </row>
    <row r="289" spans="1:7">
      <c r="A289" s="376" t="s">
        <v>318</v>
      </c>
      <c r="B289" s="365" t="s">
        <v>2525</v>
      </c>
      <c r="C289" s="366">
        <v>0.143</v>
      </c>
      <c r="D289" s="366">
        <v>0.143</v>
      </c>
      <c r="E289" s="366">
        <v>0.148</v>
      </c>
      <c r="F289" s="366">
        <v>0.144</v>
      </c>
      <c r="G289" s="367">
        <v>0.144</v>
      </c>
    </row>
    <row r="290" spans="1:7">
      <c r="A290" s="376" t="s">
        <v>318</v>
      </c>
      <c r="B290" s="365" t="s">
        <v>2526</v>
      </c>
      <c r="C290" s="366">
        <v>0.148</v>
      </c>
      <c r="D290" s="366">
        <v>0.149</v>
      </c>
      <c r="E290" s="366">
        <v>0.15</v>
      </c>
      <c r="F290" s="366">
        <v>0.127</v>
      </c>
      <c r="G290" s="367">
        <v>0.15</v>
      </c>
    </row>
    <row r="291" spans="1:7">
      <c r="A291" s="376" t="s">
        <v>318</v>
      </c>
      <c r="B291" s="365" t="s">
        <v>2527</v>
      </c>
      <c r="C291" s="366">
        <v>0.15</v>
      </c>
      <c r="D291" s="366">
        <v>0.15</v>
      </c>
      <c r="E291" s="366">
        <v>0.15</v>
      </c>
      <c r="F291" s="366">
        <v>0.149</v>
      </c>
      <c r="G291" s="367">
        <v>0.15</v>
      </c>
    </row>
    <row r="292" spans="1:7">
      <c r="A292" s="376" t="s">
        <v>318</v>
      </c>
      <c r="B292" s="365" t="s">
        <v>2528</v>
      </c>
      <c r="C292" s="366">
        <v>0.15</v>
      </c>
      <c r="D292" s="366">
        <v>0.15</v>
      </c>
      <c r="E292" s="366">
        <v>0.15</v>
      </c>
      <c r="F292" s="366">
        <v>0.144</v>
      </c>
      <c r="G292" s="367">
        <v>0.15</v>
      </c>
    </row>
    <row r="293" spans="1:7">
      <c r="A293" s="376" t="s">
        <v>318</v>
      </c>
      <c r="B293" s="365" t="s">
        <v>2529</v>
      </c>
      <c r="C293" s="366">
        <v>0.15</v>
      </c>
      <c r="D293" s="366">
        <v>0.15</v>
      </c>
      <c r="E293" s="366">
        <v>0.15</v>
      </c>
      <c r="F293" s="366">
        <v>0.145</v>
      </c>
      <c r="G293" s="367">
        <v>0.15</v>
      </c>
    </row>
    <row r="294" spans="1:7">
      <c r="A294" s="376" t="s">
        <v>318</v>
      </c>
      <c r="B294" s="365" t="s">
        <v>2530</v>
      </c>
      <c r="C294" s="366">
        <v>0.15</v>
      </c>
      <c r="D294" s="366">
        <v>0.15</v>
      </c>
      <c r="E294" s="366">
        <v>0.15</v>
      </c>
      <c r="F294" s="366">
        <v>0.149</v>
      </c>
      <c r="G294" s="367">
        <v>0.15</v>
      </c>
    </row>
    <row r="295" spans="1:7">
      <c r="A295" s="376" t="s">
        <v>318</v>
      </c>
      <c r="B295" s="365" t="s">
        <v>2531</v>
      </c>
      <c r="C295" s="366">
        <v>0.15</v>
      </c>
      <c r="D295" s="366">
        <v>0.15</v>
      </c>
      <c r="E295" s="366">
        <v>0.15</v>
      </c>
      <c r="F295" s="366">
        <v>0.148</v>
      </c>
      <c r="G295" s="367">
        <v>0.15</v>
      </c>
    </row>
    <row r="296" spans="1:7">
      <c r="A296" s="376" t="s">
        <v>318</v>
      </c>
      <c r="B296" s="365" t="s">
        <v>2532</v>
      </c>
      <c r="C296" s="366">
        <v>0.15</v>
      </c>
      <c r="D296" s="366">
        <v>0.15</v>
      </c>
      <c r="E296" s="366">
        <v>0.15</v>
      </c>
      <c r="F296" s="366">
        <v>0.144</v>
      </c>
      <c r="G296" s="367">
        <v>0.15</v>
      </c>
    </row>
    <row r="297" spans="1:7">
      <c r="A297" s="376" t="s">
        <v>318</v>
      </c>
      <c r="B297" s="365" t="s">
        <v>2533</v>
      </c>
      <c r="C297" s="366">
        <v>0.15</v>
      </c>
      <c r="D297" s="366">
        <v>0.15</v>
      </c>
      <c r="E297" s="366">
        <v>0.15</v>
      </c>
      <c r="F297" s="366">
        <v>0.145</v>
      </c>
      <c r="G297" s="367">
        <v>0.15</v>
      </c>
    </row>
    <row r="298" spans="1:7">
      <c r="A298" s="376" t="s">
        <v>318</v>
      </c>
      <c r="B298" s="365" t="s">
        <v>2534</v>
      </c>
      <c r="C298" s="366">
        <v>0.15</v>
      </c>
      <c r="D298" s="366">
        <v>0.15</v>
      </c>
      <c r="E298" s="366">
        <v>0.15</v>
      </c>
      <c r="F298" s="366">
        <v>0.15</v>
      </c>
      <c r="G298" s="367">
        <v>0.15</v>
      </c>
    </row>
    <row r="299" spans="1:7">
      <c r="A299" s="376" t="s">
        <v>318</v>
      </c>
      <c r="B299" s="385" t="s">
        <v>2535</v>
      </c>
      <c r="C299" s="366">
        <v>0.15</v>
      </c>
      <c r="D299" s="366">
        <v>0.15</v>
      </c>
      <c r="E299" s="366">
        <v>0.15</v>
      </c>
      <c r="F299" s="366">
        <v>0.145</v>
      </c>
      <c r="G299" s="367">
        <v>0.15</v>
      </c>
    </row>
    <row r="300" spans="1:7">
      <c r="A300" s="376" t="s">
        <v>318</v>
      </c>
      <c r="B300" s="385" t="s">
        <v>2536</v>
      </c>
      <c r="C300" s="366">
        <v>0.15</v>
      </c>
      <c r="D300" s="366">
        <v>0.15</v>
      </c>
      <c r="E300" s="366">
        <v>0.15</v>
      </c>
      <c r="F300" s="366">
        <v>0.146</v>
      </c>
      <c r="G300" s="367">
        <v>0.15</v>
      </c>
    </row>
    <row r="301" spans="1:7">
      <c r="A301" s="376" t="s">
        <v>318</v>
      </c>
      <c r="B301" s="385" t="s">
        <v>2537</v>
      </c>
      <c r="C301" s="366">
        <v>0.126</v>
      </c>
      <c r="D301" s="366">
        <v>0.124</v>
      </c>
      <c r="E301" s="366">
        <v>0.141</v>
      </c>
      <c r="F301" s="366">
        <v>0.144</v>
      </c>
      <c r="G301" s="367">
        <v>0.13</v>
      </c>
    </row>
    <row r="302" spans="1:7">
      <c r="A302" s="376" t="s">
        <v>318</v>
      </c>
      <c r="B302" s="365" t="s">
        <v>2538</v>
      </c>
      <c r="C302" s="366">
        <v>0.15</v>
      </c>
      <c r="D302" s="366">
        <v>0.15</v>
      </c>
      <c r="E302" s="366">
        <v>0.15</v>
      </c>
      <c r="F302" s="366">
        <v>0.147</v>
      </c>
      <c r="G302" s="367">
        <v>0.15</v>
      </c>
    </row>
    <row r="303" spans="1:7">
      <c r="A303" s="376" t="s">
        <v>318</v>
      </c>
      <c r="B303" s="365" t="s">
        <v>2539</v>
      </c>
      <c r="C303" s="366">
        <v>0.15</v>
      </c>
      <c r="D303" s="366">
        <v>0.15</v>
      </c>
      <c r="E303" s="366">
        <v>0.15</v>
      </c>
      <c r="F303" s="366">
        <v>0.142</v>
      </c>
      <c r="G303" s="367">
        <v>0.15</v>
      </c>
    </row>
    <row r="304" spans="1:7">
      <c r="A304" s="376" t="s">
        <v>318</v>
      </c>
      <c r="B304" s="365" t="s">
        <v>2540</v>
      </c>
      <c r="C304" s="366">
        <v>0.15</v>
      </c>
      <c r="D304" s="366">
        <v>0.15</v>
      </c>
      <c r="E304" s="366">
        <v>0.15</v>
      </c>
      <c r="F304" s="366">
        <v>0.145</v>
      </c>
      <c r="G304" s="367">
        <v>0.15</v>
      </c>
    </row>
    <row r="305" spans="1:7">
      <c r="A305" s="376" t="s">
        <v>318</v>
      </c>
      <c r="B305" s="365" t="s">
        <v>2541</v>
      </c>
      <c r="C305" s="366">
        <v>0.15</v>
      </c>
      <c r="D305" s="366">
        <v>0.15</v>
      </c>
      <c r="E305" s="366">
        <v>0.15</v>
      </c>
      <c r="F305" s="366">
        <v>0.111</v>
      </c>
      <c r="G305" s="367">
        <v>0.15</v>
      </c>
    </row>
    <row r="306" spans="1:7">
      <c r="A306" s="376" t="s">
        <v>318</v>
      </c>
      <c r="B306" s="365" t="s">
        <v>2542</v>
      </c>
      <c r="C306" s="366">
        <v>0.15</v>
      </c>
      <c r="D306" s="366">
        <v>0.15</v>
      </c>
      <c r="E306" s="366">
        <v>0.15</v>
      </c>
      <c r="F306" s="366">
        <v>0.126</v>
      </c>
      <c r="G306" s="367">
        <v>0.15</v>
      </c>
    </row>
    <row r="307" spans="1:7">
      <c r="A307" s="376" t="s">
        <v>318</v>
      </c>
      <c r="B307" s="365" t="s">
        <v>2543</v>
      </c>
      <c r="C307" s="366">
        <v>0.15</v>
      </c>
      <c r="D307" s="366">
        <v>0.15</v>
      </c>
      <c r="E307" s="366">
        <v>0.15</v>
      </c>
      <c r="F307" s="366">
        <v>0.12</v>
      </c>
      <c r="G307" s="367">
        <v>0.15</v>
      </c>
    </row>
    <row r="308" spans="1:7">
      <c r="A308" s="376" t="s">
        <v>318</v>
      </c>
      <c r="B308" s="365" t="s">
        <v>2544</v>
      </c>
      <c r="C308" s="366">
        <v>0.15</v>
      </c>
      <c r="D308" s="366">
        <v>0.15</v>
      </c>
      <c r="E308" s="366">
        <v>0.15</v>
      </c>
      <c r="F308" s="366">
        <v>0.13</v>
      </c>
      <c r="G308" s="367">
        <v>0.15</v>
      </c>
    </row>
    <row r="309" spans="1:7">
      <c r="A309" s="376" t="s">
        <v>318</v>
      </c>
      <c r="B309" s="365" t="s">
        <v>2545</v>
      </c>
      <c r="C309" s="366">
        <v>0.15</v>
      </c>
      <c r="D309" s="366">
        <v>0.15</v>
      </c>
      <c r="E309" s="366">
        <v>0.15</v>
      </c>
      <c r="F309" s="366">
        <v>0.141</v>
      </c>
      <c r="G309" s="367">
        <v>0.15</v>
      </c>
    </row>
    <row r="310" spans="1:7">
      <c r="A310" s="376" t="s">
        <v>318</v>
      </c>
      <c r="B310" s="365" t="s">
        <v>2546</v>
      </c>
      <c r="C310" s="366">
        <v>0.15</v>
      </c>
      <c r="D310" s="366">
        <v>0.15</v>
      </c>
      <c r="E310" s="366">
        <v>0.15</v>
      </c>
      <c r="F310" s="366">
        <v>0.15</v>
      </c>
      <c r="G310" s="367">
        <v>0.15</v>
      </c>
    </row>
    <row r="311" spans="1:7">
      <c r="A311" s="376" t="s">
        <v>318</v>
      </c>
      <c r="B311" s="365" t="s">
        <v>2547</v>
      </c>
      <c r="C311" s="366">
        <v>0.132</v>
      </c>
      <c r="D311" s="366">
        <v>0.133</v>
      </c>
      <c r="E311" s="366">
        <v>0.145</v>
      </c>
      <c r="F311" s="366">
        <v>0.142</v>
      </c>
      <c r="G311" s="367">
        <v>0.14</v>
      </c>
    </row>
    <row r="312" spans="1:7">
      <c r="A312" s="376" t="s">
        <v>318</v>
      </c>
      <c r="B312" s="365" t="s">
        <v>2548</v>
      </c>
      <c r="C312" s="366">
        <v>0.138</v>
      </c>
      <c r="D312" s="366">
        <v>0.14</v>
      </c>
      <c r="E312" s="366">
        <v>0.146</v>
      </c>
      <c r="F312" s="366">
        <v>0.149</v>
      </c>
      <c r="G312" s="367">
        <v>0.142</v>
      </c>
    </row>
    <row r="313" spans="1:7">
      <c r="A313" s="376" t="s">
        <v>318</v>
      </c>
      <c r="B313" s="365" t="s">
        <v>2549</v>
      </c>
      <c r="C313" s="366">
        <v>0.125</v>
      </c>
      <c r="D313" s="366">
        <v>0.127</v>
      </c>
      <c r="E313" s="366">
        <v>0.144</v>
      </c>
      <c r="F313" s="366">
        <v>0.115</v>
      </c>
      <c r="G313" s="367">
        <v>0.136</v>
      </c>
    </row>
    <row r="314" spans="1:7">
      <c r="A314" s="376" t="s">
        <v>318</v>
      </c>
      <c r="B314" s="365" t="s">
        <v>2550</v>
      </c>
      <c r="C314" s="382"/>
      <c r="D314" s="382"/>
      <c r="E314" s="382"/>
      <c r="F314" s="366">
        <v>0.05</v>
      </c>
      <c r="G314" s="383"/>
    </row>
    <row r="315" spans="1:7">
      <c r="A315" s="376" t="s">
        <v>318</v>
      </c>
      <c r="B315" s="365" t="s">
        <v>2551</v>
      </c>
      <c r="C315" s="382"/>
      <c r="D315" s="382"/>
      <c r="E315" s="382"/>
      <c r="F315" s="366">
        <v>0.05</v>
      </c>
      <c r="G315" s="383"/>
    </row>
    <row r="316" spans="1:7">
      <c r="A316" s="376" t="s">
        <v>318</v>
      </c>
      <c r="B316" s="365" t="s">
        <v>2552</v>
      </c>
      <c r="C316" s="377"/>
      <c r="D316" s="377"/>
      <c r="E316" s="377"/>
      <c r="F316" s="366">
        <v>0.05</v>
      </c>
      <c r="G316" s="383"/>
    </row>
    <row r="317" spans="1:7">
      <c r="A317" s="376" t="s">
        <v>318</v>
      </c>
      <c r="B317" s="365" t="s">
        <v>2553</v>
      </c>
      <c r="C317" s="377"/>
      <c r="D317" s="377"/>
      <c r="E317" s="377"/>
      <c r="F317" s="366">
        <v>0.05</v>
      </c>
      <c r="G317" s="383"/>
    </row>
    <row r="318" spans="1:7">
      <c r="A318" s="376" t="s">
        <v>318</v>
      </c>
      <c r="B318" s="365" t="s">
        <v>2554</v>
      </c>
      <c r="C318" s="377"/>
      <c r="D318" s="377"/>
      <c r="E318" s="377"/>
      <c r="F318" s="366">
        <v>0.05</v>
      </c>
      <c r="G318" s="383"/>
    </row>
    <row r="319" spans="1:7">
      <c r="A319" s="376" t="s">
        <v>318</v>
      </c>
      <c r="B319" s="365" t="s">
        <v>2555</v>
      </c>
      <c r="C319" s="377"/>
      <c r="D319" s="377"/>
      <c r="E319" s="377"/>
      <c r="F319" s="366">
        <v>0.05</v>
      </c>
      <c r="G319" s="383"/>
    </row>
    <row r="320" spans="1:7">
      <c r="A320" s="376" t="s">
        <v>318</v>
      </c>
      <c r="B320" s="365" t="s">
        <v>2556</v>
      </c>
      <c r="C320" s="377"/>
      <c r="D320" s="377"/>
      <c r="E320" s="377"/>
      <c r="F320" s="366">
        <v>0.05</v>
      </c>
      <c r="G320" s="383"/>
    </row>
    <row r="321" spans="1:7">
      <c r="A321" s="376" t="s">
        <v>318</v>
      </c>
      <c r="B321" s="365" t="s">
        <v>2557</v>
      </c>
      <c r="C321" s="377"/>
      <c r="D321" s="377"/>
      <c r="E321" s="377"/>
      <c r="F321" s="366">
        <v>0.05</v>
      </c>
      <c r="G321" s="383"/>
    </row>
    <row r="322" spans="1:7">
      <c r="A322" s="376" t="s">
        <v>318</v>
      </c>
      <c r="B322" s="365" t="s">
        <v>2558</v>
      </c>
      <c r="C322" s="377"/>
      <c r="D322" s="377"/>
      <c r="E322" s="377"/>
      <c r="F322" s="366">
        <v>0.05</v>
      </c>
      <c r="G322" s="383"/>
    </row>
    <row r="323" spans="1:7">
      <c r="A323" s="376" t="s">
        <v>318</v>
      </c>
      <c r="B323" s="365" t="s">
        <v>2559</v>
      </c>
      <c r="C323" s="377"/>
      <c r="D323" s="377"/>
      <c r="E323" s="377"/>
      <c r="F323" s="366">
        <v>0.05</v>
      </c>
      <c r="G323" s="383"/>
    </row>
    <row r="324" spans="1:7">
      <c r="A324" s="376" t="s">
        <v>318</v>
      </c>
      <c r="B324" s="365" t="s">
        <v>2560</v>
      </c>
      <c r="C324" s="377"/>
      <c r="D324" s="377"/>
      <c r="E324" s="377"/>
      <c r="F324" s="366">
        <v>0.05</v>
      </c>
      <c r="G324" s="383"/>
    </row>
    <row r="325" spans="1:7">
      <c r="A325" s="376" t="s">
        <v>318</v>
      </c>
      <c r="B325" s="365" t="s">
        <v>2561</v>
      </c>
      <c r="C325" s="377"/>
      <c r="D325" s="377"/>
      <c r="E325" s="377"/>
      <c r="F325" s="366">
        <v>0.05</v>
      </c>
      <c r="G325" s="383"/>
    </row>
    <row r="326" ht="14.25" spans="1:7">
      <c r="A326" s="379" t="s">
        <v>318</v>
      </c>
      <c r="B326" s="369" t="s">
        <v>2562</v>
      </c>
      <c r="C326" s="371"/>
      <c r="D326" s="371"/>
      <c r="E326" s="371"/>
      <c r="F326" s="370">
        <v>0.05</v>
      </c>
      <c r="G326" s="384"/>
    </row>
    <row r="327" spans="1:7">
      <c r="A327" s="375" t="s">
        <v>324</v>
      </c>
      <c r="B327" s="361" t="s">
        <v>2563</v>
      </c>
      <c r="C327" s="362">
        <v>0.15</v>
      </c>
      <c r="D327" s="362">
        <v>0.15</v>
      </c>
      <c r="E327" s="362">
        <v>0.15</v>
      </c>
      <c r="F327" s="362">
        <v>0.15</v>
      </c>
      <c r="G327" s="363">
        <v>0.15</v>
      </c>
    </row>
    <row r="328" spans="1:7">
      <c r="A328" s="376" t="s">
        <v>324</v>
      </c>
      <c r="B328" s="365" t="s">
        <v>2564</v>
      </c>
      <c r="C328" s="366">
        <v>0.15</v>
      </c>
      <c r="D328" s="366">
        <v>0.15</v>
      </c>
      <c r="E328" s="366">
        <v>0.15</v>
      </c>
      <c r="F328" s="366">
        <v>0.126</v>
      </c>
      <c r="G328" s="367">
        <v>0.15</v>
      </c>
    </row>
    <row r="329" spans="1:7">
      <c r="A329" s="376" t="s">
        <v>324</v>
      </c>
      <c r="B329" s="365" t="s">
        <v>2565</v>
      </c>
      <c r="C329" s="366">
        <v>0.15</v>
      </c>
      <c r="D329" s="366">
        <v>0.15</v>
      </c>
      <c r="E329" s="366">
        <v>0.15</v>
      </c>
      <c r="F329" s="366">
        <v>0.15</v>
      </c>
      <c r="G329" s="367">
        <v>0.15</v>
      </c>
    </row>
    <row r="330" spans="1:7">
      <c r="A330" s="376" t="s">
        <v>324</v>
      </c>
      <c r="B330" s="365" t="s">
        <v>2566</v>
      </c>
      <c r="C330" s="366">
        <v>0.15</v>
      </c>
      <c r="D330" s="366">
        <v>0.15</v>
      </c>
      <c r="E330" s="366">
        <v>0.15</v>
      </c>
      <c r="F330" s="366">
        <v>0.15</v>
      </c>
      <c r="G330" s="367">
        <v>0.15</v>
      </c>
    </row>
    <row r="331" spans="1:7">
      <c r="A331" s="376" t="s">
        <v>324</v>
      </c>
      <c r="B331" s="365" t="s">
        <v>2567</v>
      </c>
      <c r="C331" s="366">
        <v>0.15</v>
      </c>
      <c r="D331" s="366">
        <v>0.15</v>
      </c>
      <c r="E331" s="366">
        <v>0.15</v>
      </c>
      <c r="F331" s="366">
        <v>0.15</v>
      </c>
      <c r="G331" s="367">
        <v>0.15</v>
      </c>
    </row>
    <row r="332" spans="1:7">
      <c r="A332" s="376" t="s">
        <v>324</v>
      </c>
      <c r="B332" s="365" t="s">
        <v>2568</v>
      </c>
      <c r="C332" s="366">
        <v>0.15</v>
      </c>
      <c r="D332" s="366">
        <v>0.15</v>
      </c>
      <c r="E332" s="366">
        <v>0.15</v>
      </c>
      <c r="F332" s="366">
        <v>0.15</v>
      </c>
      <c r="G332" s="367">
        <v>0.15</v>
      </c>
    </row>
    <row r="333" spans="1:7">
      <c r="A333" s="376" t="s">
        <v>324</v>
      </c>
      <c r="B333" s="365" t="s">
        <v>2569</v>
      </c>
      <c r="C333" s="366">
        <v>0.149</v>
      </c>
      <c r="D333" s="366">
        <v>0.149</v>
      </c>
      <c r="E333" s="366">
        <v>0.15</v>
      </c>
      <c r="F333" s="366">
        <v>0.116</v>
      </c>
      <c r="G333" s="367">
        <v>0.15</v>
      </c>
    </row>
    <row r="334" spans="1:7">
      <c r="A334" s="376" t="s">
        <v>324</v>
      </c>
      <c r="B334" s="365" t="s">
        <v>2570</v>
      </c>
      <c r="C334" s="366">
        <v>0.15</v>
      </c>
      <c r="D334" s="366">
        <v>0.15</v>
      </c>
      <c r="E334" s="366">
        <v>0.15</v>
      </c>
      <c r="F334" s="366">
        <v>0.13</v>
      </c>
      <c r="G334" s="367">
        <v>0.15</v>
      </c>
    </row>
    <row r="335" spans="1:7">
      <c r="A335" s="376" t="s">
        <v>324</v>
      </c>
      <c r="B335" s="365" t="s">
        <v>2571</v>
      </c>
      <c r="C335" s="366">
        <v>0.15</v>
      </c>
      <c r="D335" s="366">
        <v>0.15</v>
      </c>
      <c r="E335" s="366">
        <v>0.15</v>
      </c>
      <c r="F335" s="366">
        <v>0.144</v>
      </c>
      <c r="G335" s="367">
        <v>0.15</v>
      </c>
    </row>
    <row r="336" spans="1:7">
      <c r="A336" s="376" t="s">
        <v>324</v>
      </c>
      <c r="B336" s="365" t="s">
        <v>2572</v>
      </c>
      <c r="C336" s="366">
        <v>0.15</v>
      </c>
      <c r="D336" s="366">
        <v>0.15</v>
      </c>
      <c r="E336" s="366">
        <v>0.15</v>
      </c>
      <c r="F336" s="366">
        <v>0.142</v>
      </c>
      <c r="G336" s="367">
        <v>0.15</v>
      </c>
    </row>
    <row r="337" spans="1:7">
      <c r="A337" s="376" t="s">
        <v>324</v>
      </c>
      <c r="B337" s="365" t="s">
        <v>2573</v>
      </c>
      <c r="C337" s="366">
        <v>0.15</v>
      </c>
      <c r="D337" s="366">
        <v>0.15</v>
      </c>
      <c r="E337" s="366">
        <v>0.15</v>
      </c>
      <c r="F337" s="366">
        <v>0.145</v>
      </c>
      <c r="G337" s="367">
        <v>0.15</v>
      </c>
    </row>
    <row r="338" spans="1:7">
      <c r="A338" s="376" t="s">
        <v>324</v>
      </c>
      <c r="B338" s="365" t="s">
        <v>2574</v>
      </c>
      <c r="C338" s="366">
        <v>0.15</v>
      </c>
      <c r="D338" s="366">
        <v>0.15</v>
      </c>
      <c r="E338" s="366">
        <v>0.15</v>
      </c>
      <c r="F338" s="366">
        <v>0.15</v>
      </c>
      <c r="G338" s="367">
        <v>0.15</v>
      </c>
    </row>
    <row r="339" spans="1:7">
      <c r="A339" s="376" t="s">
        <v>324</v>
      </c>
      <c r="B339" s="365" t="s">
        <v>2575</v>
      </c>
      <c r="C339" s="366">
        <v>0.15</v>
      </c>
      <c r="D339" s="366">
        <v>0.15</v>
      </c>
      <c r="E339" s="366">
        <v>0.15</v>
      </c>
      <c r="F339" s="366">
        <v>0.147</v>
      </c>
      <c r="G339" s="367">
        <v>0.15</v>
      </c>
    </row>
    <row r="340" spans="1:7">
      <c r="A340" s="376" t="s">
        <v>324</v>
      </c>
      <c r="B340" s="365" t="s">
        <v>2576</v>
      </c>
      <c r="C340" s="366">
        <v>0.146</v>
      </c>
      <c r="D340" s="366">
        <v>0.146</v>
      </c>
      <c r="E340" s="366">
        <v>0.15</v>
      </c>
      <c r="F340" s="366">
        <v>0.141</v>
      </c>
      <c r="G340" s="367">
        <v>0.147</v>
      </c>
    </row>
    <row r="341" spans="1:7">
      <c r="A341" s="376" t="s">
        <v>324</v>
      </c>
      <c r="B341" s="365" t="s">
        <v>2577</v>
      </c>
      <c r="C341" s="366">
        <v>0.126</v>
      </c>
      <c r="D341" s="366">
        <v>0.124</v>
      </c>
      <c r="E341" s="366">
        <v>0.141</v>
      </c>
      <c r="F341" s="366">
        <v>0.144</v>
      </c>
      <c r="G341" s="367">
        <v>0.13</v>
      </c>
    </row>
    <row r="342" spans="1:7">
      <c r="A342" s="376" t="s">
        <v>324</v>
      </c>
      <c r="B342" s="365" t="s">
        <v>2578</v>
      </c>
      <c r="C342" s="366">
        <v>0.15</v>
      </c>
      <c r="D342" s="366">
        <v>0.15</v>
      </c>
      <c r="E342" s="366">
        <v>0.15</v>
      </c>
      <c r="F342" s="366">
        <v>0.144</v>
      </c>
      <c r="G342" s="367">
        <v>0.15</v>
      </c>
    </row>
    <row r="343" spans="1:7">
      <c r="A343" s="376" t="s">
        <v>324</v>
      </c>
      <c r="B343" s="365" t="s">
        <v>2579</v>
      </c>
      <c r="C343" s="366">
        <v>0.15</v>
      </c>
      <c r="D343" s="366">
        <v>0.15</v>
      </c>
      <c r="E343" s="366">
        <v>0.15</v>
      </c>
      <c r="F343" s="366">
        <v>0.128</v>
      </c>
      <c r="G343" s="367">
        <v>0.15</v>
      </c>
    </row>
    <row r="344" spans="1:7">
      <c r="A344" s="376" t="s">
        <v>324</v>
      </c>
      <c r="B344" s="365" t="s">
        <v>2580</v>
      </c>
      <c r="C344" s="366">
        <v>0.15</v>
      </c>
      <c r="D344" s="366">
        <v>0.15</v>
      </c>
      <c r="E344" s="366">
        <v>0.15</v>
      </c>
      <c r="F344" s="366">
        <v>0.148</v>
      </c>
      <c r="G344" s="367">
        <v>0.15</v>
      </c>
    </row>
    <row r="345" spans="1:7">
      <c r="A345" s="376" t="s">
        <v>324</v>
      </c>
      <c r="B345" s="365" t="s">
        <v>2581</v>
      </c>
      <c r="C345" s="366">
        <v>0.15</v>
      </c>
      <c r="D345" s="366">
        <v>0.15</v>
      </c>
      <c r="E345" s="366">
        <v>0.15</v>
      </c>
      <c r="F345" s="366">
        <v>0.138</v>
      </c>
      <c r="G345" s="367">
        <v>0.15</v>
      </c>
    </row>
    <row r="346" spans="1:7">
      <c r="A346" s="376" t="s">
        <v>324</v>
      </c>
      <c r="B346" s="365" t="s">
        <v>2582</v>
      </c>
      <c r="C346" s="366">
        <v>0.15</v>
      </c>
      <c r="D346" s="366">
        <v>0.15</v>
      </c>
      <c r="E346" s="366">
        <v>0.15</v>
      </c>
      <c r="F346" s="366">
        <v>0.144</v>
      </c>
      <c r="G346" s="367">
        <v>0.15</v>
      </c>
    </row>
    <row r="347" spans="1:7">
      <c r="A347" s="376" t="s">
        <v>324</v>
      </c>
      <c r="B347" s="365" t="s">
        <v>2583</v>
      </c>
      <c r="C347" s="366">
        <v>0.15</v>
      </c>
      <c r="D347" s="366">
        <v>0.15</v>
      </c>
      <c r="E347" s="366">
        <v>0.15</v>
      </c>
      <c r="F347" s="366">
        <v>0.146</v>
      </c>
      <c r="G347" s="367">
        <v>0.15</v>
      </c>
    </row>
    <row r="348" spans="1:7">
      <c r="A348" s="376" t="s">
        <v>324</v>
      </c>
      <c r="B348" s="365" t="s">
        <v>2584</v>
      </c>
      <c r="C348" s="366">
        <v>0.15</v>
      </c>
      <c r="D348" s="366">
        <v>0.15</v>
      </c>
      <c r="E348" s="366">
        <v>0.15</v>
      </c>
      <c r="F348" s="366">
        <v>0.144</v>
      </c>
      <c r="G348" s="367">
        <v>0.15</v>
      </c>
    </row>
    <row r="349" spans="1:7">
      <c r="A349" s="376" t="s">
        <v>324</v>
      </c>
      <c r="B349" s="365" t="s">
        <v>2585</v>
      </c>
      <c r="C349" s="366">
        <v>0.15</v>
      </c>
      <c r="D349" s="366">
        <v>0.15</v>
      </c>
      <c r="E349" s="366">
        <v>0.15</v>
      </c>
      <c r="F349" s="366">
        <v>0.15</v>
      </c>
      <c r="G349" s="367">
        <v>0.15</v>
      </c>
    </row>
    <row r="350" spans="1:7">
      <c r="A350" s="376" t="s">
        <v>324</v>
      </c>
      <c r="B350" s="365" t="s">
        <v>2586</v>
      </c>
      <c r="C350" s="366">
        <v>0.15</v>
      </c>
      <c r="D350" s="366">
        <v>0.15</v>
      </c>
      <c r="E350" s="366">
        <v>0.15</v>
      </c>
      <c r="F350" s="366">
        <v>0.147</v>
      </c>
      <c r="G350" s="367">
        <v>0.15</v>
      </c>
    </row>
    <row r="351" spans="1:7">
      <c r="A351" s="376" t="s">
        <v>324</v>
      </c>
      <c r="B351" s="365" t="s">
        <v>2587</v>
      </c>
      <c r="C351" s="366">
        <v>0.15</v>
      </c>
      <c r="D351" s="366">
        <v>0.15</v>
      </c>
      <c r="E351" s="366">
        <v>0.15</v>
      </c>
      <c r="F351" s="366">
        <v>0.13</v>
      </c>
      <c r="G351" s="367">
        <v>0.15</v>
      </c>
    </row>
    <row r="352" spans="1:7">
      <c r="A352" s="376" t="s">
        <v>324</v>
      </c>
      <c r="B352" s="365" t="s">
        <v>2588</v>
      </c>
      <c r="C352" s="366">
        <v>0.15</v>
      </c>
      <c r="D352" s="366">
        <v>0.15</v>
      </c>
      <c r="E352" s="366">
        <v>0.15</v>
      </c>
      <c r="F352" s="366">
        <v>0.146</v>
      </c>
      <c r="G352" s="367">
        <v>0.15</v>
      </c>
    </row>
    <row r="353" spans="1:7">
      <c r="A353" s="376" t="s">
        <v>324</v>
      </c>
      <c r="B353" s="365" t="s">
        <v>2589</v>
      </c>
      <c r="C353" s="366">
        <v>0.15</v>
      </c>
      <c r="D353" s="366">
        <v>0.15</v>
      </c>
      <c r="E353" s="366">
        <v>0.15</v>
      </c>
      <c r="F353" s="366">
        <v>0.145</v>
      </c>
      <c r="G353" s="367">
        <v>0.15</v>
      </c>
    </row>
    <row r="354" spans="1:7">
      <c r="A354" s="376" t="s">
        <v>324</v>
      </c>
      <c r="B354" s="365" t="s">
        <v>2590</v>
      </c>
      <c r="C354" s="366">
        <v>0.15</v>
      </c>
      <c r="D354" s="366">
        <v>0.15</v>
      </c>
      <c r="E354" s="366">
        <v>0.15</v>
      </c>
      <c r="F354" s="366">
        <v>0.141</v>
      </c>
      <c r="G354" s="367">
        <v>0.15</v>
      </c>
    </row>
    <row r="355" spans="1:7">
      <c r="A355" s="376" t="s">
        <v>324</v>
      </c>
      <c r="B355" s="365" t="s">
        <v>2591</v>
      </c>
      <c r="C355" s="366">
        <v>0.15</v>
      </c>
      <c r="D355" s="366">
        <v>0.15</v>
      </c>
      <c r="E355" s="366">
        <v>0.15</v>
      </c>
      <c r="F355" s="366">
        <v>0.15</v>
      </c>
      <c r="G355" s="367">
        <v>0.15</v>
      </c>
    </row>
    <row r="356" spans="1:7">
      <c r="A356" s="376" t="s">
        <v>324</v>
      </c>
      <c r="B356" s="365" t="s">
        <v>2592</v>
      </c>
      <c r="C356" s="366">
        <v>0.15</v>
      </c>
      <c r="D356" s="366">
        <v>0.15</v>
      </c>
      <c r="E356" s="366">
        <v>0.15</v>
      </c>
      <c r="F356" s="366">
        <v>0.15</v>
      </c>
      <c r="G356" s="367">
        <v>0.15</v>
      </c>
    </row>
    <row r="357" ht="14.25" spans="1:7">
      <c r="A357" s="379" t="s">
        <v>324</v>
      </c>
      <c r="B357" s="369" t="s">
        <v>2593</v>
      </c>
      <c r="C357" s="370">
        <v>0.126</v>
      </c>
      <c r="D357" s="370">
        <v>0.127</v>
      </c>
      <c r="E357" s="370">
        <v>0.143</v>
      </c>
      <c r="F357" s="370">
        <v>0.125</v>
      </c>
      <c r="G357" s="372">
        <v>0.129</v>
      </c>
    </row>
    <row r="358" spans="1:7">
      <c r="A358" s="375" t="s">
        <v>330</v>
      </c>
      <c r="B358" s="361" t="s">
        <v>2594</v>
      </c>
      <c r="C358" s="362">
        <v>0.15</v>
      </c>
      <c r="D358" s="362">
        <v>0.15</v>
      </c>
      <c r="E358" s="362">
        <v>0.15</v>
      </c>
      <c r="F358" s="362">
        <v>0.15</v>
      </c>
      <c r="G358" s="363">
        <v>0.15</v>
      </c>
    </row>
    <row r="359" spans="1:7">
      <c r="A359" s="376" t="s">
        <v>330</v>
      </c>
      <c r="B359" s="365" t="s">
        <v>2595</v>
      </c>
      <c r="C359" s="366">
        <v>0.1</v>
      </c>
      <c r="D359" s="366">
        <v>0.1</v>
      </c>
      <c r="E359" s="366">
        <v>0.1</v>
      </c>
      <c r="F359" s="366">
        <v>0.1</v>
      </c>
      <c r="G359" s="367">
        <v>0.1</v>
      </c>
    </row>
    <row r="360" spans="1:7">
      <c r="A360" s="376" t="s">
        <v>330</v>
      </c>
      <c r="B360" s="365" t="s">
        <v>2596</v>
      </c>
      <c r="C360" s="366">
        <v>0.15</v>
      </c>
      <c r="D360" s="366">
        <v>0.15</v>
      </c>
      <c r="E360" s="366">
        <v>0.15</v>
      </c>
      <c r="F360" s="366">
        <v>0.149</v>
      </c>
      <c r="G360" s="367">
        <v>0.15</v>
      </c>
    </row>
    <row r="361" spans="1:7">
      <c r="A361" s="376" t="s">
        <v>330</v>
      </c>
      <c r="B361" s="365" t="s">
        <v>2597</v>
      </c>
      <c r="C361" s="366">
        <v>0.15</v>
      </c>
      <c r="D361" s="366">
        <v>0.15</v>
      </c>
      <c r="E361" s="366">
        <v>0.15</v>
      </c>
      <c r="F361" s="366">
        <v>0.115</v>
      </c>
      <c r="G361" s="367">
        <v>0.15</v>
      </c>
    </row>
    <row r="362" spans="1:7">
      <c r="A362" s="376" t="s">
        <v>330</v>
      </c>
      <c r="B362" s="365" t="s">
        <v>2598</v>
      </c>
      <c r="C362" s="366">
        <v>0.15</v>
      </c>
      <c r="D362" s="366">
        <v>0.15</v>
      </c>
      <c r="E362" s="366">
        <v>0.15</v>
      </c>
      <c r="F362" s="366">
        <v>0.106</v>
      </c>
      <c r="G362" s="367">
        <v>0.15</v>
      </c>
    </row>
    <row r="363" spans="1:7">
      <c r="A363" s="376" t="s">
        <v>330</v>
      </c>
      <c r="B363" s="365" t="s">
        <v>2599</v>
      </c>
      <c r="C363" s="366">
        <v>0.15</v>
      </c>
      <c r="D363" s="366">
        <v>0.15</v>
      </c>
      <c r="E363" s="366">
        <v>0.15</v>
      </c>
      <c r="F363" s="366">
        <v>0.147</v>
      </c>
      <c r="G363" s="367">
        <v>0.15</v>
      </c>
    </row>
    <row r="364" spans="1:7">
      <c r="A364" s="376" t="s">
        <v>330</v>
      </c>
      <c r="B364" s="365" t="s">
        <v>2600</v>
      </c>
      <c r="C364" s="366">
        <v>0.15</v>
      </c>
      <c r="D364" s="366">
        <v>0.15</v>
      </c>
      <c r="E364" s="366">
        <v>0.15</v>
      </c>
      <c r="F364" s="366">
        <v>0.148</v>
      </c>
      <c r="G364" s="367">
        <v>0.15</v>
      </c>
    </row>
    <row r="365" spans="1:7">
      <c r="A365" s="376" t="s">
        <v>330</v>
      </c>
      <c r="B365" s="365" t="s">
        <v>2601</v>
      </c>
      <c r="C365" s="366">
        <v>0.15</v>
      </c>
      <c r="D365" s="366">
        <v>0.15</v>
      </c>
      <c r="E365" s="366">
        <v>0.15</v>
      </c>
      <c r="F365" s="366">
        <v>0.15</v>
      </c>
      <c r="G365" s="367">
        <v>0.15</v>
      </c>
    </row>
    <row r="366" spans="1:7">
      <c r="A366" s="376" t="s">
        <v>330</v>
      </c>
      <c r="B366" s="365" t="s">
        <v>2602</v>
      </c>
      <c r="C366" s="366">
        <v>0.15</v>
      </c>
      <c r="D366" s="366">
        <v>0.15</v>
      </c>
      <c r="E366" s="366">
        <v>0.15</v>
      </c>
      <c r="F366" s="366">
        <v>0.15</v>
      </c>
      <c r="G366" s="367">
        <v>0.15</v>
      </c>
    </row>
    <row r="367" spans="1:7">
      <c r="A367" s="376" t="s">
        <v>330</v>
      </c>
      <c r="B367" s="365" t="s">
        <v>2603</v>
      </c>
      <c r="C367" s="366">
        <v>0.15</v>
      </c>
      <c r="D367" s="366">
        <v>0.15</v>
      </c>
      <c r="E367" s="366">
        <v>0.15</v>
      </c>
      <c r="F367" s="366">
        <v>0.147</v>
      </c>
      <c r="G367" s="367">
        <v>0.15</v>
      </c>
    </row>
    <row r="368" spans="1:7">
      <c r="A368" s="376" t="s">
        <v>330</v>
      </c>
      <c r="B368" s="365" t="s">
        <v>2604</v>
      </c>
      <c r="C368" s="366">
        <v>0.15</v>
      </c>
      <c r="D368" s="366">
        <v>0.15</v>
      </c>
      <c r="E368" s="366">
        <v>0.15</v>
      </c>
      <c r="F368" s="366">
        <v>0.136</v>
      </c>
      <c r="G368" s="367">
        <v>0.15</v>
      </c>
    </row>
    <row r="369" spans="1:7">
      <c r="A369" s="376" t="s">
        <v>330</v>
      </c>
      <c r="B369" s="365" t="s">
        <v>2605</v>
      </c>
      <c r="C369" s="366">
        <v>0.15</v>
      </c>
      <c r="D369" s="366">
        <v>0.15</v>
      </c>
      <c r="E369" s="366">
        <v>0.15</v>
      </c>
      <c r="F369" s="366">
        <v>0.144</v>
      </c>
      <c r="G369" s="367">
        <v>0.15</v>
      </c>
    </row>
    <row r="370" spans="1:7">
      <c r="A370" s="376" t="s">
        <v>330</v>
      </c>
      <c r="B370" s="365" t="s">
        <v>2606</v>
      </c>
      <c r="C370" s="366">
        <v>0.15</v>
      </c>
      <c r="D370" s="366">
        <v>0.15</v>
      </c>
      <c r="E370" s="366">
        <v>0.15</v>
      </c>
      <c r="F370" s="366">
        <v>0.146</v>
      </c>
      <c r="G370" s="367">
        <v>0.15</v>
      </c>
    </row>
    <row r="371" spans="1:7">
      <c r="A371" s="376" t="s">
        <v>330</v>
      </c>
      <c r="B371" s="365" t="s">
        <v>2607</v>
      </c>
      <c r="C371" s="366">
        <v>0.15</v>
      </c>
      <c r="D371" s="366">
        <v>0.15</v>
      </c>
      <c r="E371" s="366">
        <v>0.15</v>
      </c>
      <c r="F371" s="366">
        <v>0.12</v>
      </c>
      <c r="G371" s="367">
        <v>0.15</v>
      </c>
    </row>
    <row r="372" spans="1:7">
      <c r="A372" s="376" t="s">
        <v>330</v>
      </c>
      <c r="B372" s="365" t="s">
        <v>2608</v>
      </c>
      <c r="C372" s="366">
        <v>0.15</v>
      </c>
      <c r="D372" s="366">
        <v>0.15</v>
      </c>
      <c r="E372" s="366">
        <v>0.15</v>
      </c>
      <c r="F372" s="366">
        <v>0.143</v>
      </c>
      <c r="G372" s="367">
        <v>0.15</v>
      </c>
    </row>
    <row r="373" spans="1:7">
      <c r="A373" s="376" t="s">
        <v>330</v>
      </c>
      <c r="B373" s="365" t="s">
        <v>2609</v>
      </c>
      <c r="C373" s="366">
        <v>0.15</v>
      </c>
      <c r="D373" s="366">
        <v>0.15</v>
      </c>
      <c r="E373" s="366">
        <v>0.15</v>
      </c>
      <c r="F373" s="366">
        <v>0.146</v>
      </c>
      <c r="G373" s="367">
        <v>0.15</v>
      </c>
    </row>
    <row r="374" spans="1:7">
      <c r="A374" s="376" t="s">
        <v>330</v>
      </c>
      <c r="B374" s="365" t="s">
        <v>2610</v>
      </c>
      <c r="C374" s="366">
        <v>0.15</v>
      </c>
      <c r="D374" s="366">
        <v>0.15</v>
      </c>
      <c r="E374" s="366">
        <v>0.15</v>
      </c>
      <c r="F374" s="366">
        <v>0.144</v>
      </c>
      <c r="G374" s="367">
        <v>0.15</v>
      </c>
    </row>
    <row r="375" spans="1:7">
      <c r="A375" s="376" t="s">
        <v>330</v>
      </c>
      <c r="B375" s="365" t="s">
        <v>2611</v>
      </c>
      <c r="C375" s="366">
        <v>0.15</v>
      </c>
      <c r="D375" s="366">
        <v>0.15</v>
      </c>
      <c r="E375" s="366">
        <v>0.15</v>
      </c>
      <c r="F375" s="366">
        <v>0.13</v>
      </c>
      <c r="G375" s="367">
        <v>0.15</v>
      </c>
    </row>
    <row r="376" spans="1:7">
      <c r="A376" s="376" t="s">
        <v>330</v>
      </c>
      <c r="B376" s="365" t="s">
        <v>2612</v>
      </c>
      <c r="C376" s="366">
        <v>0.15</v>
      </c>
      <c r="D376" s="366">
        <v>0.15</v>
      </c>
      <c r="E376" s="366">
        <v>0.15</v>
      </c>
      <c r="F376" s="366">
        <v>0.142</v>
      </c>
      <c r="G376" s="367">
        <v>0.15</v>
      </c>
    </row>
    <row r="377" ht="14.25" spans="1:7">
      <c r="A377" s="379" t="s">
        <v>330</v>
      </c>
      <c r="B377" s="369" t="s">
        <v>2613</v>
      </c>
      <c r="C377" s="370">
        <v>0.15</v>
      </c>
      <c r="D377" s="370">
        <v>0.15</v>
      </c>
      <c r="E377" s="370">
        <v>0.15</v>
      </c>
      <c r="F377" s="370">
        <v>0.14</v>
      </c>
      <c r="G377" s="372">
        <v>0.15</v>
      </c>
    </row>
    <row r="378" spans="1:7">
      <c r="A378" s="375" t="s">
        <v>336</v>
      </c>
      <c r="B378" s="361" t="s">
        <v>2614</v>
      </c>
      <c r="C378" s="362">
        <v>0.15</v>
      </c>
      <c r="D378" s="362">
        <v>0.15</v>
      </c>
      <c r="E378" s="362">
        <v>0.15</v>
      </c>
      <c r="F378" s="362">
        <v>0.107</v>
      </c>
      <c r="G378" s="363">
        <v>0.15</v>
      </c>
    </row>
    <row r="379" spans="1:7">
      <c r="A379" s="376" t="s">
        <v>336</v>
      </c>
      <c r="B379" s="365" t="s">
        <v>2615</v>
      </c>
      <c r="C379" s="366">
        <v>0.15</v>
      </c>
      <c r="D379" s="366">
        <v>0.15</v>
      </c>
      <c r="E379" s="366">
        <v>0.15</v>
      </c>
      <c r="F379" s="366">
        <v>0.115</v>
      </c>
      <c r="G379" s="367">
        <v>0.149</v>
      </c>
    </row>
    <row r="380" spans="1:7">
      <c r="A380" s="376" t="s">
        <v>336</v>
      </c>
      <c r="B380" s="365" t="s">
        <v>2616</v>
      </c>
      <c r="C380" s="366">
        <v>0.15</v>
      </c>
      <c r="D380" s="366">
        <v>0.15</v>
      </c>
      <c r="E380" s="366">
        <v>0.15</v>
      </c>
      <c r="F380" s="366">
        <v>0.1</v>
      </c>
      <c r="G380" s="367">
        <v>0.148</v>
      </c>
    </row>
    <row r="381" spans="1:7">
      <c r="A381" s="376" t="s">
        <v>336</v>
      </c>
      <c r="B381" s="365" t="s">
        <v>2617</v>
      </c>
      <c r="C381" s="366">
        <v>0.15</v>
      </c>
      <c r="D381" s="366">
        <v>0.15</v>
      </c>
      <c r="E381" s="366">
        <v>0.15</v>
      </c>
      <c r="F381" s="366">
        <v>0.126</v>
      </c>
      <c r="G381" s="367">
        <v>0.15</v>
      </c>
    </row>
    <row r="382" spans="1:7">
      <c r="A382" s="376" t="s">
        <v>336</v>
      </c>
      <c r="B382" s="365" t="s">
        <v>2618</v>
      </c>
      <c r="C382" s="366">
        <v>0.15</v>
      </c>
      <c r="D382" s="366">
        <v>0.15</v>
      </c>
      <c r="E382" s="366">
        <v>0.15</v>
      </c>
      <c r="F382" s="366">
        <v>0.15</v>
      </c>
      <c r="G382" s="367">
        <v>0.15</v>
      </c>
    </row>
    <row r="383" spans="1:7">
      <c r="A383" s="376" t="s">
        <v>336</v>
      </c>
      <c r="B383" s="365" t="s">
        <v>2619</v>
      </c>
      <c r="C383" s="366">
        <v>0.15</v>
      </c>
      <c r="D383" s="366">
        <v>0.15</v>
      </c>
      <c r="E383" s="366">
        <v>0.15</v>
      </c>
      <c r="F383" s="366">
        <v>0.147</v>
      </c>
      <c r="G383" s="367">
        <v>0.15</v>
      </c>
    </row>
    <row r="384" ht="14.25" spans="1:7">
      <c r="A384" s="386" t="s">
        <v>336</v>
      </c>
      <c r="B384" s="387" t="s">
        <v>2620</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2621</v>
      </c>
      <c r="B1" s="344"/>
      <c r="C1" s="344"/>
      <c r="D1" s="344"/>
      <c r="E1" s="344"/>
      <c r="F1" s="345"/>
    </row>
    <row r="2" ht="14.25" spans="1:6">
      <c r="A2" s="346" t="s">
        <v>2622</v>
      </c>
      <c r="B2" s="347"/>
      <c r="C2" s="347"/>
      <c r="D2" s="347"/>
      <c r="E2" s="347"/>
      <c r="F2" s="347"/>
    </row>
    <row r="3" ht="14.25" spans="1:6">
      <c r="A3" s="346" t="s">
        <v>2623</v>
      </c>
      <c r="B3" s="347"/>
      <c r="C3" s="347"/>
      <c r="D3" s="347"/>
      <c r="E3" s="347"/>
      <c r="F3" s="348" t="s">
        <v>2624</v>
      </c>
    </row>
    <row r="4" spans="1:6">
      <c r="A4" s="349" t="s">
        <v>442</v>
      </c>
      <c r="B4" s="349" t="s">
        <v>229</v>
      </c>
      <c r="C4" s="349" t="s">
        <v>230</v>
      </c>
      <c r="D4" s="349" t="s">
        <v>2625</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45846</v>
      </c>
      <c r="B1" s="261" t="s">
        <v>2626</v>
      </c>
      <c r="C1" s="262"/>
      <c r="D1" s="262"/>
      <c r="E1" s="262"/>
      <c r="F1" s="262"/>
      <c r="G1" s="262"/>
      <c r="H1" s="262"/>
      <c r="I1" s="262"/>
      <c r="J1" s="288"/>
      <c r="K1" s="262" t="s">
        <v>2627</v>
      </c>
      <c r="L1" s="262"/>
      <c r="M1" s="262"/>
      <c r="N1" s="262"/>
      <c r="O1" s="262"/>
      <c r="P1" s="262"/>
      <c r="Q1" s="288"/>
      <c r="R1" s="308" t="s">
        <v>2628</v>
      </c>
      <c r="S1" s="259"/>
      <c r="T1" s="259"/>
      <c r="U1" s="259"/>
      <c r="V1" s="259"/>
      <c r="W1" s="259"/>
      <c r="X1" s="288"/>
      <c r="Y1" s="308" t="s">
        <v>2629</v>
      </c>
      <c r="Z1" s="259"/>
      <c r="AA1" s="259"/>
      <c r="AB1" s="259"/>
      <c r="AC1" s="259"/>
      <c r="AD1" s="259"/>
    </row>
    <row r="2" s="252" customFormat="1" ht="14.25" spans="2:44">
      <c r="B2" s="263"/>
      <c r="C2" s="264"/>
      <c r="D2" s="265" t="s">
        <v>2630</v>
      </c>
      <c r="E2" s="266" t="s">
        <v>229</v>
      </c>
      <c r="F2" s="266" t="s">
        <v>230</v>
      </c>
      <c r="G2" s="266" t="s">
        <v>232</v>
      </c>
      <c r="H2" s="266" t="s">
        <v>233</v>
      </c>
      <c r="I2" s="266" t="s">
        <v>231</v>
      </c>
      <c r="J2" s="289"/>
      <c r="K2" s="265" t="s">
        <v>2630</v>
      </c>
      <c r="L2" s="266" t="s">
        <v>229</v>
      </c>
      <c r="M2" s="266" t="s">
        <v>230</v>
      </c>
      <c r="N2" s="266" t="s">
        <v>232</v>
      </c>
      <c r="O2" s="266" t="s">
        <v>233</v>
      </c>
      <c r="P2" s="266" t="s">
        <v>231</v>
      </c>
      <c r="Q2" s="289"/>
      <c r="R2" s="265" t="s">
        <v>2630</v>
      </c>
      <c r="S2" s="266" t="s">
        <v>229</v>
      </c>
      <c r="T2" s="266" t="s">
        <v>230</v>
      </c>
      <c r="U2" s="266" t="s">
        <v>232</v>
      </c>
      <c r="V2" s="266" t="s">
        <v>233</v>
      </c>
      <c r="W2" s="266" t="s">
        <v>231</v>
      </c>
      <c r="X2" s="289"/>
      <c r="Y2" s="265" t="s">
        <v>2630</v>
      </c>
      <c r="Z2" s="266" t="s">
        <v>229</v>
      </c>
      <c r="AA2" s="266" t="s">
        <v>230</v>
      </c>
      <c r="AB2" s="266" t="s">
        <v>232</v>
      </c>
      <c r="AC2" s="266" t="s">
        <v>233</v>
      </c>
      <c r="AD2" s="266" t="s">
        <v>231</v>
      </c>
      <c r="AF2" t="s">
        <v>2630</v>
      </c>
      <c r="AG2" t="s">
        <v>229</v>
      </c>
      <c r="AH2" t="s">
        <v>230</v>
      </c>
      <c r="AI2" t="s">
        <v>232</v>
      </c>
      <c r="AJ2" t="s">
        <v>233</v>
      </c>
      <c r="AK2" t="s">
        <v>231</v>
      </c>
      <c r="AM2" t="s">
        <v>2630</v>
      </c>
      <c r="AN2" t="s">
        <v>229</v>
      </c>
      <c r="AO2" t="s">
        <v>230</v>
      </c>
      <c r="AP2" t="s">
        <v>232</v>
      </c>
      <c r="AQ2" t="s">
        <v>233</v>
      </c>
      <c r="AR2" t="s">
        <v>231</v>
      </c>
    </row>
    <row r="3" s="253" customFormat="1" ht="12.75" spans="1:30">
      <c r="A3" s="267" t="s">
        <v>2631</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2632</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2633</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2634</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2635</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2636</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2637</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2638</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2639</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2640</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2641</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2642</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2643</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2644</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2645</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2646</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2647</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2648</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2649</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2650</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2651</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2652</v>
      </c>
    </row>
    <row r="27" s="258" customFormat="1" spans="9:9">
      <c r="I27" s="307" t="s">
        <v>1587</v>
      </c>
    </row>
    <row r="28" s="258" customFormat="1"/>
    <row r="29" s="259" customFormat="1" ht="12.75" spans="2:25">
      <c r="B29" s="261" t="s">
        <v>2653</v>
      </c>
      <c r="C29" s="262"/>
      <c r="D29" s="262"/>
      <c r="E29" s="262"/>
      <c r="F29" s="262"/>
      <c r="G29" s="262"/>
      <c r="H29" s="262"/>
      <c r="I29" s="262"/>
      <c r="J29" s="288"/>
      <c r="K29" s="262" t="s">
        <v>2627</v>
      </c>
      <c r="L29" s="262"/>
      <c r="M29" s="262"/>
      <c r="N29" s="262"/>
      <c r="O29" s="262"/>
      <c r="P29" s="262"/>
      <c r="Q29" s="288"/>
      <c r="R29" s="308" t="s">
        <v>2628</v>
      </c>
      <c r="X29" s="288"/>
      <c r="Y29" s="308" t="s">
        <v>2629</v>
      </c>
    </row>
    <row r="30" s="252" customFormat="1" ht="14.25" spans="2:44">
      <c r="B30" s="263"/>
      <c r="C30" s="264"/>
      <c r="D30" s="265" t="s">
        <v>2630</v>
      </c>
      <c r="E30" s="266" t="s">
        <v>229</v>
      </c>
      <c r="F30" s="266" t="s">
        <v>230</v>
      </c>
      <c r="G30" s="266" t="s">
        <v>232</v>
      </c>
      <c r="H30" s="266"/>
      <c r="I30" s="266" t="s">
        <v>231</v>
      </c>
      <c r="J30" s="289"/>
      <c r="K30" s="265" t="s">
        <v>2630</v>
      </c>
      <c r="L30" s="266" t="s">
        <v>229</v>
      </c>
      <c r="M30" s="266" t="s">
        <v>230</v>
      </c>
      <c r="N30" s="266" t="s">
        <v>232</v>
      </c>
      <c r="O30" s="266"/>
      <c r="P30" s="266" t="s">
        <v>231</v>
      </c>
      <c r="Q30" s="289"/>
      <c r="R30" s="265" t="s">
        <v>2630</v>
      </c>
      <c r="S30" s="266" t="s">
        <v>229</v>
      </c>
      <c r="T30" s="266" t="s">
        <v>230</v>
      </c>
      <c r="U30" s="266" t="s">
        <v>232</v>
      </c>
      <c r="V30" s="266"/>
      <c r="W30" s="266" t="s">
        <v>231</v>
      </c>
      <c r="X30" s="289"/>
      <c r="Y30" s="265" t="s">
        <v>2630</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2631</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2632</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2633</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2634</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2635</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2636</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2637</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2638</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2639</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2640</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2641</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2642</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2643</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2644</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2645</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2646</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2647</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2648</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2649</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2650</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2651</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2654</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2655</v>
      </c>
      <c r="C1" s="120"/>
      <c r="D1" s="120"/>
      <c r="E1" s="120"/>
      <c r="F1" s="120"/>
      <c r="G1" s="109" t="s">
        <v>2656</v>
      </c>
      <c r="N1" s="109" t="s">
        <v>2627</v>
      </c>
      <c r="S1" s="109" t="s">
        <v>2657</v>
      </c>
      <c r="X1" s="193" t="s">
        <v>2628</v>
      </c>
      <c r="AD1" s="193" t="s">
        <v>2629</v>
      </c>
    </row>
    <row r="2" s="110" customFormat="1" ht="14.25" spans="2:34">
      <c r="B2" s="121" t="s">
        <v>471</v>
      </c>
      <c r="C2" s="121" t="s">
        <v>2658</v>
      </c>
      <c r="D2" s="122" t="s">
        <v>230</v>
      </c>
      <c r="E2" s="122" t="s">
        <v>232</v>
      </c>
      <c r="F2" s="121" t="s">
        <v>2659</v>
      </c>
      <c r="G2" s="123"/>
      <c r="I2" s="121" t="s">
        <v>471</v>
      </c>
      <c r="J2" s="122" t="s">
        <v>1956</v>
      </c>
      <c r="K2" s="122" t="s">
        <v>232</v>
      </c>
      <c r="L2" s="121" t="s">
        <v>2659</v>
      </c>
      <c r="N2" s="121" t="s">
        <v>471</v>
      </c>
      <c r="O2" s="122" t="s">
        <v>1956</v>
      </c>
      <c r="P2" s="122" t="s">
        <v>232</v>
      </c>
      <c r="Q2" s="121" t="s">
        <v>2659</v>
      </c>
      <c r="S2" s="121" t="s">
        <v>471</v>
      </c>
      <c r="T2" s="122" t="s">
        <v>1956</v>
      </c>
      <c r="U2" s="122" t="s">
        <v>232</v>
      </c>
      <c r="V2" s="121" t="s">
        <v>2659</v>
      </c>
      <c r="X2" s="121" t="s">
        <v>471</v>
      </c>
      <c r="Y2" s="121" t="s">
        <v>2658</v>
      </c>
      <c r="Z2" s="122" t="s">
        <v>230</v>
      </c>
      <c r="AA2" s="122" t="s">
        <v>232</v>
      </c>
      <c r="AB2" s="121" t="s">
        <v>2659</v>
      </c>
      <c r="AD2" s="121" t="s">
        <v>471</v>
      </c>
      <c r="AE2" s="121" t="s">
        <v>2658</v>
      </c>
      <c r="AF2" s="122" t="s">
        <v>230</v>
      </c>
      <c r="AG2" s="122" t="s">
        <v>232</v>
      </c>
      <c r="AH2" s="121" t="s">
        <v>2659</v>
      </c>
    </row>
    <row r="3" s="111" customFormat="1" ht="14.25" spans="1:34">
      <c r="A3" s="124" t="s">
        <v>2631</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2644</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2645</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2660</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2646</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2647</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2648</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2649</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2650</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2651</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2661</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2662</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2663</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2664</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2665</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2666</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2667</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2668</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2669</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2670</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2671</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2672</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2673</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2674</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2675</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2676</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2677</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2678</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2679</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2680</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2681</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2682</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2683</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2684</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2685</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2686</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2687</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2688</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2689</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2690</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2691</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2692</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2693</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2694</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2695</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2696</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2697</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2698</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2699</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2700</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2701</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2702</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2703</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2704</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2705</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2706</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2707</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2708</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2709</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2710</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2711</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2712</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2713</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2714</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2715</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2716</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2717</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2718</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2719</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2720</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2721</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2722</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2723</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2724</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2725</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2726</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2727</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2728</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2729</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2730</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2731</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2732</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2733</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2734</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2735</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2736</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2737</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2738</v>
      </c>
      <c r="G91" s="227"/>
      <c r="N91" s="227"/>
      <c r="S91" s="227"/>
    </row>
    <row r="92" s="117" customFormat="1" spans="1:19">
      <c r="A92" s="117" t="s">
        <v>2739</v>
      </c>
      <c r="G92" s="227"/>
      <c r="N92" s="227"/>
      <c r="S92" s="227"/>
    </row>
    <row r="93" s="117" customFormat="1" spans="1:22">
      <c r="A93" s="117" t="s">
        <v>2740</v>
      </c>
      <c r="G93" s="227"/>
      <c r="I93" s="239"/>
      <c r="J93" s="239"/>
      <c r="K93" s="239"/>
      <c r="L93" s="239"/>
      <c r="N93" s="240"/>
      <c r="O93" s="239"/>
      <c r="P93" s="239"/>
      <c r="Q93" s="239"/>
      <c r="S93" s="240"/>
      <c r="T93" s="239"/>
      <c r="U93" s="239"/>
      <c r="V93" s="239"/>
    </row>
    <row r="94" s="117" customFormat="1" spans="1:19">
      <c r="A94" s="117" t="s">
        <v>2741</v>
      </c>
      <c r="G94" s="227"/>
      <c r="N94" s="227"/>
      <c r="S94" s="227"/>
    </row>
    <row r="101" ht="13.5"/>
    <row r="102" spans="7:22">
      <c r="G102" s="118"/>
      <c r="S102" s="244" t="s">
        <v>2742</v>
      </c>
      <c r="T102" s="245" t="s">
        <v>2743</v>
      </c>
      <c r="U102" s="245" t="s">
        <v>2744</v>
      </c>
      <c r="V102" s="245" t="s">
        <v>2745</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2746</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2747</v>
      </c>
      <c r="B2" s="79"/>
      <c r="C2" s="79"/>
      <c r="D2" s="79"/>
      <c r="E2" s="79"/>
      <c r="F2" s="79"/>
      <c r="G2" s="80" t="s">
        <v>2748</v>
      </c>
      <c r="I2" s="89" t="s">
        <v>2242</v>
      </c>
      <c r="J2" s="89" t="s">
        <v>2247</v>
      </c>
      <c r="K2" s="89" t="s">
        <v>2267</v>
      </c>
      <c r="L2" s="89" t="s">
        <v>2292</v>
      </c>
      <c r="M2" s="89" t="s">
        <v>2323</v>
      </c>
      <c r="N2" s="89" t="s">
        <v>2363</v>
      </c>
      <c r="O2" s="89" t="s">
        <v>2426</v>
      </c>
      <c r="P2" s="89" t="s">
        <v>2470</v>
      </c>
      <c r="Q2" s="89" t="s">
        <v>2513</v>
      </c>
      <c r="R2" s="89" t="s">
        <v>2563</v>
      </c>
      <c r="S2" s="89" t="s">
        <v>2594</v>
      </c>
      <c r="T2" s="89" t="s">
        <v>2614</v>
      </c>
    </row>
    <row r="3" s="74" customFormat="1" spans="1:20">
      <c r="A3" s="81" t="s">
        <v>2240</v>
      </c>
      <c r="B3" s="82"/>
      <c r="C3" s="83" t="s">
        <v>229</v>
      </c>
      <c r="D3" s="83" t="s">
        <v>230</v>
      </c>
      <c r="E3" s="83" t="s">
        <v>232</v>
      </c>
      <c r="F3" s="83" t="s">
        <v>233</v>
      </c>
      <c r="G3" s="83" t="s">
        <v>231</v>
      </c>
      <c r="H3" s="84"/>
      <c r="I3" s="90" t="s">
        <v>2243</v>
      </c>
      <c r="J3" s="91" t="s">
        <v>2248</v>
      </c>
      <c r="K3" s="91" t="s">
        <v>2268</v>
      </c>
      <c r="L3" s="90" t="s">
        <v>2293</v>
      </c>
      <c r="M3" s="90" t="s">
        <v>2324</v>
      </c>
      <c r="N3" s="90" t="s">
        <v>2364</v>
      </c>
      <c r="O3" s="90" t="s">
        <v>2427</v>
      </c>
      <c r="P3" s="90" t="s">
        <v>2471</v>
      </c>
      <c r="Q3" s="90" t="s">
        <v>2514</v>
      </c>
      <c r="R3" s="90" t="s">
        <v>2564</v>
      </c>
      <c r="S3" s="90" t="s">
        <v>2595</v>
      </c>
      <c r="T3" s="90" t="s">
        <v>2615</v>
      </c>
    </row>
    <row r="4" s="74" customFormat="1" ht="12" spans="1:20">
      <c r="A4" s="85"/>
      <c r="B4" s="86" t="s">
        <v>2241</v>
      </c>
      <c r="C4" s="86" t="s">
        <v>2749</v>
      </c>
      <c r="D4" s="86" t="s">
        <v>2749</v>
      </c>
      <c r="E4" s="86" t="s">
        <v>2749</v>
      </c>
      <c r="F4" s="87" t="s">
        <v>2749</v>
      </c>
      <c r="G4" s="87" t="s">
        <v>2749</v>
      </c>
      <c r="H4" s="84"/>
      <c r="I4" s="91" t="s">
        <v>2244</v>
      </c>
      <c r="J4" s="91" t="s">
        <v>2249</v>
      </c>
      <c r="K4" s="91" t="s">
        <v>2269</v>
      </c>
      <c r="L4" s="90" t="s">
        <v>2294</v>
      </c>
      <c r="M4" s="90" t="s">
        <v>2325</v>
      </c>
      <c r="N4" s="90" t="s">
        <v>2365</v>
      </c>
      <c r="O4" s="90" t="s">
        <v>2428</v>
      </c>
      <c r="P4" s="90" t="s">
        <v>2472</v>
      </c>
      <c r="Q4" s="90" t="s">
        <v>2515</v>
      </c>
      <c r="R4" s="90" t="s">
        <v>2565</v>
      </c>
      <c r="S4" s="90" t="s">
        <v>2596</v>
      </c>
      <c r="T4" s="90" t="s">
        <v>2616</v>
      </c>
    </row>
    <row r="5" spans="1:20">
      <c r="A5" s="88" t="s">
        <v>235</v>
      </c>
      <c r="B5" s="89" t="s">
        <v>2242</v>
      </c>
      <c r="C5" s="89">
        <v>34550</v>
      </c>
      <c r="D5" s="89">
        <v>34470</v>
      </c>
      <c r="E5" s="89">
        <v>34330</v>
      </c>
      <c r="F5" s="89">
        <v>13400</v>
      </c>
      <c r="G5" s="89">
        <v>25450</v>
      </c>
      <c r="H5" s="84"/>
      <c r="I5" s="90" t="s">
        <v>2245</v>
      </c>
      <c r="J5" s="91" t="s">
        <v>2250</v>
      </c>
      <c r="K5" s="91" t="s">
        <v>2270</v>
      </c>
      <c r="L5" s="90" t="s">
        <v>2295</v>
      </c>
      <c r="M5" s="90" t="s">
        <v>2326</v>
      </c>
      <c r="N5" s="90" t="s">
        <v>2366</v>
      </c>
      <c r="O5" s="90" t="s">
        <v>2429</v>
      </c>
      <c r="P5" s="90" t="s">
        <v>2473</v>
      </c>
      <c r="Q5" s="90" t="s">
        <v>2516</v>
      </c>
      <c r="R5" s="90" t="s">
        <v>2566</v>
      </c>
      <c r="S5" s="90" t="s">
        <v>2597</v>
      </c>
      <c r="T5" s="90" t="s">
        <v>2617</v>
      </c>
    </row>
    <row r="6" ht="12" spans="1:20">
      <c r="A6" s="90" t="s">
        <v>235</v>
      </c>
      <c r="B6" s="90" t="s">
        <v>2243</v>
      </c>
      <c r="C6" s="90">
        <v>36990</v>
      </c>
      <c r="D6" s="90">
        <v>36850</v>
      </c>
      <c r="E6" s="90">
        <v>36700</v>
      </c>
      <c r="F6" s="90">
        <v>14590</v>
      </c>
      <c r="G6" s="90">
        <v>27450</v>
      </c>
      <c r="H6" s="84"/>
      <c r="I6" s="93" t="s">
        <v>2246</v>
      </c>
      <c r="J6" s="91" t="s">
        <v>2251</v>
      </c>
      <c r="K6" s="91" t="s">
        <v>2271</v>
      </c>
      <c r="L6" s="90" t="s">
        <v>2296</v>
      </c>
      <c r="M6" s="90" t="s">
        <v>2327</v>
      </c>
      <c r="N6" s="90" t="s">
        <v>2367</v>
      </c>
      <c r="O6" s="90" t="s">
        <v>2430</v>
      </c>
      <c r="P6" s="90" t="s">
        <v>2474</v>
      </c>
      <c r="Q6" s="90" t="s">
        <v>2517</v>
      </c>
      <c r="R6" s="90" t="s">
        <v>2567</v>
      </c>
      <c r="S6" s="90" t="s">
        <v>2598</v>
      </c>
      <c r="T6" s="90" t="s">
        <v>2618</v>
      </c>
    </row>
    <row r="7" spans="1:20">
      <c r="A7" s="90" t="s">
        <v>235</v>
      </c>
      <c r="B7" s="91" t="s">
        <v>2244</v>
      </c>
      <c r="C7" s="90">
        <v>34850</v>
      </c>
      <c r="D7" s="90">
        <v>34690</v>
      </c>
      <c r="E7" s="90">
        <v>34550</v>
      </c>
      <c r="F7" s="90">
        <v>14360</v>
      </c>
      <c r="G7" s="90">
        <v>25620</v>
      </c>
      <c r="H7" s="84"/>
      <c r="J7" s="91" t="s">
        <v>2252</v>
      </c>
      <c r="K7" s="91" t="s">
        <v>2272</v>
      </c>
      <c r="L7" s="90" t="s">
        <v>2297</v>
      </c>
      <c r="M7" s="90" t="s">
        <v>2328</v>
      </c>
      <c r="N7" s="90" t="s">
        <v>2368</v>
      </c>
      <c r="O7" s="90" t="s">
        <v>2431</v>
      </c>
      <c r="P7" s="90" t="s">
        <v>2475</v>
      </c>
      <c r="Q7" s="90" t="s">
        <v>2518</v>
      </c>
      <c r="R7" s="90" t="s">
        <v>2568</v>
      </c>
      <c r="S7" s="90" t="s">
        <v>2599</v>
      </c>
      <c r="T7" s="90" t="s">
        <v>2619</v>
      </c>
    </row>
    <row r="8" ht="12" spans="1:20">
      <c r="A8" s="90" t="s">
        <v>235</v>
      </c>
      <c r="B8" s="90" t="s">
        <v>2245</v>
      </c>
      <c r="C8" s="90">
        <v>32630</v>
      </c>
      <c r="D8" s="90">
        <v>32510</v>
      </c>
      <c r="E8" s="90">
        <v>32420</v>
      </c>
      <c r="F8" s="90">
        <v>13300</v>
      </c>
      <c r="G8" s="90">
        <v>24010</v>
      </c>
      <c r="H8" s="84"/>
      <c r="J8" s="91" t="s">
        <v>2253</v>
      </c>
      <c r="K8" s="91" t="s">
        <v>2273</v>
      </c>
      <c r="L8" s="90" t="s">
        <v>2298</v>
      </c>
      <c r="M8" s="90" t="s">
        <v>2329</v>
      </c>
      <c r="N8" s="90" t="s">
        <v>2369</v>
      </c>
      <c r="O8" s="90" t="s">
        <v>2432</v>
      </c>
      <c r="P8" s="90" t="s">
        <v>2476</v>
      </c>
      <c r="Q8" s="90" t="s">
        <v>2519</v>
      </c>
      <c r="R8" s="90" t="s">
        <v>2569</v>
      </c>
      <c r="S8" s="90" t="s">
        <v>2600</v>
      </c>
      <c r="T8" s="94" t="s">
        <v>2620</v>
      </c>
    </row>
    <row r="9" ht="12" spans="1:19">
      <c r="A9" s="92" t="s">
        <v>235</v>
      </c>
      <c r="B9" s="93" t="s">
        <v>2246</v>
      </c>
      <c r="C9" s="94">
        <v>36370</v>
      </c>
      <c r="D9" s="94">
        <v>36210</v>
      </c>
      <c r="E9" s="94">
        <v>36050</v>
      </c>
      <c r="F9" s="94"/>
      <c r="G9" s="94">
        <v>26740</v>
      </c>
      <c r="H9" s="84"/>
      <c r="J9" s="91" t="s">
        <v>2254</v>
      </c>
      <c r="K9" s="91" t="s">
        <v>2274</v>
      </c>
      <c r="L9" s="90" t="s">
        <v>2299</v>
      </c>
      <c r="M9" s="90" t="s">
        <v>2330</v>
      </c>
      <c r="N9" s="90" t="s">
        <v>2370</v>
      </c>
      <c r="O9" s="90" t="s">
        <v>2433</v>
      </c>
      <c r="P9" s="90" t="s">
        <v>2477</v>
      </c>
      <c r="Q9" s="90" t="s">
        <v>2520</v>
      </c>
      <c r="R9" s="90" t="s">
        <v>2570</v>
      </c>
      <c r="S9" s="90" t="s">
        <v>2601</v>
      </c>
    </row>
    <row r="10" spans="1:19">
      <c r="A10" s="88" t="s">
        <v>251</v>
      </c>
      <c r="B10" s="89" t="s">
        <v>2247</v>
      </c>
      <c r="C10" s="90">
        <v>32350</v>
      </c>
      <c r="D10" s="90">
        <v>31430</v>
      </c>
      <c r="E10" s="90">
        <v>31320</v>
      </c>
      <c r="F10" s="90">
        <v>10850</v>
      </c>
      <c r="G10" s="90">
        <v>22860</v>
      </c>
      <c r="H10" s="84"/>
      <c r="J10" s="91" t="s">
        <v>2255</v>
      </c>
      <c r="K10" s="91" t="s">
        <v>2275</v>
      </c>
      <c r="L10" s="90" t="s">
        <v>2300</v>
      </c>
      <c r="M10" s="90" t="s">
        <v>2331</v>
      </c>
      <c r="N10" s="90" t="s">
        <v>2371</v>
      </c>
      <c r="O10" s="90" t="s">
        <v>2434</v>
      </c>
      <c r="P10" s="90" t="s">
        <v>2478</v>
      </c>
      <c r="Q10" s="90" t="s">
        <v>2521</v>
      </c>
      <c r="R10" s="90" t="s">
        <v>2571</v>
      </c>
      <c r="S10" s="90" t="s">
        <v>2602</v>
      </c>
    </row>
    <row r="11" spans="1:19">
      <c r="A11" s="90" t="s">
        <v>251</v>
      </c>
      <c r="B11" s="91" t="s">
        <v>2248</v>
      </c>
      <c r="C11" s="90">
        <v>31590</v>
      </c>
      <c r="D11" s="90">
        <v>29490</v>
      </c>
      <c r="E11" s="90">
        <v>28700</v>
      </c>
      <c r="F11" s="90">
        <v>10410</v>
      </c>
      <c r="G11" s="90">
        <v>21460</v>
      </c>
      <c r="H11" s="84"/>
      <c r="J11" s="91" t="s">
        <v>2256</v>
      </c>
      <c r="K11" s="91" t="s">
        <v>2276</v>
      </c>
      <c r="L11" s="90" t="s">
        <v>2301</v>
      </c>
      <c r="M11" s="90" t="s">
        <v>2332</v>
      </c>
      <c r="N11" s="90" t="s">
        <v>2372</v>
      </c>
      <c r="O11" s="90" t="s">
        <v>2435</v>
      </c>
      <c r="P11" s="90" t="s">
        <v>2479</v>
      </c>
      <c r="Q11" s="90" t="s">
        <v>2522</v>
      </c>
      <c r="R11" s="90" t="s">
        <v>2572</v>
      </c>
      <c r="S11" s="90" t="s">
        <v>2603</v>
      </c>
    </row>
    <row r="12" spans="1:19">
      <c r="A12" s="90" t="s">
        <v>251</v>
      </c>
      <c r="B12" s="91" t="s">
        <v>2249</v>
      </c>
      <c r="C12" s="90">
        <v>29640</v>
      </c>
      <c r="D12" s="90">
        <v>27550</v>
      </c>
      <c r="E12" s="90">
        <v>28010</v>
      </c>
      <c r="F12" s="90">
        <v>8730</v>
      </c>
      <c r="G12" s="90">
        <v>20050</v>
      </c>
      <c r="H12" s="84"/>
      <c r="J12" s="91" t="s">
        <v>2257</v>
      </c>
      <c r="K12" s="91" t="s">
        <v>2277</v>
      </c>
      <c r="L12" s="90" t="s">
        <v>2302</v>
      </c>
      <c r="M12" s="90" t="s">
        <v>2333</v>
      </c>
      <c r="N12" s="90" t="s">
        <v>2373</v>
      </c>
      <c r="O12" s="90" t="s">
        <v>2436</v>
      </c>
      <c r="P12" s="90" t="s">
        <v>2480</v>
      </c>
      <c r="Q12" s="90" t="s">
        <v>2523</v>
      </c>
      <c r="R12" s="90" t="s">
        <v>2573</v>
      </c>
      <c r="S12" s="90" t="s">
        <v>2604</v>
      </c>
    </row>
    <row r="13" spans="1:19">
      <c r="A13" s="90" t="s">
        <v>251</v>
      </c>
      <c r="B13" s="91" t="s">
        <v>2250</v>
      </c>
      <c r="C13" s="90">
        <v>29680</v>
      </c>
      <c r="D13" s="90">
        <v>27660</v>
      </c>
      <c r="E13" s="90">
        <v>28210</v>
      </c>
      <c r="F13" s="90">
        <v>9590</v>
      </c>
      <c r="G13" s="90">
        <v>20120</v>
      </c>
      <c r="H13" s="84"/>
      <c r="J13" s="91" t="s">
        <v>2258</v>
      </c>
      <c r="K13" s="91" t="s">
        <v>2278</v>
      </c>
      <c r="L13" s="90" t="s">
        <v>2303</v>
      </c>
      <c r="M13" s="90" t="s">
        <v>2334</v>
      </c>
      <c r="N13" s="90" t="s">
        <v>2374</v>
      </c>
      <c r="O13" s="90" t="s">
        <v>2437</v>
      </c>
      <c r="P13" s="90" t="s">
        <v>2481</v>
      </c>
      <c r="Q13" s="90" t="s">
        <v>2524</v>
      </c>
      <c r="R13" s="90" t="s">
        <v>2574</v>
      </c>
      <c r="S13" s="90" t="s">
        <v>2605</v>
      </c>
    </row>
    <row r="14" spans="1:19">
      <c r="A14" s="90" t="s">
        <v>251</v>
      </c>
      <c r="B14" s="91" t="s">
        <v>2251</v>
      </c>
      <c r="C14" s="90">
        <v>30520</v>
      </c>
      <c r="D14" s="90">
        <v>29510</v>
      </c>
      <c r="E14" s="90">
        <v>29400</v>
      </c>
      <c r="F14" s="90">
        <v>9630</v>
      </c>
      <c r="G14" s="90">
        <v>21480</v>
      </c>
      <c r="H14" s="84"/>
      <c r="J14" s="91" t="s">
        <v>2259</v>
      </c>
      <c r="K14" s="91" t="s">
        <v>2279</v>
      </c>
      <c r="L14" s="90" t="s">
        <v>2304</v>
      </c>
      <c r="M14" s="90" t="s">
        <v>2335</v>
      </c>
      <c r="N14" s="90" t="s">
        <v>2375</v>
      </c>
      <c r="O14" s="90" t="s">
        <v>2438</v>
      </c>
      <c r="P14" s="90" t="s">
        <v>2482</v>
      </c>
      <c r="Q14" s="90" t="s">
        <v>2525</v>
      </c>
      <c r="R14" s="90" t="s">
        <v>2575</v>
      </c>
      <c r="S14" s="90" t="s">
        <v>2606</v>
      </c>
    </row>
    <row r="15" spans="1:19">
      <c r="A15" s="90" t="s">
        <v>251</v>
      </c>
      <c r="B15" s="91" t="s">
        <v>2252</v>
      </c>
      <c r="C15" s="90">
        <v>29090</v>
      </c>
      <c r="D15" s="90">
        <v>27590</v>
      </c>
      <c r="E15" s="90">
        <v>28120</v>
      </c>
      <c r="F15" s="90">
        <v>9110</v>
      </c>
      <c r="G15" s="90">
        <v>20070</v>
      </c>
      <c r="H15" s="84"/>
      <c r="J15" s="91" t="s">
        <v>2260</v>
      </c>
      <c r="K15" s="91" t="s">
        <v>2280</v>
      </c>
      <c r="L15" s="90" t="s">
        <v>2305</v>
      </c>
      <c r="M15" s="90" t="s">
        <v>2336</v>
      </c>
      <c r="N15" s="90" t="s">
        <v>2376</v>
      </c>
      <c r="O15" s="90" t="s">
        <v>2439</v>
      </c>
      <c r="P15" s="90" t="s">
        <v>2483</v>
      </c>
      <c r="Q15" s="90" t="s">
        <v>2526</v>
      </c>
      <c r="R15" s="90" t="s">
        <v>2576</v>
      </c>
      <c r="S15" s="90" t="s">
        <v>2607</v>
      </c>
    </row>
    <row r="16" spans="1:19">
      <c r="A16" s="90" t="s">
        <v>251</v>
      </c>
      <c r="B16" s="91" t="s">
        <v>2253</v>
      </c>
      <c r="C16" s="90">
        <v>26790</v>
      </c>
      <c r="D16" s="90">
        <v>30370</v>
      </c>
      <c r="E16" s="90">
        <v>30240</v>
      </c>
      <c r="F16" s="90">
        <v>11590</v>
      </c>
      <c r="G16" s="90">
        <v>22090</v>
      </c>
      <c r="H16" s="84"/>
      <c r="J16" s="91" t="s">
        <v>2261</v>
      </c>
      <c r="K16" s="91" t="s">
        <v>2281</v>
      </c>
      <c r="L16" s="90" t="s">
        <v>2306</v>
      </c>
      <c r="M16" s="90" t="s">
        <v>2337</v>
      </c>
      <c r="N16" s="90" t="s">
        <v>2377</v>
      </c>
      <c r="O16" s="90" t="s">
        <v>2440</v>
      </c>
      <c r="P16" s="90" t="s">
        <v>2484</v>
      </c>
      <c r="Q16" s="90" t="s">
        <v>2527</v>
      </c>
      <c r="R16" s="90" t="s">
        <v>2577</v>
      </c>
      <c r="S16" s="90" t="s">
        <v>2608</v>
      </c>
    </row>
    <row r="17" ht="14.25" customHeight="1" spans="1:19">
      <c r="A17" s="90" t="s">
        <v>251</v>
      </c>
      <c r="B17" s="91" t="s">
        <v>2254</v>
      </c>
      <c r="C17" s="90">
        <v>29180</v>
      </c>
      <c r="D17" s="90">
        <v>27620</v>
      </c>
      <c r="E17" s="90">
        <v>28180</v>
      </c>
      <c r="F17" s="90">
        <v>10790</v>
      </c>
      <c r="G17" s="90">
        <v>20090</v>
      </c>
      <c r="H17" s="84"/>
      <c r="J17" s="91" t="s">
        <v>2262</v>
      </c>
      <c r="K17" s="91" t="s">
        <v>2282</v>
      </c>
      <c r="L17" s="90" t="s">
        <v>2307</v>
      </c>
      <c r="M17" s="90" t="s">
        <v>2338</v>
      </c>
      <c r="N17" s="90" t="s">
        <v>2378</v>
      </c>
      <c r="O17" s="90" t="s">
        <v>2441</v>
      </c>
      <c r="P17" s="90" t="s">
        <v>2485</v>
      </c>
      <c r="Q17" s="90" t="s">
        <v>2528</v>
      </c>
      <c r="R17" s="90" t="s">
        <v>2578</v>
      </c>
      <c r="S17" s="90" t="s">
        <v>2609</v>
      </c>
    </row>
    <row r="18" ht="14.25" customHeight="1" spans="1:19">
      <c r="A18" s="90" t="s">
        <v>251</v>
      </c>
      <c r="B18" s="91" t="s">
        <v>2255</v>
      </c>
      <c r="C18" s="90">
        <v>26840</v>
      </c>
      <c r="D18" s="90">
        <v>28930</v>
      </c>
      <c r="E18" s="90">
        <v>28820</v>
      </c>
      <c r="F18" s="90"/>
      <c r="G18" s="90">
        <v>21050</v>
      </c>
      <c r="H18" s="84"/>
      <c r="J18" s="91" t="s">
        <v>2263</v>
      </c>
      <c r="K18" s="91" t="s">
        <v>2283</v>
      </c>
      <c r="L18" s="90" t="s">
        <v>2308</v>
      </c>
      <c r="M18" s="90" t="s">
        <v>2339</v>
      </c>
      <c r="N18" s="90" t="s">
        <v>2379</v>
      </c>
      <c r="O18" s="90" t="s">
        <v>2442</v>
      </c>
      <c r="P18" s="90" t="s">
        <v>2486</v>
      </c>
      <c r="Q18" s="90" t="s">
        <v>2529</v>
      </c>
      <c r="R18" s="90" t="s">
        <v>2579</v>
      </c>
      <c r="S18" s="90" t="s">
        <v>2610</v>
      </c>
    </row>
    <row r="19" ht="14.25" customHeight="1" spans="1:19">
      <c r="A19" s="90" t="s">
        <v>251</v>
      </c>
      <c r="B19" s="91" t="s">
        <v>2256</v>
      </c>
      <c r="C19" s="90">
        <v>27750</v>
      </c>
      <c r="D19" s="90">
        <v>26680</v>
      </c>
      <c r="E19" s="90">
        <v>26590</v>
      </c>
      <c r="F19" s="90"/>
      <c r="G19" s="90">
        <v>19420</v>
      </c>
      <c r="H19" s="84"/>
      <c r="J19" s="91" t="s">
        <v>2264</v>
      </c>
      <c r="K19" s="91" t="s">
        <v>2284</v>
      </c>
      <c r="L19" s="90" t="s">
        <v>547</v>
      </c>
      <c r="M19" s="90" t="s">
        <v>2340</v>
      </c>
      <c r="N19" s="90" t="s">
        <v>2380</v>
      </c>
      <c r="O19" s="90" t="s">
        <v>2443</v>
      </c>
      <c r="P19" s="90" t="s">
        <v>2487</v>
      </c>
      <c r="Q19" s="90" t="s">
        <v>2530</v>
      </c>
      <c r="R19" s="90" t="s">
        <v>2580</v>
      </c>
      <c r="S19" s="90" t="s">
        <v>2611</v>
      </c>
    </row>
    <row r="20" ht="14.25" customHeight="1" spans="1:19">
      <c r="A20" s="90" t="s">
        <v>251</v>
      </c>
      <c r="B20" s="91" t="s">
        <v>2257</v>
      </c>
      <c r="C20" s="90">
        <v>27050</v>
      </c>
      <c r="D20" s="90">
        <v>29010</v>
      </c>
      <c r="E20" s="90">
        <v>28910</v>
      </c>
      <c r="F20" s="90"/>
      <c r="G20" s="90">
        <v>21110</v>
      </c>
      <c r="J20" s="91" t="s">
        <v>2265</v>
      </c>
      <c r="K20" s="91" t="s">
        <v>2285</v>
      </c>
      <c r="L20" s="90" t="s">
        <v>2309</v>
      </c>
      <c r="M20" s="90" t="s">
        <v>2341</v>
      </c>
      <c r="N20" s="90" t="s">
        <v>2381</v>
      </c>
      <c r="O20" s="90" t="s">
        <v>2444</v>
      </c>
      <c r="P20" s="90" t="s">
        <v>2488</v>
      </c>
      <c r="Q20" s="90" t="s">
        <v>2531</v>
      </c>
      <c r="R20" s="90" t="s">
        <v>2581</v>
      </c>
      <c r="S20" s="90" t="s">
        <v>2612</v>
      </c>
    </row>
    <row r="21" ht="14.25" customHeight="1" spans="1:19">
      <c r="A21" s="90" t="s">
        <v>251</v>
      </c>
      <c r="B21" s="91" t="s">
        <v>2258</v>
      </c>
      <c r="C21" s="90">
        <v>32370</v>
      </c>
      <c r="D21" s="90">
        <v>26730</v>
      </c>
      <c r="E21" s="90">
        <v>26640</v>
      </c>
      <c r="F21" s="90"/>
      <c r="G21" s="90">
        <v>19440</v>
      </c>
      <c r="J21" s="94" t="s">
        <v>2266</v>
      </c>
      <c r="K21" s="91" t="s">
        <v>2286</v>
      </c>
      <c r="L21" s="90" t="s">
        <v>2310</v>
      </c>
      <c r="M21" s="90" t="s">
        <v>2342</v>
      </c>
      <c r="N21" s="90" t="s">
        <v>2382</v>
      </c>
      <c r="O21" s="90" t="s">
        <v>2445</v>
      </c>
      <c r="P21" s="90" t="s">
        <v>2489</v>
      </c>
      <c r="Q21" s="90" t="s">
        <v>2532</v>
      </c>
      <c r="R21" s="90" t="s">
        <v>2582</v>
      </c>
      <c r="S21" s="94" t="s">
        <v>2613</v>
      </c>
    </row>
    <row r="22" ht="14.25" customHeight="1" spans="1:18">
      <c r="A22" s="90" t="s">
        <v>251</v>
      </c>
      <c r="B22" s="91" t="s">
        <v>2259</v>
      </c>
      <c r="C22" s="90">
        <v>29830</v>
      </c>
      <c r="D22" s="90">
        <v>27600</v>
      </c>
      <c r="E22" s="90">
        <v>28150</v>
      </c>
      <c r="F22" s="90"/>
      <c r="G22" s="90">
        <v>20080</v>
      </c>
      <c r="K22" s="91" t="s">
        <v>2287</v>
      </c>
      <c r="L22" s="90" t="s">
        <v>2311</v>
      </c>
      <c r="M22" s="90" t="s">
        <v>2343</v>
      </c>
      <c r="N22" s="90" t="s">
        <v>2383</v>
      </c>
      <c r="O22" s="90" t="s">
        <v>2446</v>
      </c>
      <c r="P22" s="90" t="s">
        <v>2490</v>
      </c>
      <c r="Q22" s="90" t="s">
        <v>2533</v>
      </c>
      <c r="R22" s="90" t="s">
        <v>2583</v>
      </c>
    </row>
    <row r="23" ht="14.25" customHeight="1" spans="1:18">
      <c r="A23" s="90" t="s">
        <v>251</v>
      </c>
      <c r="B23" s="91" t="s">
        <v>2260</v>
      </c>
      <c r="C23" s="90">
        <v>27800</v>
      </c>
      <c r="D23" s="90">
        <v>26900</v>
      </c>
      <c r="E23" s="90">
        <v>27170</v>
      </c>
      <c r="F23" s="90"/>
      <c r="G23" s="90">
        <v>19570</v>
      </c>
      <c r="K23" s="91" t="s">
        <v>2288</v>
      </c>
      <c r="L23" s="90" t="s">
        <v>2312</v>
      </c>
      <c r="M23" s="90" t="s">
        <v>2344</v>
      </c>
      <c r="N23" s="90" t="s">
        <v>2384</v>
      </c>
      <c r="O23" s="90" t="s">
        <v>2447</v>
      </c>
      <c r="P23" s="90" t="s">
        <v>2491</v>
      </c>
      <c r="Q23" s="90" t="s">
        <v>2534</v>
      </c>
      <c r="R23" s="90" t="s">
        <v>2584</v>
      </c>
    </row>
    <row r="24" ht="14.25" customHeight="1" spans="1:18">
      <c r="A24" s="90" t="s">
        <v>251</v>
      </c>
      <c r="B24" s="91" t="s">
        <v>2261</v>
      </c>
      <c r="C24" s="90">
        <v>27930</v>
      </c>
      <c r="D24" s="90">
        <v>32260</v>
      </c>
      <c r="E24" s="90">
        <v>32120</v>
      </c>
      <c r="F24" s="90"/>
      <c r="G24" s="90">
        <v>23470</v>
      </c>
      <c r="K24" s="91" t="s">
        <v>2289</v>
      </c>
      <c r="L24" s="90" t="s">
        <v>2313</v>
      </c>
      <c r="M24" s="90" t="s">
        <v>2345</v>
      </c>
      <c r="N24" s="90" t="s">
        <v>2385</v>
      </c>
      <c r="O24" s="90" t="s">
        <v>2448</v>
      </c>
      <c r="P24" s="90" t="s">
        <v>2492</v>
      </c>
      <c r="Q24" s="104" t="s">
        <v>2535</v>
      </c>
      <c r="R24" s="90" t="s">
        <v>2585</v>
      </c>
    </row>
    <row r="25" ht="14.25" customHeight="1" spans="1:18">
      <c r="A25" s="90" t="s">
        <v>251</v>
      </c>
      <c r="B25" s="91" t="s">
        <v>2262</v>
      </c>
      <c r="C25" s="90">
        <v>32230</v>
      </c>
      <c r="D25" s="90">
        <v>29640</v>
      </c>
      <c r="E25" s="90">
        <v>29510</v>
      </c>
      <c r="F25" s="90"/>
      <c r="G25" s="90">
        <v>21560</v>
      </c>
      <c r="K25" s="91" t="s">
        <v>2290</v>
      </c>
      <c r="L25" s="90" t="s">
        <v>2314</v>
      </c>
      <c r="M25" s="90" t="s">
        <v>2346</v>
      </c>
      <c r="N25" s="90" t="s">
        <v>2386</v>
      </c>
      <c r="O25" s="90" t="s">
        <v>2449</v>
      </c>
      <c r="P25" s="90" t="s">
        <v>2493</v>
      </c>
      <c r="Q25" s="104" t="s">
        <v>2536</v>
      </c>
      <c r="R25" s="90" t="s">
        <v>2586</v>
      </c>
    </row>
    <row r="26" ht="14.25" customHeight="1" spans="1:18">
      <c r="A26" s="90" t="s">
        <v>251</v>
      </c>
      <c r="B26" s="91" t="s">
        <v>2263</v>
      </c>
      <c r="C26" s="90">
        <v>31690</v>
      </c>
      <c r="D26" s="90">
        <v>27650</v>
      </c>
      <c r="E26" s="90">
        <v>28200</v>
      </c>
      <c r="F26" s="90"/>
      <c r="G26" s="90">
        <v>20110</v>
      </c>
      <c r="K26" s="93" t="s">
        <v>2291</v>
      </c>
      <c r="L26" s="90" t="s">
        <v>2315</v>
      </c>
      <c r="M26" s="90" t="s">
        <v>2347</v>
      </c>
      <c r="N26" s="90" t="s">
        <v>2387</v>
      </c>
      <c r="O26" s="90" t="s">
        <v>2450</v>
      </c>
      <c r="P26" s="90" t="s">
        <v>2494</v>
      </c>
      <c r="Q26" s="104" t="s">
        <v>2537</v>
      </c>
      <c r="R26" s="90" t="s">
        <v>2587</v>
      </c>
    </row>
    <row r="27" ht="14.25" customHeight="1" spans="1:18">
      <c r="A27" s="90" t="s">
        <v>251</v>
      </c>
      <c r="B27" s="91" t="s">
        <v>2264</v>
      </c>
      <c r="C27" s="90">
        <v>29610</v>
      </c>
      <c r="D27" s="90">
        <v>27770</v>
      </c>
      <c r="E27" s="90">
        <v>28300</v>
      </c>
      <c r="F27" s="90"/>
      <c r="G27" s="90">
        <v>20210</v>
      </c>
      <c r="L27" s="90" t="s">
        <v>2316</v>
      </c>
      <c r="M27" s="90" t="s">
        <v>2348</v>
      </c>
      <c r="N27" s="90" t="s">
        <v>2388</v>
      </c>
      <c r="O27" s="90" t="s">
        <v>2451</v>
      </c>
      <c r="P27" s="90" t="s">
        <v>2495</v>
      </c>
      <c r="Q27" s="90" t="s">
        <v>2538</v>
      </c>
      <c r="R27" s="90" t="s">
        <v>2588</v>
      </c>
    </row>
    <row r="28" ht="14.25" customHeight="1" spans="1:18">
      <c r="A28" s="90" t="s">
        <v>251</v>
      </c>
      <c r="B28" s="91" t="s">
        <v>2265</v>
      </c>
      <c r="C28" s="90"/>
      <c r="D28" s="90">
        <v>31520</v>
      </c>
      <c r="E28" s="90">
        <v>31410</v>
      </c>
      <c r="F28" s="90"/>
      <c r="G28" s="90">
        <v>22940</v>
      </c>
      <c r="L28" s="90" t="s">
        <v>2317</v>
      </c>
      <c r="M28" s="90" t="s">
        <v>2349</v>
      </c>
      <c r="N28" s="90" t="s">
        <v>2389</v>
      </c>
      <c r="O28" s="90" t="s">
        <v>2452</v>
      </c>
      <c r="P28" s="90" t="s">
        <v>2496</v>
      </c>
      <c r="Q28" s="90" t="s">
        <v>2539</v>
      </c>
      <c r="R28" s="90" t="s">
        <v>2589</v>
      </c>
    </row>
    <row r="29" ht="14.25" customHeight="1" spans="1:18">
      <c r="A29" s="92" t="s">
        <v>251</v>
      </c>
      <c r="B29" s="95" t="s">
        <v>2266</v>
      </c>
      <c r="C29" s="96"/>
      <c r="D29" s="96">
        <v>29460</v>
      </c>
      <c r="E29" s="96">
        <v>28640</v>
      </c>
      <c r="F29" s="96"/>
      <c r="G29" s="96">
        <v>21430</v>
      </c>
      <c r="L29" s="90" t="s">
        <v>2318</v>
      </c>
      <c r="M29" s="90" t="s">
        <v>2350</v>
      </c>
      <c r="N29" s="90" t="s">
        <v>2390</v>
      </c>
      <c r="O29" s="90" t="s">
        <v>2453</v>
      </c>
      <c r="P29" s="90" t="s">
        <v>2497</v>
      </c>
      <c r="Q29" s="90" t="s">
        <v>2540</v>
      </c>
      <c r="R29" s="90" t="s">
        <v>2590</v>
      </c>
    </row>
    <row r="30" ht="14.25" customHeight="1" spans="1:18">
      <c r="A30" s="88" t="s">
        <v>264</v>
      </c>
      <c r="B30" s="89" t="s">
        <v>2267</v>
      </c>
      <c r="C30" s="89">
        <v>26890</v>
      </c>
      <c r="D30" s="89">
        <v>26770</v>
      </c>
      <c r="E30" s="89">
        <v>25700</v>
      </c>
      <c r="F30" s="89">
        <v>8180</v>
      </c>
      <c r="G30" s="97">
        <v>18740</v>
      </c>
      <c r="L30" s="90" t="s">
        <v>2319</v>
      </c>
      <c r="M30" s="90" t="s">
        <v>2351</v>
      </c>
      <c r="N30" s="90" t="s">
        <v>2391</v>
      </c>
      <c r="O30" s="90" t="s">
        <v>2454</v>
      </c>
      <c r="P30" s="90" t="s">
        <v>2498</v>
      </c>
      <c r="Q30" s="90" t="s">
        <v>2541</v>
      </c>
      <c r="R30" s="90" t="s">
        <v>2591</v>
      </c>
    </row>
    <row r="31" ht="14.25" customHeight="1" spans="1:18">
      <c r="A31" s="90" t="s">
        <v>264</v>
      </c>
      <c r="B31" s="91" t="s">
        <v>2268</v>
      </c>
      <c r="C31" s="90">
        <v>24550</v>
      </c>
      <c r="D31" s="90">
        <v>23990</v>
      </c>
      <c r="E31" s="90">
        <v>22930</v>
      </c>
      <c r="F31" s="90">
        <v>7470</v>
      </c>
      <c r="G31" s="98">
        <v>16790</v>
      </c>
      <c r="L31" s="90" t="s">
        <v>2320</v>
      </c>
      <c r="M31" s="90" t="s">
        <v>2352</v>
      </c>
      <c r="N31" s="90" t="s">
        <v>2392</v>
      </c>
      <c r="O31" s="90" t="s">
        <v>2455</v>
      </c>
      <c r="P31" s="90" t="s">
        <v>2499</v>
      </c>
      <c r="Q31" s="90" t="s">
        <v>2542</v>
      </c>
      <c r="R31" s="90" t="s">
        <v>2592</v>
      </c>
    </row>
    <row r="32" ht="14.25" customHeight="1" spans="1:18">
      <c r="A32" s="90" t="s">
        <v>264</v>
      </c>
      <c r="B32" s="91" t="s">
        <v>2269</v>
      </c>
      <c r="C32" s="90">
        <v>27210</v>
      </c>
      <c r="D32" s="90">
        <v>23240</v>
      </c>
      <c r="E32" s="90">
        <v>23260</v>
      </c>
      <c r="F32" s="90">
        <v>7130</v>
      </c>
      <c r="G32" s="98">
        <v>16270</v>
      </c>
      <c r="L32" s="90" t="s">
        <v>2321</v>
      </c>
      <c r="M32" s="90" t="s">
        <v>2353</v>
      </c>
      <c r="N32" s="90" t="s">
        <v>2393</v>
      </c>
      <c r="O32" s="90" t="s">
        <v>2456</v>
      </c>
      <c r="P32" s="90" t="s">
        <v>2500</v>
      </c>
      <c r="Q32" s="90" t="s">
        <v>2543</v>
      </c>
      <c r="R32" s="94" t="s">
        <v>2593</v>
      </c>
    </row>
    <row r="33" ht="14.25" customHeight="1" spans="1:17">
      <c r="A33" s="90" t="s">
        <v>264</v>
      </c>
      <c r="B33" s="91" t="s">
        <v>2270</v>
      </c>
      <c r="C33" s="90">
        <v>27300</v>
      </c>
      <c r="D33" s="90">
        <v>22980</v>
      </c>
      <c r="E33" s="90">
        <v>24260</v>
      </c>
      <c r="F33" s="90">
        <v>5860</v>
      </c>
      <c r="G33" s="98">
        <v>16090</v>
      </c>
      <c r="L33" s="94" t="s">
        <v>2322</v>
      </c>
      <c r="M33" s="90" t="s">
        <v>2354</v>
      </c>
      <c r="N33" s="90" t="s">
        <v>2394</v>
      </c>
      <c r="O33" s="90" t="s">
        <v>2457</v>
      </c>
      <c r="P33" s="90" t="s">
        <v>2501</v>
      </c>
      <c r="Q33" s="90" t="s">
        <v>2544</v>
      </c>
    </row>
    <row r="34" ht="14.25" customHeight="1" spans="1:17">
      <c r="A34" s="90" t="s">
        <v>264</v>
      </c>
      <c r="B34" s="91" t="s">
        <v>2271</v>
      </c>
      <c r="C34" s="90">
        <v>23090</v>
      </c>
      <c r="D34" s="90">
        <v>23390</v>
      </c>
      <c r="E34" s="90">
        <v>23510</v>
      </c>
      <c r="F34" s="90">
        <v>6700</v>
      </c>
      <c r="G34" s="98">
        <v>16370</v>
      </c>
      <c r="M34" s="90" t="s">
        <v>2355</v>
      </c>
      <c r="N34" s="90" t="s">
        <v>2395</v>
      </c>
      <c r="O34" s="90" t="s">
        <v>2458</v>
      </c>
      <c r="P34" s="90" t="s">
        <v>2502</v>
      </c>
      <c r="Q34" s="90" t="s">
        <v>2545</v>
      </c>
    </row>
    <row r="35" ht="14.25" customHeight="1" spans="1:17">
      <c r="A35" s="90" t="s">
        <v>264</v>
      </c>
      <c r="B35" s="91" t="s">
        <v>2272</v>
      </c>
      <c r="C35" s="90">
        <v>27270</v>
      </c>
      <c r="D35" s="90">
        <v>24270</v>
      </c>
      <c r="E35" s="90">
        <v>24950</v>
      </c>
      <c r="F35" s="90">
        <v>6600</v>
      </c>
      <c r="G35" s="98">
        <v>16990</v>
      </c>
      <c r="M35" s="90" t="s">
        <v>2356</v>
      </c>
      <c r="N35" s="90" t="s">
        <v>2396</v>
      </c>
      <c r="O35" s="90" t="s">
        <v>2459</v>
      </c>
      <c r="P35" s="90" t="s">
        <v>2503</v>
      </c>
      <c r="Q35" s="90" t="s">
        <v>2546</v>
      </c>
    </row>
    <row r="36" ht="14.25" customHeight="1" spans="1:17">
      <c r="A36" s="90" t="s">
        <v>264</v>
      </c>
      <c r="B36" s="91" t="s">
        <v>2273</v>
      </c>
      <c r="C36" s="90">
        <v>23490</v>
      </c>
      <c r="D36" s="90">
        <v>23020</v>
      </c>
      <c r="E36" s="90">
        <v>25230</v>
      </c>
      <c r="F36" s="90">
        <v>6780</v>
      </c>
      <c r="G36" s="98">
        <v>16120</v>
      </c>
      <c r="M36" s="90" t="s">
        <v>2357</v>
      </c>
      <c r="N36" s="90" t="s">
        <v>2397</v>
      </c>
      <c r="O36" s="90" t="s">
        <v>2460</v>
      </c>
      <c r="P36" s="90" t="s">
        <v>2504</v>
      </c>
      <c r="Q36" s="90" t="s">
        <v>2547</v>
      </c>
    </row>
    <row r="37" ht="14.25" customHeight="1" spans="1:17">
      <c r="A37" s="90" t="s">
        <v>264</v>
      </c>
      <c r="B37" s="91" t="s">
        <v>2274</v>
      </c>
      <c r="C37" s="90">
        <v>24380</v>
      </c>
      <c r="D37" s="90">
        <v>22240</v>
      </c>
      <c r="E37" s="90">
        <v>25980</v>
      </c>
      <c r="F37" s="90">
        <v>8160</v>
      </c>
      <c r="G37" s="98">
        <v>15570</v>
      </c>
      <c r="M37" s="90" t="s">
        <v>2358</v>
      </c>
      <c r="N37" s="90" t="s">
        <v>2398</v>
      </c>
      <c r="O37" s="90" t="s">
        <v>2461</v>
      </c>
      <c r="P37" s="90" t="s">
        <v>2505</v>
      </c>
      <c r="Q37" s="90" t="s">
        <v>2548</v>
      </c>
    </row>
    <row r="38" ht="14.25" customHeight="1" spans="1:17">
      <c r="A38" s="90" t="s">
        <v>264</v>
      </c>
      <c r="B38" s="91" t="s">
        <v>2275</v>
      </c>
      <c r="C38" s="90">
        <v>23120</v>
      </c>
      <c r="D38" s="90">
        <v>24630</v>
      </c>
      <c r="E38" s="90">
        <v>25030</v>
      </c>
      <c r="F38" s="90">
        <v>7710</v>
      </c>
      <c r="G38" s="98">
        <v>17240</v>
      </c>
      <c r="M38" s="90" t="s">
        <v>2359</v>
      </c>
      <c r="N38" s="90" t="s">
        <v>2399</v>
      </c>
      <c r="O38" s="90" t="s">
        <v>2462</v>
      </c>
      <c r="P38" s="90" t="s">
        <v>2506</v>
      </c>
      <c r="Q38" s="90" t="s">
        <v>2549</v>
      </c>
    </row>
    <row r="39" ht="14.25" customHeight="1" spans="1:17">
      <c r="A39" s="90" t="s">
        <v>264</v>
      </c>
      <c r="B39" s="91" t="s">
        <v>2276</v>
      </c>
      <c r="C39" s="90">
        <v>22330</v>
      </c>
      <c r="D39" s="90">
        <v>21140</v>
      </c>
      <c r="E39" s="90">
        <v>23970</v>
      </c>
      <c r="F39" s="90">
        <v>7940</v>
      </c>
      <c r="G39" s="98">
        <v>14790</v>
      </c>
      <c r="M39" s="90" t="s">
        <v>2360</v>
      </c>
      <c r="N39" s="90" t="s">
        <v>2400</v>
      </c>
      <c r="O39" s="90" t="s">
        <v>2750</v>
      </c>
      <c r="P39" s="90" t="s">
        <v>2507</v>
      </c>
      <c r="Q39" s="90" t="s">
        <v>2550</v>
      </c>
    </row>
    <row r="40" ht="14.25" customHeight="1" spans="1:17">
      <c r="A40" s="90" t="s">
        <v>264</v>
      </c>
      <c r="B40" s="91" t="s">
        <v>2277</v>
      </c>
      <c r="C40" s="90">
        <v>24740</v>
      </c>
      <c r="D40" s="90">
        <v>24690</v>
      </c>
      <c r="E40" s="90">
        <v>22610</v>
      </c>
      <c r="F40" s="90"/>
      <c r="G40" s="98">
        <v>17280</v>
      </c>
      <c r="M40" s="90" t="s">
        <v>2361</v>
      </c>
      <c r="N40" s="90" t="s">
        <v>2401</v>
      </c>
      <c r="O40" s="90" t="s">
        <v>2751</v>
      </c>
      <c r="P40" s="90" t="s">
        <v>2508</v>
      </c>
      <c r="Q40" s="90" t="s">
        <v>2551</v>
      </c>
    </row>
    <row r="41" ht="14.25" customHeight="1" spans="1:17">
      <c r="A41" s="90" t="s">
        <v>264</v>
      </c>
      <c r="B41" s="91" t="s">
        <v>2278</v>
      </c>
      <c r="C41" s="90">
        <v>21220</v>
      </c>
      <c r="D41" s="90">
        <v>21120</v>
      </c>
      <c r="E41" s="90">
        <v>22590</v>
      </c>
      <c r="F41" s="90"/>
      <c r="G41" s="98">
        <v>14780</v>
      </c>
      <c r="M41" s="94" t="s">
        <v>2362</v>
      </c>
      <c r="N41" s="90" t="s">
        <v>2402</v>
      </c>
      <c r="O41" s="90" t="s">
        <v>2752</v>
      </c>
      <c r="P41" s="90" t="s">
        <v>2509</v>
      </c>
      <c r="Q41" s="90" t="s">
        <v>2552</v>
      </c>
    </row>
    <row r="42" ht="14.25" customHeight="1" spans="1:17">
      <c r="A42" s="90" t="s">
        <v>264</v>
      </c>
      <c r="B42" s="91" t="s">
        <v>2279</v>
      </c>
      <c r="C42" s="90">
        <v>24800</v>
      </c>
      <c r="D42" s="90">
        <v>22280</v>
      </c>
      <c r="E42" s="90">
        <v>24350</v>
      </c>
      <c r="F42" s="90"/>
      <c r="G42" s="98">
        <v>15590</v>
      </c>
      <c r="N42" s="90" t="s">
        <v>2403</v>
      </c>
      <c r="O42" s="90" t="s">
        <v>2466</v>
      </c>
      <c r="P42" s="90" t="s">
        <v>2510</v>
      </c>
      <c r="Q42" s="90" t="s">
        <v>2553</v>
      </c>
    </row>
    <row r="43" ht="14.25" customHeight="1" spans="1:17">
      <c r="A43" s="90" t="s">
        <v>264</v>
      </c>
      <c r="B43" s="91" t="s">
        <v>2280</v>
      </c>
      <c r="C43" s="90">
        <v>21210</v>
      </c>
      <c r="D43" s="90">
        <v>21160</v>
      </c>
      <c r="E43" s="90">
        <v>22650</v>
      </c>
      <c r="F43" s="90"/>
      <c r="G43" s="98">
        <v>14800</v>
      </c>
      <c r="N43" s="90" t="s">
        <v>2404</v>
      </c>
      <c r="O43" s="90" t="s">
        <v>2467</v>
      </c>
      <c r="P43" s="90" t="s">
        <v>2511</v>
      </c>
      <c r="Q43" s="90" t="s">
        <v>2554</v>
      </c>
    </row>
    <row r="44" ht="14.25" customHeight="1" spans="1:17">
      <c r="A44" s="90" t="s">
        <v>264</v>
      </c>
      <c r="B44" s="91" t="s">
        <v>2281</v>
      </c>
      <c r="C44" s="90">
        <v>22370</v>
      </c>
      <c r="D44" s="90">
        <v>23140</v>
      </c>
      <c r="E44" s="90">
        <v>25090</v>
      </c>
      <c r="F44" s="90"/>
      <c r="G44" s="98">
        <v>16190</v>
      </c>
      <c r="N44" s="90" t="s">
        <v>2405</v>
      </c>
      <c r="O44" s="90" t="s">
        <v>2753</v>
      </c>
      <c r="P44" s="94" t="s">
        <v>2512</v>
      </c>
      <c r="Q44" s="90" t="s">
        <v>2555</v>
      </c>
    </row>
    <row r="45" ht="14.25" customHeight="1" spans="1:17">
      <c r="A45" s="90" t="s">
        <v>264</v>
      </c>
      <c r="B45" s="91" t="s">
        <v>2282</v>
      </c>
      <c r="C45" s="90">
        <v>21240</v>
      </c>
      <c r="D45" s="90">
        <v>27050</v>
      </c>
      <c r="E45" s="90">
        <v>28000</v>
      </c>
      <c r="F45" s="90"/>
      <c r="G45" s="98">
        <v>18940</v>
      </c>
      <c r="N45" s="90" t="s">
        <v>2406</v>
      </c>
      <c r="O45" s="94" t="s">
        <v>2469</v>
      </c>
      <c r="Q45" s="90" t="s">
        <v>2556</v>
      </c>
    </row>
    <row r="46" ht="14.25" customHeight="1" spans="1:17">
      <c r="A46" s="90" t="s">
        <v>264</v>
      </c>
      <c r="B46" s="91" t="s">
        <v>2283</v>
      </c>
      <c r="C46" s="90">
        <v>23240</v>
      </c>
      <c r="D46" s="90">
        <v>23000</v>
      </c>
      <c r="E46" s="90">
        <v>24980</v>
      </c>
      <c r="F46" s="90"/>
      <c r="G46" s="98">
        <v>16100</v>
      </c>
      <c r="N46" s="90" t="s">
        <v>2407</v>
      </c>
      <c r="Q46" s="90" t="s">
        <v>2557</v>
      </c>
    </row>
    <row r="47" ht="14.25" customHeight="1" spans="1:17">
      <c r="A47" s="90" t="s">
        <v>264</v>
      </c>
      <c r="B47" s="91" t="s">
        <v>2284</v>
      </c>
      <c r="C47" s="90">
        <v>27150</v>
      </c>
      <c r="D47" s="90">
        <v>23310</v>
      </c>
      <c r="E47" s="90">
        <v>25150</v>
      </c>
      <c r="F47" s="90"/>
      <c r="G47" s="98">
        <v>16310</v>
      </c>
      <c r="N47" s="90" t="s">
        <v>2408</v>
      </c>
      <c r="Q47" s="90" t="s">
        <v>2558</v>
      </c>
    </row>
    <row r="48" ht="14.25" customHeight="1" spans="1:17">
      <c r="A48" s="90" t="s">
        <v>264</v>
      </c>
      <c r="B48" s="91" t="s">
        <v>2285</v>
      </c>
      <c r="C48" s="90">
        <v>23100</v>
      </c>
      <c r="D48" s="90">
        <v>21110</v>
      </c>
      <c r="E48" s="90">
        <v>23080</v>
      </c>
      <c r="F48" s="90"/>
      <c r="G48" s="98">
        <v>14780</v>
      </c>
      <c r="N48" s="90" t="s">
        <v>2409</v>
      </c>
      <c r="Q48" s="90" t="s">
        <v>2559</v>
      </c>
    </row>
    <row r="49" ht="14.25" customHeight="1" spans="1:17">
      <c r="A49" s="90" t="s">
        <v>264</v>
      </c>
      <c r="B49" s="91" t="s">
        <v>2286</v>
      </c>
      <c r="C49" s="90">
        <v>23400</v>
      </c>
      <c r="D49" s="90">
        <v>22920</v>
      </c>
      <c r="E49" s="90">
        <v>24900</v>
      </c>
      <c r="F49" s="90"/>
      <c r="G49" s="98">
        <v>16040</v>
      </c>
      <c r="N49" s="90" t="s">
        <v>2410</v>
      </c>
      <c r="Q49" s="90" t="s">
        <v>2560</v>
      </c>
    </row>
    <row r="50" ht="14.25" customHeight="1" spans="1:17">
      <c r="A50" s="90" t="s">
        <v>264</v>
      </c>
      <c r="B50" s="91" t="s">
        <v>2287</v>
      </c>
      <c r="C50" s="90">
        <v>21200</v>
      </c>
      <c r="D50" s="90">
        <v>26540</v>
      </c>
      <c r="E50" s="90">
        <v>23200</v>
      </c>
      <c r="F50" s="90"/>
      <c r="G50" s="98">
        <v>18580</v>
      </c>
      <c r="N50" s="90" t="s">
        <v>2411</v>
      </c>
      <c r="Q50" s="91" t="s">
        <v>2561</v>
      </c>
    </row>
    <row r="51" ht="14.25" customHeight="1" spans="1:17">
      <c r="A51" s="90" t="s">
        <v>264</v>
      </c>
      <c r="B51" s="91" t="s">
        <v>2288</v>
      </c>
      <c r="C51" s="90">
        <v>23000</v>
      </c>
      <c r="D51" s="90">
        <v>23460</v>
      </c>
      <c r="E51" s="90">
        <v>25290</v>
      </c>
      <c r="F51" s="90"/>
      <c r="G51" s="98">
        <v>16420</v>
      </c>
      <c r="N51" s="90" t="s">
        <v>2412</v>
      </c>
      <c r="Q51" s="94" t="s">
        <v>2562</v>
      </c>
    </row>
    <row r="52" ht="14.25" customHeight="1" spans="1:14">
      <c r="A52" s="90" t="s">
        <v>264</v>
      </c>
      <c r="B52" s="91" t="s">
        <v>2289</v>
      </c>
      <c r="C52" s="90">
        <v>26660</v>
      </c>
      <c r="D52" s="90">
        <v>22350</v>
      </c>
      <c r="E52" s="90">
        <v>22920</v>
      </c>
      <c r="F52" s="90"/>
      <c r="G52" s="98">
        <v>15640</v>
      </c>
      <c r="N52" s="90" t="s">
        <v>2413</v>
      </c>
    </row>
    <row r="53" ht="14.25" customHeight="1" spans="1:14">
      <c r="A53" s="90" t="s">
        <v>264</v>
      </c>
      <c r="B53" s="91" t="s">
        <v>2290</v>
      </c>
      <c r="C53" s="90">
        <v>23580</v>
      </c>
      <c r="D53" s="90"/>
      <c r="E53" s="90">
        <v>24280</v>
      </c>
      <c r="F53" s="90"/>
      <c r="G53" s="98"/>
      <c r="N53" s="90" t="s">
        <v>2414</v>
      </c>
    </row>
    <row r="54" ht="14.25" customHeight="1" spans="1:14">
      <c r="A54" s="99" t="s">
        <v>264</v>
      </c>
      <c r="B54" s="93" t="s">
        <v>2291</v>
      </c>
      <c r="C54" s="94">
        <v>22460</v>
      </c>
      <c r="D54" s="94"/>
      <c r="E54" s="94"/>
      <c r="F54" s="94"/>
      <c r="G54" s="100"/>
      <c r="N54" s="90" t="s">
        <v>2415</v>
      </c>
    </row>
    <row r="55" ht="14.25" customHeight="1" spans="1:14">
      <c r="A55" s="88" t="s">
        <v>275</v>
      </c>
      <c r="B55" s="89" t="s">
        <v>2292</v>
      </c>
      <c r="C55" s="90">
        <v>21970</v>
      </c>
      <c r="D55" s="90">
        <v>20370</v>
      </c>
      <c r="E55" s="90">
        <v>20180</v>
      </c>
      <c r="F55" s="90">
        <v>5730</v>
      </c>
      <c r="G55" s="90">
        <v>13820</v>
      </c>
      <c r="N55" s="90" t="s">
        <v>2416</v>
      </c>
    </row>
    <row r="56" ht="14.25" customHeight="1" spans="1:14">
      <c r="A56" s="90" t="s">
        <v>275</v>
      </c>
      <c r="B56" s="90" t="s">
        <v>2293</v>
      </c>
      <c r="C56" s="90">
        <v>20470</v>
      </c>
      <c r="D56" s="90">
        <v>20700</v>
      </c>
      <c r="E56" s="90">
        <v>20380</v>
      </c>
      <c r="F56" s="90">
        <v>4760</v>
      </c>
      <c r="G56" s="90">
        <v>14050</v>
      </c>
      <c r="N56" s="90" t="s">
        <v>2417</v>
      </c>
    </row>
    <row r="57" ht="14.25" customHeight="1" spans="1:14">
      <c r="A57" s="90" t="s">
        <v>275</v>
      </c>
      <c r="B57" s="90" t="s">
        <v>2294</v>
      </c>
      <c r="C57" s="90">
        <v>20790</v>
      </c>
      <c r="D57" s="90">
        <v>21370</v>
      </c>
      <c r="E57" s="90">
        <v>20890</v>
      </c>
      <c r="F57" s="90">
        <v>4910</v>
      </c>
      <c r="G57" s="90">
        <v>14510</v>
      </c>
      <c r="N57" s="90" t="s">
        <v>2418</v>
      </c>
    </row>
    <row r="58" ht="14.25" customHeight="1" spans="1:14">
      <c r="A58" s="90" t="s">
        <v>275</v>
      </c>
      <c r="B58" s="90" t="s">
        <v>2295</v>
      </c>
      <c r="C58" s="90">
        <v>21460</v>
      </c>
      <c r="D58" s="90">
        <v>20920</v>
      </c>
      <c r="E58" s="90">
        <v>23410</v>
      </c>
      <c r="F58" s="90">
        <v>5100</v>
      </c>
      <c r="G58" s="90">
        <v>14200</v>
      </c>
      <c r="N58" s="90" t="s">
        <v>2419</v>
      </c>
    </row>
    <row r="59" ht="14.25" customHeight="1" spans="1:14">
      <c r="A59" s="90" t="s">
        <v>275</v>
      </c>
      <c r="B59" s="90" t="s">
        <v>2296</v>
      </c>
      <c r="C59" s="90">
        <v>21000</v>
      </c>
      <c r="D59" s="90">
        <v>21550</v>
      </c>
      <c r="E59" s="90">
        <v>21150</v>
      </c>
      <c r="F59" s="90">
        <v>5250</v>
      </c>
      <c r="G59" s="90">
        <v>14630</v>
      </c>
      <c r="N59" s="90" t="s">
        <v>2420</v>
      </c>
    </row>
    <row r="60" ht="14.25" customHeight="1" spans="1:14">
      <c r="A60" s="90" t="s">
        <v>275</v>
      </c>
      <c r="B60" s="90" t="s">
        <v>2297</v>
      </c>
      <c r="C60" s="90">
        <v>21640</v>
      </c>
      <c r="D60" s="90">
        <v>21260</v>
      </c>
      <c r="E60" s="90">
        <v>24040</v>
      </c>
      <c r="F60" s="90">
        <v>4470</v>
      </c>
      <c r="G60" s="90">
        <v>14430</v>
      </c>
      <c r="N60" s="90" t="s">
        <v>2421</v>
      </c>
    </row>
    <row r="61" ht="14.25" customHeight="1" spans="1:14">
      <c r="A61" s="90" t="s">
        <v>275</v>
      </c>
      <c r="B61" s="90" t="s">
        <v>2298</v>
      </c>
      <c r="C61" s="90">
        <v>21330</v>
      </c>
      <c r="D61" s="90">
        <v>18640</v>
      </c>
      <c r="E61" s="90">
        <v>21190</v>
      </c>
      <c r="F61" s="90">
        <v>4180</v>
      </c>
      <c r="G61" s="90">
        <v>12650</v>
      </c>
      <c r="N61" s="90" t="s">
        <v>2422</v>
      </c>
    </row>
    <row r="62" ht="14.25" customHeight="1" spans="1:14">
      <c r="A62" s="90" t="s">
        <v>275</v>
      </c>
      <c r="B62" s="90" t="s">
        <v>2299</v>
      </c>
      <c r="C62" s="90">
        <v>18710</v>
      </c>
      <c r="D62" s="90">
        <v>19400</v>
      </c>
      <c r="E62" s="90">
        <v>23750</v>
      </c>
      <c r="F62" s="90">
        <v>4860</v>
      </c>
      <c r="G62" s="90">
        <v>13170</v>
      </c>
      <c r="N62" s="90" t="s">
        <v>2423</v>
      </c>
    </row>
    <row r="63" ht="14.25" customHeight="1" spans="1:14">
      <c r="A63" s="90" t="s">
        <v>275</v>
      </c>
      <c r="B63" s="90" t="s">
        <v>2300</v>
      </c>
      <c r="C63" s="90">
        <v>19480</v>
      </c>
      <c r="D63" s="90">
        <v>16830</v>
      </c>
      <c r="E63" s="90">
        <v>21590</v>
      </c>
      <c r="F63" s="90">
        <v>4560</v>
      </c>
      <c r="G63" s="90">
        <v>11420</v>
      </c>
      <c r="N63" s="90" t="s">
        <v>2424</v>
      </c>
    </row>
    <row r="64" ht="14.25" customHeight="1" spans="1:14">
      <c r="A64" s="90" t="s">
        <v>275</v>
      </c>
      <c r="B64" s="90" t="s">
        <v>2301</v>
      </c>
      <c r="C64" s="90">
        <v>16920</v>
      </c>
      <c r="D64" s="90">
        <v>19190</v>
      </c>
      <c r="E64" s="90">
        <v>22200</v>
      </c>
      <c r="F64" s="90">
        <v>4390</v>
      </c>
      <c r="G64" s="90">
        <v>13030</v>
      </c>
      <c r="N64" s="94" t="s">
        <v>2425</v>
      </c>
    </row>
    <row r="65" s="75" customFormat="1" ht="14.25" customHeight="1" spans="1:7">
      <c r="A65" s="90" t="s">
        <v>275</v>
      </c>
      <c r="B65" s="90" t="s">
        <v>2302</v>
      </c>
      <c r="C65" s="90">
        <v>19290</v>
      </c>
      <c r="D65" s="90">
        <v>17020</v>
      </c>
      <c r="E65" s="90">
        <v>19880</v>
      </c>
      <c r="F65" s="90">
        <v>4070</v>
      </c>
      <c r="G65" s="90">
        <v>11550</v>
      </c>
    </row>
    <row r="66" s="75" customFormat="1" ht="14.25" customHeight="1" spans="1:7">
      <c r="A66" s="90" t="s">
        <v>275</v>
      </c>
      <c r="B66" s="90" t="s">
        <v>2303</v>
      </c>
      <c r="C66" s="90">
        <v>17090</v>
      </c>
      <c r="D66" s="90">
        <v>18340</v>
      </c>
      <c r="E66" s="90">
        <v>21830</v>
      </c>
      <c r="F66" s="90">
        <v>4690</v>
      </c>
      <c r="G66" s="90">
        <v>12450</v>
      </c>
    </row>
    <row r="67" s="75" customFormat="1" ht="14.25" customHeight="1" spans="1:7">
      <c r="A67" s="90" t="s">
        <v>275</v>
      </c>
      <c r="B67" s="90" t="s">
        <v>2304</v>
      </c>
      <c r="C67" s="90">
        <v>18420</v>
      </c>
      <c r="D67" s="90">
        <v>16360</v>
      </c>
      <c r="E67" s="90">
        <v>20020</v>
      </c>
      <c r="F67" s="90">
        <v>5150</v>
      </c>
      <c r="G67" s="90">
        <v>11110</v>
      </c>
    </row>
    <row r="68" s="75" customFormat="1" ht="14.25" customHeight="1" spans="1:7">
      <c r="A68" s="90" t="s">
        <v>275</v>
      </c>
      <c r="B68" s="90" t="s">
        <v>2305</v>
      </c>
      <c r="C68" s="90">
        <v>16450</v>
      </c>
      <c r="D68" s="90">
        <v>18430</v>
      </c>
      <c r="E68" s="90">
        <v>21010</v>
      </c>
      <c r="F68" s="90">
        <v>4720</v>
      </c>
      <c r="G68" s="90">
        <v>12510</v>
      </c>
    </row>
    <row r="69" s="75" customFormat="1" ht="14.25" customHeight="1" spans="1:7">
      <c r="A69" s="90" t="s">
        <v>275</v>
      </c>
      <c r="B69" s="90" t="s">
        <v>2306</v>
      </c>
      <c r="C69" s="90">
        <v>18510</v>
      </c>
      <c r="D69" s="90">
        <v>16300</v>
      </c>
      <c r="E69" s="90">
        <v>18830</v>
      </c>
      <c r="F69" s="90">
        <v>5400</v>
      </c>
      <c r="G69" s="90">
        <v>11070</v>
      </c>
    </row>
    <row r="70" s="75" customFormat="1" ht="14.25" customHeight="1" spans="1:7">
      <c r="A70" s="90" t="s">
        <v>275</v>
      </c>
      <c r="B70" s="90" t="s">
        <v>2307</v>
      </c>
      <c r="C70" s="90">
        <v>16370</v>
      </c>
      <c r="D70" s="90">
        <v>18620</v>
      </c>
      <c r="E70" s="90">
        <v>21100</v>
      </c>
      <c r="F70" s="90">
        <v>5700</v>
      </c>
      <c r="G70" s="90">
        <v>12640</v>
      </c>
    </row>
    <row r="71" s="75" customFormat="1" ht="14.25" customHeight="1" spans="1:7">
      <c r="A71" s="90" t="s">
        <v>275</v>
      </c>
      <c r="B71" s="90" t="s">
        <v>2308</v>
      </c>
      <c r="C71" s="90">
        <v>18700</v>
      </c>
      <c r="D71" s="90">
        <v>16290</v>
      </c>
      <c r="E71" s="90">
        <v>18760</v>
      </c>
      <c r="F71" s="90">
        <v>4780</v>
      </c>
      <c r="G71" s="90">
        <v>11050</v>
      </c>
    </row>
    <row r="72" s="75" customFormat="1" ht="14.25" customHeight="1" spans="1:7">
      <c r="A72" s="90" t="s">
        <v>275</v>
      </c>
      <c r="B72" s="90" t="s">
        <v>547</v>
      </c>
      <c r="C72" s="90">
        <v>16340</v>
      </c>
      <c r="D72" s="90">
        <v>17520</v>
      </c>
      <c r="E72" s="90">
        <v>21170</v>
      </c>
      <c r="F72" s="90"/>
      <c r="G72" s="90">
        <v>11900</v>
      </c>
    </row>
    <row r="73" s="75" customFormat="1" ht="14.25" customHeight="1" spans="1:7">
      <c r="A73" s="90" t="s">
        <v>275</v>
      </c>
      <c r="B73" s="90" t="s">
        <v>2309</v>
      </c>
      <c r="C73" s="90">
        <v>17610</v>
      </c>
      <c r="D73" s="90">
        <v>18520</v>
      </c>
      <c r="E73" s="90">
        <v>18720</v>
      </c>
      <c r="F73" s="90"/>
      <c r="G73" s="90">
        <v>12570</v>
      </c>
    </row>
    <row r="74" s="75" customFormat="1" ht="14.25" customHeight="1" spans="1:7">
      <c r="A74" s="90" t="s">
        <v>275</v>
      </c>
      <c r="B74" s="90" t="s">
        <v>2310</v>
      </c>
      <c r="C74" s="90">
        <v>18600</v>
      </c>
      <c r="D74" s="90">
        <v>16480</v>
      </c>
      <c r="E74" s="90">
        <v>20100</v>
      </c>
      <c r="F74" s="90"/>
      <c r="G74" s="90">
        <v>11190</v>
      </c>
    </row>
    <row r="75" s="75" customFormat="1" ht="14.25" customHeight="1" spans="1:7">
      <c r="A75" s="90" t="s">
        <v>275</v>
      </c>
      <c r="B75" s="90" t="s">
        <v>2311</v>
      </c>
      <c r="C75" s="90">
        <v>16570</v>
      </c>
      <c r="D75" s="90">
        <v>17530</v>
      </c>
      <c r="E75" s="90">
        <v>21030</v>
      </c>
      <c r="F75" s="90"/>
      <c r="G75" s="90">
        <v>11900</v>
      </c>
    </row>
    <row r="76" s="75" customFormat="1" ht="14.25" customHeight="1" spans="1:7">
      <c r="A76" s="90" t="s">
        <v>275</v>
      </c>
      <c r="B76" s="90" t="s">
        <v>2312</v>
      </c>
      <c r="C76" s="90">
        <v>17610</v>
      </c>
      <c r="D76" s="90">
        <v>20800</v>
      </c>
      <c r="E76" s="90">
        <v>18920</v>
      </c>
      <c r="F76" s="90"/>
      <c r="G76" s="90">
        <v>14120</v>
      </c>
    </row>
    <row r="77" s="75" customFormat="1" ht="14.25" customHeight="1" spans="1:7">
      <c r="A77" s="90" t="s">
        <v>275</v>
      </c>
      <c r="B77" s="90" t="s">
        <v>2313</v>
      </c>
      <c r="C77" s="90">
        <v>20890</v>
      </c>
      <c r="D77" s="90">
        <v>19740</v>
      </c>
      <c r="E77" s="90">
        <v>20110</v>
      </c>
      <c r="F77" s="90"/>
      <c r="G77" s="90">
        <v>13400</v>
      </c>
    </row>
    <row r="78" s="75" customFormat="1" ht="14.25" customHeight="1" spans="1:7">
      <c r="A78" s="90" t="s">
        <v>275</v>
      </c>
      <c r="B78" s="90" t="s">
        <v>2314</v>
      </c>
      <c r="C78" s="90">
        <v>19820</v>
      </c>
      <c r="D78" s="90">
        <v>19780</v>
      </c>
      <c r="E78" s="90">
        <v>18560</v>
      </c>
      <c r="F78" s="90"/>
      <c r="G78" s="90">
        <v>13430</v>
      </c>
    </row>
    <row r="79" s="75" customFormat="1" ht="14.25" customHeight="1" spans="1:7">
      <c r="A79" s="90" t="s">
        <v>275</v>
      </c>
      <c r="B79" s="90" t="s">
        <v>2315</v>
      </c>
      <c r="C79" s="90">
        <v>21660</v>
      </c>
      <c r="D79" s="90">
        <v>18000</v>
      </c>
      <c r="E79" s="90">
        <v>22570</v>
      </c>
      <c r="F79" s="90"/>
      <c r="G79" s="90">
        <v>12220</v>
      </c>
    </row>
    <row r="80" s="75" customFormat="1" ht="14.25" customHeight="1" spans="1:7">
      <c r="A80" s="90" t="s">
        <v>275</v>
      </c>
      <c r="B80" s="90" t="s">
        <v>2316</v>
      </c>
      <c r="C80" s="90">
        <v>19850</v>
      </c>
      <c r="D80" s="90"/>
      <c r="E80" s="90">
        <v>21700</v>
      </c>
      <c r="F80" s="90"/>
      <c r="G80" s="90"/>
    </row>
    <row r="81" s="75" customFormat="1" ht="14.25" customHeight="1" spans="1:7">
      <c r="A81" s="90" t="s">
        <v>275</v>
      </c>
      <c r="B81" s="90" t="s">
        <v>2317</v>
      </c>
      <c r="C81" s="90">
        <v>18080</v>
      </c>
      <c r="D81" s="90"/>
      <c r="E81" s="90">
        <v>20900</v>
      </c>
      <c r="F81" s="90"/>
      <c r="G81" s="90"/>
    </row>
    <row r="82" s="75" customFormat="1" ht="14.25" customHeight="1" spans="1:7">
      <c r="A82" s="90" t="s">
        <v>275</v>
      </c>
      <c r="B82" s="90" t="s">
        <v>2318</v>
      </c>
      <c r="C82" s="90"/>
      <c r="D82" s="90"/>
      <c r="E82" s="90">
        <v>20840</v>
      </c>
      <c r="F82" s="90"/>
      <c r="G82" s="90"/>
    </row>
    <row r="83" s="75" customFormat="1" ht="14.25" customHeight="1" spans="1:7">
      <c r="A83" s="90" t="s">
        <v>275</v>
      </c>
      <c r="B83" s="90" t="s">
        <v>2319</v>
      </c>
      <c r="C83" s="90"/>
      <c r="D83" s="90"/>
      <c r="E83" s="90"/>
      <c r="F83" s="90">
        <v>4770</v>
      </c>
      <c r="G83" s="90"/>
    </row>
    <row r="84" s="75" customFormat="1" ht="14.25" customHeight="1" spans="1:7">
      <c r="A84" s="90" t="s">
        <v>275</v>
      </c>
      <c r="B84" s="90" t="s">
        <v>2320</v>
      </c>
      <c r="C84" s="90"/>
      <c r="D84" s="90"/>
      <c r="E84" s="90"/>
      <c r="F84" s="90">
        <v>4600</v>
      </c>
      <c r="G84" s="90"/>
    </row>
    <row r="85" s="75" customFormat="1" ht="14.25" customHeight="1" spans="1:7">
      <c r="A85" s="90" t="s">
        <v>275</v>
      </c>
      <c r="B85" s="90" t="s">
        <v>2321</v>
      </c>
      <c r="C85" s="90"/>
      <c r="D85" s="90"/>
      <c r="E85" s="90"/>
      <c r="F85" s="90">
        <v>4680</v>
      </c>
      <c r="G85" s="90"/>
    </row>
    <row r="86" s="75" customFormat="1" ht="14.25" customHeight="1" spans="1:7">
      <c r="A86" s="92" t="s">
        <v>275</v>
      </c>
      <c r="B86" s="95" t="s">
        <v>2322</v>
      </c>
      <c r="C86" s="96">
        <v>16610</v>
      </c>
      <c r="D86" s="96">
        <v>16540</v>
      </c>
      <c r="E86" s="96">
        <v>18850</v>
      </c>
      <c r="F86" s="96"/>
      <c r="G86" s="96">
        <v>11220</v>
      </c>
    </row>
    <row r="87" s="75" customFormat="1" ht="14.25" customHeight="1" spans="1:7">
      <c r="A87" s="88" t="s">
        <v>286</v>
      </c>
      <c r="B87" s="89" t="s">
        <v>2323</v>
      </c>
      <c r="C87" s="89">
        <v>15240</v>
      </c>
      <c r="D87" s="89">
        <v>15170</v>
      </c>
      <c r="E87" s="89">
        <v>18260</v>
      </c>
      <c r="F87" s="89">
        <v>3830</v>
      </c>
      <c r="G87" s="97">
        <v>10020</v>
      </c>
    </row>
    <row r="88" s="75" customFormat="1" ht="14.25" customHeight="1" spans="1:7">
      <c r="A88" s="90" t="s">
        <v>286</v>
      </c>
      <c r="B88" s="90" t="s">
        <v>2324</v>
      </c>
      <c r="C88" s="90">
        <v>17310</v>
      </c>
      <c r="D88" s="90">
        <v>17220</v>
      </c>
      <c r="E88" s="90">
        <v>18610</v>
      </c>
      <c r="F88" s="90">
        <v>3990</v>
      </c>
      <c r="G88" s="98">
        <v>11380</v>
      </c>
    </row>
    <row r="89" s="75" customFormat="1" ht="14.25" customHeight="1" spans="1:7">
      <c r="A89" s="90" t="s">
        <v>286</v>
      </c>
      <c r="B89" s="90" t="s">
        <v>2325</v>
      </c>
      <c r="C89" s="90">
        <v>15600</v>
      </c>
      <c r="D89" s="90">
        <v>15550</v>
      </c>
      <c r="E89" s="90">
        <v>19200</v>
      </c>
      <c r="F89" s="90">
        <v>4110</v>
      </c>
      <c r="G89" s="98">
        <v>10270</v>
      </c>
    </row>
    <row r="90" s="75" customFormat="1" ht="14.25" customHeight="1" spans="1:7">
      <c r="A90" s="90" t="s">
        <v>286</v>
      </c>
      <c r="B90" s="90" t="s">
        <v>2326</v>
      </c>
      <c r="C90" s="90">
        <v>17330</v>
      </c>
      <c r="D90" s="90">
        <v>17240</v>
      </c>
      <c r="E90" s="90">
        <v>18570</v>
      </c>
      <c r="F90" s="90">
        <v>4070</v>
      </c>
      <c r="G90" s="98">
        <v>11390</v>
      </c>
    </row>
    <row r="91" s="75" customFormat="1" ht="14.25" customHeight="1" spans="1:7">
      <c r="A91" s="90" t="s">
        <v>286</v>
      </c>
      <c r="B91" s="90" t="s">
        <v>2327</v>
      </c>
      <c r="C91" s="90">
        <v>16330</v>
      </c>
      <c r="D91" s="90">
        <v>16260</v>
      </c>
      <c r="E91" s="90">
        <v>16800</v>
      </c>
      <c r="F91" s="90">
        <v>3410</v>
      </c>
      <c r="G91" s="98">
        <v>10740</v>
      </c>
    </row>
    <row r="92" s="75" customFormat="1" ht="14.25" customHeight="1" spans="1:7">
      <c r="A92" s="90" t="s">
        <v>286</v>
      </c>
      <c r="B92" s="90" t="s">
        <v>2328</v>
      </c>
      <c r="C92" s="90">
        <v>15570</v>
      </c>
      <c r="D92" s="90">
        <v>15500</v>
      </c>
      <c r="E92" s="90">
        <v>17360</v>
      </c>
      <c r="F92" s="90">
        <v>3510</v>
      </c>
      <c r="G92" s="98">
        <v>10240</v>
      </c>
    </row>
    <row r="93" s="75" customFormat="1" ht="14.25" customHeight="1" spans="1:7">
      <c r="A93" s="90" t="s">
        <v>286</v>
      </c>
      <c r="B93" s="90" t="s">
        <v>2329</v>
      </c>
      <c r="C93" s="90">
        <v>14000</v>
      </c>
      <c r="D93" s="90">
        <v>13930</v>
      </c>
      <c r="E93" s="90">
        <v>18200</v>
      </c>
      <c r="F93" s="90">
        <v>3640</v>
      </c>
      <c r="G93" s="98">
        <v>9210</v>
      </c>
    </row>
    <row r="94" s="75" customFormat="1" ht="14.25" customHeight="1" spans="1:7">
      <c r="A94" s="90" t="s">
        <v>286</v>
      </c>
      <c r="B94" s="90" t="s">
        <v>2330</v>
      </c>
      <c r="C94" s="90">
        <v>14530</v>
      </c>
      <c r="D94" s="90">
        <v>14470</v>
      </c>
      <c r="E94" s="90">
        <v>18240</v>
      </c>
      <c r="F94" s="90">
        <v>3180</v>
      </c>
      <c r="G94" s="98">
        <v>9560</v>
      </c>
    </row>
    <row r="95" s="75" customFormat="1" ht="14.25" customHeight="1" spans="1:7">
      <c r="A95" s="90" t="s">
        <v>286</v>
      </c>
      <c r="B95" s="90" t="s">
        <v>2331</v>
      </c>
      <c r="C95" s="90">
        <v>17330</v>
      </c>
      <c r="D95" s="90">
        <v>17260</v>
      </c>
      <c r="E95" s="90">
        <v>18420</v>
      </c>
      <c r="F95" s="90">
        <v>3060</v>
      </c>
      <c r="G95" s="98">
        <v>11410</v>
      </c>
    </row>
    <row r="96" s="75" customFormat="1" ht="14.25" customHeight="1" spans="1:7">
      <c r="A96" s="90" t="s">
        <v>286</v>
      </c>
      <c r="B96" s="90" t="s">
        <v>2332</v>
      </c>
      <c r="C96" s="90">
        <v>15030</v>
      </c>
      <c r="D96" s="90">
        <v>14970</v>
      </c>
      <c r="E96" s="90">
        <v>17580</v>
      </c>
      <c r="F96" s="90">
        <v>2970</v>
      </c>
      <c r="G96" s="98">
        <v>9890</v>
      </c>
    </row>
    <row r="97" s="75" customFormat="1" ht="14.25" customHeight="1" spans="1:7">
      <c r="A97" s="90" t="s">
        <v>286</v>
      </c>
      <c r="B97" s="90" t="s">
        <v>2333</v>
      </c>
      <c r="C97" s="90">
        <v>17400</v>
      </c>
      <c r="D97" s="90">
        <v>17330</v>
      </c>
      <c r="E97" s="90">
        <v>16430</v>
      </c>
      <c r="F97" s="90">
        <v>2950</v>
      </c>
      <c r="G97" s="98">
        <v>11450</v>
      </c>
    </row>
    <row r="98" s="75" customFormat="1" ht="14.25" customHeight="1" spans="1:7">
      <c r="A98" s="90" t="s">
        <v>286</v>
      </c>
      <c r="B98" s="90" t="s">
        <v>2334</v>
      </c>
      <c r="C98" s="90">
        <v>15200</v>
      </c>
      <c r="D98" s="90">
        <v>15120</v>
      </c>
      <c r="E98" s="90">
        <v>17550</v>
      </c>
      <c r="F98" s="90">
        <v>3080</v>
      </c>
      <c r="G98" s="98">
        <v>9990</v>
      </c>
    </row>
    <row r="99" s="75" customFormat="1" ht="14.25" customHeight="1" spans="1:7">
      <c r="A99" s="90" t="s">
        <v>286</v>
      </c>
      <c r="B99" s="90" t="s">
        <v>2335</v>
      </c>
      <c r="C99" s="90">
        <v>17520</v>
      </c>
      <c r="D99" s="90">
        <v>17430</v>
      </c>
      <c r="E99" s="90">
        <v>16350</v>
      </c>
      <c r="F99" s="90">
        <v>3260</v>
      </c>
      <c r="G99" s="98">
        <v>11510</v>
      </c>
    </row>
    <row r="100" s="75" customFormat="1" ht="14.25" customHeight="1" spans="1:7">
      <c r="A100" s="90" t="s">
        <v>286</v>
      </c>
      <c r="B100" s="90" t="s">
        <v>2336</v>
      </c>
      <c r="C100" s="90">
        <v>15340</v>
      </c>
      <c r="D100" s="90">
        <v>15260</v>
      </c>
      <c r="E100" s="90">
        <v>15930</v>
      </c>
      <c r="F100" s="90">
        <v>2740</v>
      </c>
      <c r="G100" s="98">
        <v>10080</v>
      </c>
    </row>
    <row r="101" s="75" customFormat="1" ht="14.25" customHeight="1" spans="1:7">
      <c r="A101" s="90" t="s">
        <v>286</v>
      </c>
      <c r="B101" s="90" t="s">
        <v>2337</v>
      </c>
      <c r="C101" s="90">
        <v>14620</v>
      </c>
      <c r="D101" s="90">
        <v>14560</v>
      </c>
      <c r="E101" s="90">
        <v>15570</v>
      </c>
      <c r="F101" s="90">
        <v>3500</v>
      </c>
      <c r="G101" s="98">
        <v>9630</v>
      </c>
    </row>
    <row r="102" s="75" customFormat="1" ht="14.25" customHeight="1" spans="1:7">
      <c r="A102" s="90" t="s">
        <v>286</v>
      </c>
      <c r="B102" s="90" t="s">
        <v>2338</v>
      </c>
      <c r="C102" s="90">
        <v>13680</v>
      </c>
      <c r="D102" s="90">
        <v>13610</v>
      </c>
      <c r="E102" s="90">
        <v>15690</v>
      </c>
      <c r="F102" s="90">
        <v>2870</v>
      </c>
      <c r="G102" s="98">
        <v>8990</v>
      </c>
    </row>
    <row r="103" s="75" customFormat="1" ht="14.25" customHeight="1" spans="1:7">
      <c r="A103" s="90" t="s">
        <v>286</v>
      </c>
      <c r="B103" s="90" t="s">
        <v>2339</v>
      </c>
      <c r="C103" s="90">
        <v>14620</v>
      </c>
      <c r="D103" s="90">
        <v>14540</v>
      </c>
      <c r="E103" s="90">
        <v>15240</v>
      </c>
      <c r="F103" s="90">
        <v>2840</v>
      </c>
      <c r="G103" s="98">
        <v>9610</v>
      </c>
    </row>
    <row r="104" s="75" customFormat="1" ht="14.25" customHeight="1" spans="1:7">
      <c r="A104" s="90" t="s">
        <v>286</v>
      </c>
      <c r="B104" s="90" t="s">
        <v>2340</v>
      </c>
      <c r="C104" s="90">
        <v>13610</v>
      </c>
      <c r="D104" s="90">
        <v>13540</v>
      </c>
      <c r="E104" s="90">
        <v>15750</v>
      </c>
      <c r="F104" s="90">
        <v>2770</v>
      </c>
      <c r="G104" s="98">
        <v>8940</v>
      </c>
    </row>
    <row r="105" s="75" customFormat="1" ht="14.25" customHeight="1" spans="1:7">
      <c r="A105" s="90" t="s">
        <v>286</v>
      </c>
      <c r="B105" s="90" t="s">
        <v>2341</v>
      </c>
      <c r="C105" s="90">
        <v>13310</v>
      </c>
      <c r="D105" s="90">
        <v>13240</v>
      </c>
      <c r="E105" s="90">
        <v>16280</v>
      </c>
      <c r="F105" s="90">
        <v>3210</v>
      </c>
      <c r="G105" s="98">
        <v>8750</v>
      </c>
    </row>
    <row r="106" s="75" customFormat="1" ht="14.25" customHeight="1" spans="1:7">
      <c r="A106" s="90" t="s">
        <v>286</v>
      </c>
      <c r="B106" s="90" t="s">
        <v>2342</v>
      </c>
      <c r="C106" s="90">
        <v>13010</v>
      </c>
      <c r="D106" s="90">
        <v>12930</v>
      </c>
      <c r="E106" s="90">
        <v>14960</v>
      </c>
      <c r="F106" s="90">
        <v>3530</v>
      </c>
      <c r="G106" s="98">
        <v>8550</v>
      </c>
    </row>
    <row r="107" s="75" customFormat="1" ht="14.25" customHeight="1" spans="1:7">
      <c r="A107" s="90" t="s">
        <v>286</v>
      </c>
      <c r="B107" s="90" t="s">
        <v>2343</v>
      </c>
      <c r="C107" s="90">
        <v>13070</v>
      </c>
      <c r="D107" s="90">
        <v>13000</v>
      </c>
      <c r="E107" s="90">
        <v>15910</v>
      </c>
      <c r="F107" s="90">
        <v>3990</v>
      </c>
      <c r="G107" s="98">
        <v>8580</v>
      </c>
    </row>
    <row r="108" s="75" customFormat="1" ht="14.25" customHeight="1" spans="1:7">
      <c r="A108" s="90" t="s">
        <v>286</v>
      </c>
      <c r="B108" s="90" t="s">
        <v>2344</v>
      </c>
      <c r="C108" s="90">
        <v>12640</v>
      </c>
      <c r="D108" s="90">
        <v>12580</v>
      </c>
      <c r="E108" s="90">
        <v>15730</v>
      </c>
      <c r="F108" s="90"/>
      <c r="G108" s="98">
        <v>8310</v>
      </c>
    </row>
    <row r="109" s="75" customFormat="1" ht="14.25" customHeight="1" spans="1:7">
      <c r="A109" s="90" t="s">
        <v>286</v>
      </c>
      <c r="B109" s="90" t="s">
        <v>2345</v>
      </c>
      <c r="C109" s="90">
        <v>13130</v>
      </c>
      <c r="D109" s="90">
        <v>13070</v>
      </c>
      <c r="E109" s="90">
        <v>15000</v>
      </c>
      <c r="F109" s="90"/>
      <c r="G109" s="98">
        <v>8630</v>
      </c>
    </row>
    <row r="110" s="75" customFormat="1" ht="14.25" customHeight="1" spans="1:7">
      <c r="A110" s="90" t="s">
        <v>286</v>
      </c>
      <c r="B110" s="90" t="s">
        <v>2346</v>
      </c>
      <c r="C110" s="90">
        <v>13560</v>
      </c>
      <c r="D110" s="90">
        <v>13490</v>
      </c>
      <c r="E110" s="90">
        <v>16300</v>
      </c>
      <c r="F110" s="90"/>
      <c r="G110" s="98">
        <v>8920</v>
      </c>
    </row>
    <row r="111" s="75" customFormat="1" ht="14.25" customHeight="1" spans="1:7">
      <c r="A111" s="90" t="s">
        <v>286</v>
      </c>
      <c r="B111" s="90" t="s">
        <v>2347</v>
      </c>
      <c r="C111" s="90">
        <v>12440</v>
      </c>
      <c r="D111" s="90">
        <v>12380</v>
      </c>
      <c r="E111" s="90">
        <v>17850</v>
      </c>
      <c r="F111" s="90"/>
      <c r="G111" s="98">
        <v>8180</v>
      </c>
    </row>
    <row r="112" s="75" customFormat="1" ht="14.25" customHeight="1" spans="1:7">
      <c r="A112" s="90" t="s">
        <v>286</v>
      </c>
      <c r="B112" s="90" t="s">
        <v>2348</v>
      </c>
      <c r="C112" s="90">
        <v>13260</v>
      </c>
      <c r="D112" s="90">
        <v>13180</v>
      </c>
      <c r="E112" s="90">
        <v>19740</v>
      </c>
      <c r="F112" s="90"/>
      <c r="G112" s="98">
        <v>8710</v>
      </c>
    </row>
    <row r="113" s="75" customFormat="1" ht="14.25" customHeight="1" spans="1:7">
      <c r="A113" s="90" t="s">
        <v>286</v>
      </c>
      <c r="B113" s="90" t="s">
        <v>2349</v>
      </c>
      <c r="C113" s="90">
        <v>15520</v>
      </c>
      <c r="D113" s="90">
        <v>15450</v>
      </c>
      <c r="E113" s="90"/>
      <c r="F113" s="90"/>
      <c r="G113" s="98">
        <v>10210</v>
      </c>
    </row>
    <row r="114" s="75" customFormat="1" ht="14.25" customHeight="1" spans="1:7">
      <c r="A114" s="90" t="s">
        <v>286</v>
      </c>
      <c r="B114" s="90" t="s">
        <v>2350</v>
      </c>
      <c r="C114" s="90">
        <v>13110</v>
      </c>
      <c r="D114" s="90">
        <v>13050</v>
      </c>
      <c r="E114" s="90"/>
      <c r="F114" s="90"/>
      <c r="G114" s="98">
        <v>8620</v>
      </c>
    </row>
    <row r="115" s="75" customFormat="1" ht="14.25" customHeight="1" spans="1:7">
      <c r="A115" s="90" t="s">
        <v>286</v>
      </c>
      <c r="B115" s="90" t="s">
        <v>2351</v>
      </c>
      <c r="C115" s="90">
        <v>12460</v>
      </c>
      <c r="D115" s="90">
        <v>12390</v>
      </c>
      <c r="E115" s="90"/>
      <c r="F115" s="90"/>
      <c r="G115" s="98">
        <v>8190</v>
      </c>
    </row>
    <row r="116" s="75" customFormat="1" ht="14.25" customHeight="1" spans="1:7">
      <c r="A116" s="90" t="s">
        <v>286</v>
      </c>
      <c r="B116" s="90" t="s">
        <v>2352</v>
      </c>
      <c r="C116" s="90">
        <v>13580</v>
      </c>
      <c r="D116" s="90">
        <v>13520</v>
      </c>
      <c r="E116" s="90"/>
      <c r="F116" s="90"/>
      <c r="G116" s="98">
        <v>8930</v>
      </c>
    </row>
    <row r="117" s="75" customFormat="1" ht="14.25" customHeight="1" spans="1:7">
      <c r="A117" s="90" t="s">
        <v>286</v>
      </c>
      <c r="B117" s="90" t="s">
        <v>2353</v>
      </c>
      <c r="C117" s="90">
        <v>17120</v>
      </c>
      <c r="D117" s="90">
        <v>17040</v>
      </c>
      <c r="E117" s="90"/>
      <c r="F117" s="90"/>
      <c r="G117" s="98">
        <v>11260</v>
      </c>
    </row>
    <row r="118" s="75" customFormat="1" ht="14.25" customHeight="1" spans="1:7">
      <c r="A118" s="90" t="s">
        <v>286</v>
      </c>
      <c r="B118" s="90" t="s">
        <v>2354</v>
      </c>
      <c r="C118" s="90">
        <v>14860</v>
      </c>
      <c r="D118" s="90">
        <v>14790</v>
      </c>
      <c r="E118" s="90"/>
      <c r="F118" s="90"/>
      <c r="G118" s="98">
        <v>9780</v>
      </c>
    </row>
    <row r="119" s="75" customFormat="1" ht="14.25" customHeight="1" spans="1:7">
      <c r="A119" s="90" t="s">
        <v>286</v>
      </c>
      <c r="B119" s="90" t="s">
        <v>2355</v>
      </c>
      <c r="C119" s="90">
        <v>16470</v>
      </c>
      <c r="D119" s="90">
        <v>16400</v>
      </c>
      <c r="E119" s="90"/>
      <c r="F119" s="90"/>
      <c r="G119" s="98">
        <v>10840</v>
      </c>
    </row>
    <row r="120" s="75" customFormat="1" ht="14.25" customHeight="1" spans="1:7">
      <c r="A120" s="90" t="s">
        <v>286</v>
      </c>
      <c r="B120" s="90" t="s">
        <v>2356</v>
      </c>
      <c r="C120" s="90"/>
      <c r="D120" s="90"/>
      <c r="E120" s="90"/>
      <c r="F120" s="90">
        <v>4160</v>
      </c>
      <c r="G120" s="98"/>
    </row>
    <row r="121" s="75" customFormat="1" ht="14.25" customHeight="1" spans="1:7">
      <c r="A121" s="90" t="s">
        <v>286</v>
      </c>
      <c r="B121" s="90" t="s">
        <v>2357</v>
      </c>
      <c r="C121" s="90"/>
      <c r="D121" s="90"/>
      <c r="E121" s="90"/>
      <c r="F121" s="90">
        <v>3880</v>
      </c>
      <c r="G121" s="98"/>
    </row>
    <row r="122" s="75" customFormat="1" ht="14.25" customHeight="1" spans="1:7">
      <c r="A122" s="90" t="s">
        <v>286</v>
      </c>
      <c r="B122" s="90" t="s">
        <v>2358</v>
      </c>
      <c r="C122" s="90">
        <v>13750</v>
      </c>
      <c r="D122" s="90">
        <v>13680</v>
      </c>
      <c r="E122" s="90">
        <v>16460</v>
      </c>
      <c r="F122" s="90">
        <v>2880</v>
      </c>
      <c r="G122" s="98">
        <v>9040</v>
      </c>
    </row>
    <row r="123" s="75" customFormat="1" ht="14.25" customHeight="1" spans="1:7">
      <c r="A123" s="90" t="s">
        <v>286</v>
      </c>
      <c r="B123" s="90" t="s">
        <v>2359</v>
      </c>
      <c r="C123" s="90">
        <v>13590</v>
      </c>
      <c r="D123" s="90">
        <v>13520</v>
      </c>
      <c r="E123" s="90">
        <v>16290</v>
      </c>
      <c r="F123" s="90">
        <v>2790</v>
      </c>
      <c r="G123" s="98">
        <v>8930</v>
      </c>
    </row>
    <row r="124" s="75" customFormat="1" ht="14.25" customHeight="1" spans="1:7">
      <c r="A124" s="90" t="s">
        <v>286</v>
      </c>
      <c r="B124" s="90" t="s">
        <v>2360</v>
      </c>
      <c r="C124" s="90">
        <v>13400</v>
      </c>
      <c r="D124" s="90">
        <v>13320</v>
      </c>
      <c r="E124" s="90">
        <v>16100</v>
      </c>
      <c r="F124" s="90">
        <v>2320</v>
      </c>
      <c r="G124" s="98">
        <v>8800</v>
      </c>
    </row>
    <row r="125" s="75" customFormat="1" ht="14.25" customHeight="1" spans="1:7">
      <c r="A125" s="90" t="s">
        <v>286</v>
      </c>
      <c r="B125" s="90" t="s">
        <v>2361</v>
      </c>
      <c r="C125" s="90">
        <v>12860</v>
      </c>
      <c r="D125" s="90">
        <v>12790</v>
      </c>
      <c r="E125" s="90">
        <v>15370</v>
      </c>
      <c r="F125" s="90">
        <v>2280</v>
      </c>
      <c r="G125" s="98">
        <v>8450</v>
      </c>
    </row>
    <row r="126" s="75" customFormat="1" ht="14.25" customHeight="1" spans="1:7">
      <c r="A126" s="99" t="s">
        <v>286</v>
      </c>
      <c r="B126" s="94" t="s">
        <v>2362</v>
      </c>
      <c r="C126" s="94">
        <v>12960</v>
      </c>
      <c r="D126" s="94">
        <v>12890</v>
      </c>
      <c r="E126" s="94">
        <v>15530</v>
      </c>
      <c r="F126" s="94">
        <v>2910</v>
      </c>
      <c r="G126" s="100">
        <v>8520</v>
      </c>
    </row>
    <row r="127" s="75" customFormat="1" ht="14.25" customHeight="1" spans="1:7">
      <c r="A127" s="88" t="s">
        <v>295</v>
      </c>
      <c r="B127" s="89" t="s">
        <v>2363</v>
      </c>
      <c r="C127" s="90">
        <v>12280</v>
      </c>
      <c r="D127" s="90">
        <v>12250</v>
      </c>
      <c r="E127" s="90">
        <v>15130</v>
      </c>
      <c r="F127" s="90">
        <v>2710</v>
      </c>
      <c r="G127" s="90">
        <v>7870</v>
      </c>
    </row>
    <row r="128" s="75" customFormat="1" ht="14.25" customHeight="1" spans="1:7">
      <c r="A128" s="90" t="s">
        <v>295</v>
      </c>
      <c r="B128" s="90" t="s">
        <v>2364</v>
      </c>
      <c r="C128" s="90">
        <v>13180</v>
      </c>
      <c r="D128" s="90">
        <v>13150</v>
      </c>
      <c r="E128" s="90">
        <v>16190</v>
      </c>
      <c r="F128" s="90">
        <v>2820</v>
      </c>
      <c r="G128" s="90">
        <v>8460</v>
      </c>
    </row>
    <row r="129" s="75" customFormat="1" ht="14.25" customHeight="1" spans="1:7">
      <c r="A129" s="90" t="s">
        <v>295</v>
      </c>
      <c r="B129" s="90" t="s">
        <v>2365</v>
      </c>
      <c r="C129" s="90">
        <v>10950</v>
      </c>
      <c r="D129" s="90">
        <v>10920</v>
      </c>
      <c r="E129" s="90">
        <v>13820</v>
      </c>
      <c r="F129" s="90">
        <v>2500</v>
      </c>
      <c r="G129" s="90">
        <v>7020</v>
      </c>
    </row>
    <row r="130" s="75" customFormat="1" ht="14.25" customHeight="1" spans="1:7">
      <c r="A130" s="90" t="s">
        <v>295</v>
      </c>
      <c r="B130" s="90" t="s">
        <v>2366</v>
      </c>
      <c r="C130" s="90">
        <v>10910</v>
      </c>
      <c r="D130" s="90">
        <v>10860</v>
      </c>
      <c r="E130" s="90">
        <v>13730</v>
      </c>
      <c r="F130" s="90">
        <v>2760</v>
      </c>
      <c r="G130" s="90">
        <v>6990</v>
      </c>
    </row>
    <row r="131" s="75" customFormat="1" ht="14.25" customHeight="1" spans="1:7">
      <c r="A131" s="90" t="s">
        <v>295</v>
      </c>
      <c r="B131" s="90" t="s">
        <v>2367</v>
      </c>
      <c r="C131" s="90">
        <v>12910</v>
      </c>
      <c r="D131" s="90">
        <v>12870</v>
      </c>
      <c r="E131" s="90">
        <v>15720</v>
      </c>
      <c r="F131" s="90">
        <v>2750</v>
      </c>
      <c r="G131" s="90">
        <v>8280</v>
      </c>
    </row>
    <row r="132" s="75" customFormat="1" ht="14.25" customHeight="1" spans="1:7">
      <c r="A132" s="90" t="s">
        <v>295</v>
      </c>
      <c r="B132" s="90" t="s">
        <v>2368</v>
      </c>
      <c r="C132" s="90">
        <v>11910</v>
      </c>
      <c r="D132" s="90">
        <v>11860</v>
      </c>
      <c r="E132" s="90">
        <v>14730</v>
      </c>
      <c r="F132" s="90">
        <v>2360</v>
      </c>
      <c r="G132" s="90">
        <v>7630</v>
      </c>
    </row>
    <row r="133" s="75" customFormat="1" ht="14.25" customHeight="1" spans="1:7">
      <c r="A133" s="90" t="s">
        <v>295</v>
      </c>
      <c r="B133" s="90" t="s">
        <v>2369</v>
      </c>
      <c r="C133" s="90">
        <v>12270</v>
      </c>
      <c r="D133" s="90">
        <v>12210</v>
      </c>
      <c r="E133" s="90">
        <v>15010</v>
      </c>
      <c r="F133" s="90">
        <v>2580</v>
      </c>
      <c r="G133" s="90">
        <v>7860</v>
      </c>
    </row>
    <row r="134" s="75" customFormat="1" ht="14.25" customHeight="1" spans="1:7">
      <c r="A134" s="90" t="s">
        <v>295</v>
      </c>
      <c r="B134" s="90" t="s">
        <v>2370</v>
      </c>
      <c r="C134" s="90">
        <v>10800</v>
      </c>
      <c r="D134" s="90">
        <v>10780</v>
      </c>
      <c r="E134" s="90">
        <v>13640</v>
      </c>
      <c r="F134" s="90">
        <v>2110</v>
      </c>
      <c r="G134" s="90">
        <v>6930</v>
      </c>
    </row>
    <row r="135" s="75" customFormat="1" ht="14.25" customHeight="1" spans="1:7">
      <c r="A135" s="90" t="s">
        <v>295</v>
      </c>
      <c r="B135" s="90" t="s">
        <v>2371</v>
      </c>
      <c r="C135" s="90">
        <v>10430</v>
      </c>
      <c r="D135" s="90">
        <v>10390</v>
      </c>
      <c r="E135" s="90">
        <v>13140</v>
      </c>
      <c r="F135" s="90">
        <v>2240</v>
      </c>
      <c r="G135" s="90">
        <v>6680</v>
      </c>
    </row>
    <row r="136" s="75" customFormat="1" ht="14.25" customHeight="1" spans="1:7">
      <c r="A136" s="90" t="s">
        <v>295</v>
      </c>
      <c r="B136" s="90" t="s">
        <v>2372</v>
      </c>
      <c r="C136" s="90">
        <v>11930</v>
      </c>
      <c r="D136" s="90">
        <v>11880</v>
      </c>
      <c r="E136" s="90">
        <v>14770</v>
      </c>
      <c r="F136" s="90">
        <v>1970</v>
      </c>
      <c r="G136" s="90">
        <v>7640</v>
      </c>
    </row>
    <row r="137" s="75" customFormat="1" ht="14.25" customHeight="1" spans="1:7">
      <c r="A137" s="90" t="s">
        <v>295</v>
      </c>
      <c r="B137" s="90" t="s">
        <v>2373</v>
      </c>
      <c r="C137" s="90">
        <v>10470</v>
      </c>
      <c r="D137" s="90">
        <v>10430</v>
      </c>
      <c r="E137" s="90">
        <v>13190</v>
      </c>
      <c r="F137" s="90">
        <v>1990</v>
      </c>
      <c r="G137" s="90">
        <v>6710</v>
      </c>
    </row>
    <row r="138" s="75" customFormat="1" ht="14.25" customHeight="1" spans="1:7">
      <c r="A138" s="90" t="s">
        <v>295</v>
      </c>
      <c r="B138" s="90" t="s">
        <v>2374</v>
      </c>
      <c r="C138" s="90">
        <v>10410</v>
      </c>
      <c r="D138" s="90">
        <v>10380</v>
      </c>
      <c r="E138" s="90">
        <v>13130</v>
      </c>
      <c r="F138" s="90">
        <v>2030</v>
      </c>
      <c r="G138" s="90">
        <v>6680</v>
      </c>
    </row>
    <row r="139" s="75" customFormat="1" ht="14.25" customHeight="1" spans="1:7">
      <c r="A139" s="90" t="s">
        <v>295</v>
      </c>
      <c r="B139" s="90" t="s">
        <v>2375</v>
      </c>
      <c r="C139" s="90">
        <v>9460</v>
      </c>
      <c r="D139" s="90">
        <v>9410</v>
      </c>
      <c r="E139" s="90">
        <v>12050</v>
      </c>
      <c r="F139" s="90">
        <v>2140</v>
      </c>
      <c r="G139" s="90">
        <v>6050</v>
      </c>
    </row>
    <row r="140" s="75" customFormat="1" ht="14.25" customHeight="1" spans="1:7">
      <c r="A140" s="90" t="s">
        <v>295</v>
      </c>
      <c r="B140" s="90" t="s">
        <v>2376</v>
      </c>
      <c r="C140" s="90">
        <v>11030</v>
      </c>
      <c r="D140" s="90">
        <v>10980</v>
      </c>
      <c r="E140" s="90">
        <v>13880</v>
      </c>
      <c r="F140" s="90">
        <v>2210</v>
      </c>
      <c r="G140" s="90">
        <v>7060</v>
      </c>
    </row>
    <row r="141" s="75" customFormat="1" ht="14.25" customHeight="1" spans="1:7">
      <c r="A141" s="90" t="s">
        <v>295</v>
      </c>
      <c r="B141" s="90" t="s">
        <v>2377</v>
      </c>
      <c r="C141" s="90">
        <v>11200</v>
      </c>
      <c r="D141" s="90">
        <v>11150</v>
      </c>
      <c r="E141" s="90">
        <v>14100</v>
      </c>
      <c r="F141" s="90">
        <v>2470</v>
      </c>
      <c r="G141" s="90">
        <v>7170</v>
      </c>
    </row>
    <row r="142" s="75" customFormat="1" ht="14.25" customHeight="1" spans="1:7">
      <c r="A142" s="90" t="s">
        <v>295</v>
      </c>
      <c r="B142" s="90" t="s">
        <v>2378</v>
      </c>
      <c r="C142" s="90">
        <v>10780</v>
      </c>
      <c r="D142" s="90">
        <v>10730</v>
      </c>
      <c r="E142" s="90">
        <v>13540</v>
      </c>
      <c r="F142" s="90">
        <v>2280</v>
      </c>
      <c r="G142" s="90">
        <v>6900</v>
      </c>
    </row>
    <row r="143" s="75" customFormat="1" ht="14.25" customHeight="1" spans="1:7">
      <c r="A143" s="90" t="s">
        <v>295</v>
      </c>
      <c r="B143" s="90" t="s">
        <v>2379</v>
      </c>
      <c r="C143" s="90">
        <v>11550</v>
      </c>
      <c r="D143" s="90">
        <v>11490</v>
      </c>
      <c r="E143" s="90">
        <v>14480</v>
      </c>
      <c r="F143" s="90">
        <v>2070</v>
      </c>
      <c r="G143" s="90">
        <v>7390</v>
      </c>
    </row>
    <row r="144" s="75" customFormat="1" ht="14.25" customHeight="1" spans="1:7">
      <c r="A144" s="90" t="s">
        <v>295</v>
      </c>
      <c r="B144" s="90" t="s">
        <v>2380</v>
      </c>
      <c r="C144" s="90">
        <v>10720</v>
      </c>
      <c r="D144" s="90">
        <v>10680</v>
      </c>
      <c r="E144" s="90">
        <v>13480</v>
      </c>
      <c r="F144" s="90">
        <v>2440</v>
      </c>
      <c r="G144" s="90">
        <v>6870</v>
      </c>
    </row>
    <row r="145" s="75" customFormat="1" ht="14.25" customHeight="1" spans="1:7">
      <c r="A145" s="90" t="s">
        <v>295</v>
      </c>
      <c r="B145" s="90" t="s">
        <v>2381</v>
      </c>
      <c r="C145" s="90">
        <v>10340</v>
      </c>
      <c r="D145" s="90">
        <v>10290</v>
      </c>
      <c r="E145" s="90">
        <v>12880</v>
      </c>
      <c r="F145" s="90">
        <v>2650</v>
      </c>
      <c r="G145" s="90">
        <v>6620</v>
      </c>
    </row>
    <row r="146" s="75" customFormat="1" ht="14.25" customHeight="1" spans="1:7">
      <c r="A146" s="90" t="s">
        <v>295</v>
      </c>
      <c r="B146" s="90" t="s">
        <v>2382</v>
      </c>
      <c r="C146" s="90">
        <v>11890</v>
      </c>
      <c r="D146" s="90">
        <v>11830</v>
      </c>
      <c r="E146" s="90">
        <v>14670</v>
      </c>
      <c r="F146" s="90"/>
      <c r="G146" s="90">
        <v>7610</v>
      </c>
    </row>
    <row r="147" s="75" customFormat="1" ht="14.25" customHeight="1" spans="1:7">
      <c r="A147" s="90" t="s">
        <v>295</v>
      </c>
      <c r="B147" s="90" t="s">
        <v>2383</v>
      </c>
      <c r="C147" s="90">
        <v>12650</v>
      </c>
      <c r="D147" s="90">
        <v>12600</v>
      </c>
      <c r="E147" s="90">
        <v>15440</v>
      </c>
      <c r="F147" s="90"/>
      <c r="G147" s="90">
        <v>8110</v>
      </c>
    </row>
    <row r="148" s="75" customFormat="1" ht="14.25" customHeight="1" spans="1:7">
      <c r="A148" s="90" t="s">
        <v>295</v>
      </c>
      <c r="B148" s="90" t="s">
        <v>2384</v>
      </c>
      <c r="C148" s="90">
        <v>10370</v>
      </c>
      <c r="D148" s="90">
        <v>10310</v>
      </c>
      <c r="E148" s="90">
        <v>12970</v>
      </c>
      <c r="F148" s="90"/>
      <c r="G148" s="90">
        <v>6630</v>
      </c>
    </row>
    <row r="149" s="75" customFormat="1" ht="14.25" customHeight="1" spans="1:7">
      <c r="A149" s="90" t="s">
        <v>295</v>
      </c>
      <c r="B149" s="90" t="s">
        <v>2385</v>
      </c>
      <c r="C149" s="90">
        <v>11600</v>
      </c>
      <c r="D149" s="90">
        <v>11560</v>
      </c>
      <c r="E149" s="90">
        <v>14540</v>
      </c>
      <c r="F149" s="90">
        <v>2390</v>
      </c>
      <c r="G149" s="90">
        <v>7430</v>
      </c>
    </row>
    <row r="150" s="75" customFormat="1" ht="14.25" customHeight="1" spans="1:7">
      <c r="A150" s="90" t="s">
        <v>295</v>
      </c>
      <c r="B150" s="90" t="s">
        <v>2386</v>
      </c>
      <c r="C150" s="90">
        <v>9950</v>
      </c>
      <c r="D150" s="90">
        <v>9890</v>
      </c>
      <c r="E150" s="90">
        <v>12590</v>
      </c>
      <c r="F150" s="90">
        <v>1970</v>
      </c>
      <c r="G150" s="90">
        <v>6360</v>
      </c>
    </row>
    <row r="151" s="75" customFormat="1" ht="14.25" customHeight="1" spans="1:7">
      <c r="A151" s="90" t="s">
        <v>295</v>
      </c>
      <c r="B151" s="90" t="s">
        <v>2387</v>
      </c>
      <c r="C151" s="90">
        <v>10700</v>
      </c>
      <c r="D151" s="90">
        <v>10650</v>
      </c>
      <c r="E151" s="90">
        <v>13420</v>
      </c>
      <c r="F151" s="90">
        <v>2020</v>
      </c>
      <c r="G151" s="90">
        <v>6850</v>
      </c>
    </row>
    <row r="152" s="75" customFormat="1" ht="14.25" customHeight="1" spans="1:7">
      <c r="A152" s="90" t="s">
        <v>295</v>
      </c>
      <c r="B152" s="90" t="s">
        <v>2388</v>
      </c>
      <c r="C152" s="90">
        <v>10310</v>
      </c>
      <c r="D152" s="90">
        <v>10260</v>
      </c>
      <c r="E152" s="90">
        <v>12820</v>
      </c>
      <c r="F152" s="90">
        <v>1980</v>
      </c>
      <c r="G152" s="90">
        <v>6600</v>
      </c>
    </row>
    <row r="153" s="75" customFormat="1" ht="14.25" customHeight="1" spans="1:7">
      <c r="A153" s="90" t="s">
        <v>295</v>
      </c>
      <c r="B153" s="90" t="s">
        <v>2389</v>
      </c>
      <c r="C153" s="90">
        <v>10880</v>
      </c>
      <c r="D153" s="90">
        <v>10820</v>
      </c>
      <c r="E153" s="90">
        <v>13660</v>
      </c>
      <c r="F153" s="90">
        <v>2260</v>
      </c>
      <c r="G153" s="90">
        <v>6970</v>
      </c>
    </row>
    <row r="154" s="75" customFormat="1" ht="14.25" customHeight="1" spans="1:7">
      <c r="A154" s="90" t="s">
        <v>295</v>
      </c>
      <c r="B154" s="90" t="s">
        <v>2390</v>
      </c>
      <c r="C154" s="90">
        <v>11220</v>
      </c>
      <c r="D154" s="90">
        <v>11160</v>
      </c>
      <c r="E154" s="90">
        <v>14130</v>
      </c>
      <c r="F154" s="90">
        <v>2230</v>
      </c>
      <c r="G154" s="90">
        <v>7180</v>
      </c>
    </row>
    <row r="155" s="75" customFormat="1" ht="14.25" customHeight="1" spans="1:7">
      <c r="A155" s="90" t="s">
        <v>295</v>
      </c>
      <c r="B155" s="90" t="s">
        <v>2391</v>
      </c>
      <c r="C155" s="90">
        <v>10430</v>
      </c>
      <c r="D155" s="90">
        <v>10380</v>
      </c>
      <c r="E155" s="90">
        <v>13140</v>
      </c>
      <c r="F155" s="90">
        <v>2080</v>
      </c>
      <c r="G155" s="90">
        <v>6650</v>
      </c>
    </row>
    <row r="156" s="75" customFormat="1" ht="14.25" customHeight="1" spans="1:7">
      <c r="A156" s="90" t="s">
        <v>295</v>
      </c>
      <c r="B156" s="90" t="s">
        <v>2392</v>
      </c>
      <c r="C156" s="90">
        <v>10440</v>
      </c>
      <c r="D156" s="90">
        <v>10400</v>
      </c>
      <c r="E156" s="90">
        <v>13150</v>
      </c>
      <c r="F156" s="90">
        <v>2490</v>
      </c>
      <c r="G156" s="90">
        <v>6690</v>
      </c>
    </row>
    <row r="157" s="75" customFormat="1" ht="14.25" customHeight="1" spans="1:7">
      <c r="A157" s="90" t="s">
        <v>295</v>
      </c>
      <c r="B157" s="90" t="s">
        <v>2393</v>
      </c>
      <c r="C157" s="90">
        <v>10970</v>
      </c>
      <c r="D157" s="90">
        <v>10920</v>
      </c>
      <c r="E157" s="90">
        <v>13840</v>
      </c>
      <c r="F157" s="90">
        <v>2420</v>
      </c>
      <c r="G157" s="90">
        <v>7020</v>
      </c>
    </row>
    <row r="158" s="75" customFormat="1" ht="14.25" customHeight="1" spans="1:7">
      <c r="A158" s="90" t="s">
        <v>295</v>
      </c>
      <c r="B158" s="90" t="s">
        <v>2394</v>
      </c>
      <c r="C158" s="90">
        <v>9590</v>
      </c>
      <c r="D158" s="90">
        <v>9540</v>
      </c>
      <c r="E158" s="90">
        <v>12210</v>
      </c>
      <c r="F158" s="90">
        <v>2100</v>
      </c>
      <c r="G158" s="90">
        <v>6130</v>
      </c>
    </row>
    <row r="159" s="75" customFormat="1" ht="14.25" customHeight="1" spans="1:7">
      <c r="A159" s="90" t="s">
        <v>295</v>
      </c>
      <c r="B159" s="90" t="s">
        <v>2395</v>
      </c>
      <c r="C159" s="90">
        <v>11190</v>
      </c>
      <c r="D159" s="90">
        <v>11140</v>
      </c>
      <c r="E159" s="90">
        <v>14090</v>
      </c>
      <c r="F159" s="90">
        <v>2470</v>
      </c>
      <c r="G159" s="90">
        <v>7170</v>
      </c>
    </row>
    <row r="160" s="75" customFormat="1" ht="14.25" customHeight="1" spans="1:7">
      <c r="A160" s="90" t="s">
        <v>295</v>
      </c>
      <c r="B160" s="90" t="s">
        <v>2396</v>
      </c>
      <c r="C160" s="90">
        <v>11180</v>
      </c>
      <c r="D160" s="90">
        <v>11140</v>
      </c>
      <c r="E160" s="90">
        <v>14050</v>
      </c>
      <c r="F160" s="90">
        <v>2270</v>
      </c>
      <c r="G160" s="90">
        <v>7170</v>
      </c>
    </row>
    <row r="161" s="75" customFormat="1" ht="14.25" customHeight="1" spans="1:7">
      <c r="A161" s="90" t="s">
        <v>295</v>
      </c>
      <c r="B161" s="90" t="s">
        <v>2397</v>
      </c>
      <c r="C161" s="90">
        <v>11160</v>
      </c>
      <c r="D161" s="90">
        <v>11120</v>
      </c>
      <c r="E161" s="90">
        <v>14020</v>
      </c>
      <c r="F161" s="90">
        <v>2150</v>
      </c>
      <c r="G161" s="90">
        <v>7160</v>
      </c>
    </row>
    <row r="162" s="75" customFormat="1" ht="14.25" customHeight="1" spans="1:7">
      <c r="A162" s="90" t="s">
        <v>295</v>
      </c>
      <c r="B162" s="90" t="s">
        <v>2398</v>
      </c>
      <c r="C162" s="90">
        <v>9620</v>
      </c>
      <c r="D162" s="90">
        <v>9570</v>
      </c>
      <c r="E162" s="90">
        <v>12320</v>
      </c>
      <c r="F162" s="90">
        <v>2010</v>
      </c>
      <c r="G162" s="90">
        <v>6160</v>
      </c>
    </row>
    <row r="163" s="75" customFormat="1" ht="14.25" customHeight="1" spans="1:7">
      <c r="A163" s="90" t="s">
        <v>295</v>
      </c>
      <c r="B163" s="90" t="s">
        <v>2399</v>
      </c>
      <c r="C163" s="90">
        <v>9320</v>
      </c>
      <c r="D163" s="90">
        <v>9270</v>
      </c>
      <c r="E163" s="90">
        <v>11790</v>
      </c>
      <c r="F163" s="90">
        <v>1920</v>
      </c>
      <c r="G163" s="90">
        <v>5960</v>
      </c>
    </row>
    <row r="164" s="75" customFormat="1" ht="14.25" customHeight="1" spans="1:7">
      <c r="A164" s="90" t="s">
        <v>295</v>
      </c>
      <c r="B164" s="90" t="s">
        <v>2400</v>
      </c>
      <c r="C164" s="90"/>
      <c r="D164" s="90"/>
      <c r="E164" s="90"/>
      <c r="F164" s="90">
        <v>1980</v>
      </c>
      <c r="G164" s="90"/>
    </row>
    <row r="165" s="75" customFormat="1" ht="14.25" customHeight="1" spans="1:7">
      <c r="A165" s="90" t="s">
        <v>295</v>
      </c>
      <c r="B165" s="90" t="s">
        <v>2401</v>
      </c>
      <c r="C165" s="90">
        <v>11060</v>
      </c>
      <c r="D165" s="90">
        <v>11030</v>
      </c>
      <c r="E165" s="90">
        <v>13850</v>
      </c>
      <c r="F165" s="90">
        <v>2170</v>
      </c>
      <c r="G165" s="90">
        <v>7090</v>
      </c>
    </row>
    <row r="166" s="75" customFormat="1" ht="14.25" customHeight="1" spans="1:7">
      <c r="A166" s="90" t="s">
        <v>295</v>
      </c>
      <c r="B166" s="90" t="s">
        <v>2402</v>
      </c>
      <c r="C166" s="90">
        <v>11050</v>
      </c>
      <c r="D166" s="90">
        <v>11010</v>
      </c>
      <c r="E166" s="90">
        <v>13920</v>
      </c>
      <c r="F166" s="90">
        <v>2140</v>
      </c>
      <c r="G166" s="90">
        <v>7080</v>
      </c>
    </row>
    <row r="167" s="75" customFormat="1" ht="14.25" customHeight="1" spans="1:7">
      <c r="A167" s="90" t="s">
        <v>295</v>
      </c>
      <c r="B167" s="90" t="s">
        <v>2403</v>
      </c>
      <c r="C167" s="90">
        <v>10930</v>
      </c>
      <c r="D167" s="90">
        <v>10890</v>
      </c>
      <c r="E167" s="90">
        <v>13790</v>
      </c>
      <c r="F167" s="90">
        <v>2010</v>
      </c>
      <c r="G167" s="90">
        <v>7000</v>
      </c>
    </row>
    <row r="168" s="75" customFormat="1" ht="14.25" customHeight="1" spans="1:7">
      <c r="A168" s="90" t="s">
        <v>295</v>
      </c>
      <c r="B168" s="90" t="s">
        <v>2404</v>
      </c>
      <c r="C168" s="90">
        <v>9420</v>
      </c>
      <c r="D168" s="90">
        <v>9380</v>
      </c>
      <c r="E168" s="90">
        <v>11970</v>
      </c>
      <c r="F168" s="90"/>
      <c r="G168" s="90">
        <v>6040</v>
      </c>
    </row>
    <row r="169" s="75" customFormat="1" ht="14.25" customHeight="1" spans="1:7">
      <c r="A169" s="90" t="s">
        <v>295</v>
      </c>
      <c r="B169" s="90" t="s">
        <v>2405</v>
      </c>
      <c r="C169" s="90"/>
      <c r="D169" s="90"/>
      <c r="E169" s="90"/>
      <c r="F169" s="90">
        <v>2880</v>
      </c>
      <c r="G169" s="90"/>
    </row>
    <row r="170" s="75" customFormat="1" ht="14.25" customHeight="1" spans="1:7">
      <c r="A170" s="90" t="s">
        <v>295</v>
      </c>
      <c r="B170" s="90" t="s">
        <v>2406</v>
      </c>
      <c r="C170" s="90"/>
      <c r="D170" s="90"/>
      <c r="E170" s="90"/>
      <c r="F170" s="90">
        <v>2880</v>
      </c>
      <c r="G170" s="90"/>
    </row>
    <row r="171" s="75" customFormat="1" ht="14.25" customHeight="1" spans="1:7">
      <c r="A171" s="90" t="s">
        <v>295</v>
      </c>
      <c r="B171" s="90" t="s">
        <v>2407</v>
      </c>
      <c r="C171" s="90"/>
      <c r="D171" s="90"/>
      <c r="E171" s="90"/>
      <c r="F171" s="90">
        <v>2880</v>
      </c>
      <c r="G171" s="90"/>
    </row>
    <row r="172" s="75" customFormat="1" ht="14.25" customHeight="1" spans="1:7">
      <c r="A172" s="90" t="s">
        <v>295</v>
      </c>
      <c r="B172" s="90" t="s">
        <v>2408</v>
      </c>
      <c r="C172" s="90"/>
      <c r="D172" s="90"/>
      <c r="E172" s="90"/>
      <c r="F172" s="90">
        <v>2880</v>
      </c>
      <c r="G172" s="90"/>
    </row>
    <row r="173" s="75" customFormat="1" ht="14.25" customHeight="1" spans="1:7">
      <c r="A173" s="90" t="s">
        <v>295</v>
      </c>
      <c r="B173" s="90" t="s">
        <v>2409</v>
      </c>
      <c r="C173" s="90"/>
      <c r="D173" s="90"/>
      <c r="E173" s="90"/>
      <c r="F173" s="90">
        <v>2150</v>
      </c>
      <c r="G173" s="90"/>
    </row>
    <row r="174" s="75" customFormat="1" ht="14.25" customHeight="1" spans="1:7">
      <c r="A174" s="90" t="s">
        <v>295</v>
      </c>
      <c r="B174" s="90" t="s">
        <v>2410</v>
      </c>
      <c r="C174" s="90"/>
      <c r="D174" s="90"/>
      <c r="E174" s="90"/>
      <c r="F174" s="90">
        <v>2030</v>
      </c>
      <c r="G174" s="90"/>
    </row>
    <row r="175" s="75" customFormat="1" ht="14.25" customHeight="1" spans="1:7">
      <c r="A175" s="90" t="s">
        <v>295</v>
      </c>
      <c r="B175" s="90" t="s">
        <v>2411</v>
      </c>
      <c r="C175" s="90"/>
      <c r="D175" s="90"/>
      <c r="E175" s="90"/>
      <c r="F175" s="90">
        <v>2780</v>
      </c>
      <c r="G175" s="90"/>
    </row>
    <row r="176" s="75" customFormat="1" ht="14.25" customHeight="1" spans="1:7">
      <c r="A176" s="90" t="s">
        <v>295</v>
      </c>
      <c r="B176" s="90" t="s">
        <v>2412</v>
      </c>
      <c r="C176" s="90"/>
      <c r="D176" s="90"/>
      <c r="E176" s="90"/>
      <c r="F176" s="90">
        <v>2780</v>
      </c>
      <c r="G176" s="90"/>
    </row>
    <row r="177" s="75" customFormat="1" ht="14.25" customHeight="1" spans="1:7">
      <c r="A177" s="90" t="s">
        <v>295</v>
      </c>
      <c r="B177" s="90" t="s">
        <v>2413</v>
      </c>
      <c r="C177" s="90"/>
      <c r="D177" s="90"/>
      <c r="E177" s="90"/>
      <c r="F177" s="90">
        <v>2780</v>
      </c>
      <c r="G177" s="90"/>
    </row>
    <row r="178" s="75" customFormat="1" ht="14.25" customHeight="1" spans="1:7">
      <c r="A178" s="90" t="s">
        <v>295</v>
      </c>
      <c r="B178" s="90" t="s">
        <v>2414</v>
      </c>
      <c r="C178" s="90"/>
      <c r="D178" s="90"/>
      <c r="E178" s="90"/>
      <c r="F178" s="90">
        <v>2060</v>
      </c>
      <c r="G178" s="90"/>
    </row>
    <row r="179" s="75" customFormat="1" ht="14.25" customHeight="1" spans="1:7">
      <c r="A179" s="90" t="s">
        <v>295</v>
      </c>
      <c r="B179" s="90" t="s">
        <v>2415</v>
      </c>
      <c r="C179" s="90"/>
      <c r="D179" s="90"/>
      <c r="E179" s="90"/>
      <c r="F179" s="90">
        <v>2120</v>
      </c>
      <c r="G179" s="90"/>
    </row>
    <row r="180" s="75" customFormat="1" ht="14.25" customHeight="1" spans="1:7">
      <c r="A180" s="90" t="s">
        <v>295</v>
      </c>
      <c r="B180" s="90" t="s">
        <v>2416</v>
      </c>
      <c r="C180" s="90"/>
      <c r="D180" s="90"/>
      <c r="E180" s="90"/>
      <c r="F180" s="90">
        <v>2340</v>
      </c>
      <c r="G180" s="90"/>
    </row>
    <row r="181" s="75" customFormat="1" ht="14.25" customHeight="1" spans="1:7">
      <c r="A181" s="90" t="s">
        <v>295</v>
      </c>
      <c r="B181" s="90" t="s">
        <v>2417</v>
      </c>
      <c r="C181" s="90"/>
      <c r="D181" s="90"/>
      <c r="E181" s="90"/>
      <c r="F181" s="90">
        <v>2340</v>
      </c>
      <c r="G181" s="90"/>
    </row>
    <row r="182" s="75" customFormat="1" ht="14.25" customHeight="1" spans="1:7">
      <c r="A182" s="90" t="s">
        <v>295</v>
      </c>
      <c r="B182" s="90" t="s">
        <v>2418</v>
      </c>
      <c r="C182" s="90"/>
      <c r="D182" s="90"/>
      <c r="E182" s="90"/>
      <c r="F182" s="90">
        <v>2340</v>
      </c>
      <c r="G182" s="90"/>
    </row>
    <row r="183" s="75" customFormat="1" ht="14.25" customHeight="1" spans="1:7">
      <c r="A183" s="90" t="s">
        <v>295</v>
      </c>
      <c r="B183" s="90" t="s">
        <v>2419</v>
      </c>
      <c r="C183" s="90"/>
      <c r="D183" s="90"/>
      <c r="E183" s="90"/>
      <c r="F183" s="90">
        <v>2340</v>
      </c>
      <c r="G183" s="90"/>
    </row>
    <row r="184" s="75" customFormat="1" ht="14.25" customHeight="1" spans="1:7">
      <c r="A184" s="90" t="s">
        <v>295</v>
      </c>
      <c r="B184" s="90" t="s">
        <v>2420</v>
      </c>
      <c r="C184" s="90"/>
      <c r="D184" s="90"/>
      <c r="E184" s="90"/>
      <c r="F184" s="90">
        <v>2340</v>
      </c>
      <c r="G184" s="90"/>
    </row>
    <row r="185" s="75" customFormat="1" ht="14.25" customHeight="1" spans="1:7">
      <c r="A185" s="90" t="s">
        <v>295</v>
      </c>
      <c r="B185" s="90" t="s">
        <v>2421</v>
      </c>
      <c r="C185" s="90"/>
      <c r="D185" s="90"/>
      <c r="E185" s="90"/>
      <c r="F185" s="90">
        <v>2530</v>
      </c>
      <c r="G185" s="90"/>
    </row>
    <row r="186" s="75" customFormat="1" ht="14.25" customHeight="1" spans="1:7">
      <c r="A186" s="90" t="s">
        <v>295</v>
      </c>
      <c r="B186" s="90" t="s">
        <v>2422</v>
      </c>
      <c r="C186" s="90"/>
      <c r="D186" s="90"/>
      <c r="E186" s="90"/>
      <c r="F186" s="90">
        <v>2550</v>
      </c>
      <c r="G186" s="90"/>
    </row>
    <row r="187" s="75" customFormat="1" ht="14.25" customHeight="1" spans="1:7">
      <c r="A187" s="90" t="s">
        <v>295</v>
      </c>
      <c r="B187" s="90" t="s">
        <v>2423</v>
      </c>
      <c r="C187" s="90"/>
      <c r="D187" s="90"/>
      <c r="E187" s="90"/>
      <c r="F187" s="90">
        <v>2070</v>
      </c>
      <c r="G187" s="90"/>
    </row>
    <row r="188" s="75" customFormat="1" ht="14.25" customHeight="1" spans="1:7">
      <c r="A188" s="90" t="s">
        <v>295</v>
      </c>
      <c r="B188" s="90" t="s">
        <v>2424</v>
      </c>
      <c r="C188" s="90"/>
      <c r="D188" s="90"/>
      <c r="E188" s="90"/>
      <c r="F188" s="90">
        <v>2340</v>
      </c>
      <c r="G188" s="90"/>
    </row>
    <row r="189" s="75" customFormat="1" ht="14.25" customHeight="1" spans="1:7">
      <c r="A189" s="92" t="s">
        <v>295</v>
      </c>
      <c r="B189" s="96" t="s">
        <v>2425</v>
      </c>
      <c r="C189" s="96"/>
      <c r="D189" s="96"/>
      <c r="E189" s="96"/>
      <c r="F189" s="96">
        <v>2050</v>
      </c>
      <c r="G189" s="96"/>
    </row>
    <row r="190" s="75" customFormat="1" ht="14.25" customHeight="1" spans="1:7">
      <c r="A190" s="88" t="s">
        <v>303</v>
      </c>
      <c r="B190" s="89" t="s">
        <v>2426</v>
      </c>
      <c r="C190" s="89">
        <v>8830</v>
      </c>
      <c r="D190" s="89">
        <v>8790</v>
      </c>
      <c r="E190" s="89">
        <v>11630</v>
      </c>
      <c r="F190" s="89">
        <v>1790</v>
      </c>
      <c r="G190" s="97">
        <v>5550</v>
      </c>
    </row>
    <row r="191" s="75" customFormat="1" ht="14.25" customHeight="1" spans="1:7">
      <c r="A191" s="90" t="s">
        <v>303</v>
      </c>
      <c r="B191" s="90" t="s">
        <v>2427</v>
      </c>
      <c r="C191" s="90">
        <v>9780</v>
      </c>
      <c r="D191" s="90">
        <v>9710</v>
      </c>
      <c r="E191" s="90">
        <v>12550</v>
      </c>
      <c r="F191" s="90">
        <v>1980</v>
      </c>
      <c r="G191" s="98">
        <v>6130</v>
      </c>
    </row>
    <row r="192" s="75" customFormat="1" ht="14.25" customHeight="1" spans="1:7">
      <c r="A192" s="90" t="s">
        <v>303</v>
      </c>
      <c r="B192" s="90" t="s">
        <v>2428</v>
      </c>
      <c r="C192" s="90">
        <v>8180</v>
      </c>
      <c r="D192" s="90">
        <v>8140</v>
      </c>
      <c r="E192" s="90">
        <v>10870</v>
      </c>
      <c r="F192" s="90">
        <v>1690</v>
      </c>
      <c r="G192" s="98">
        <v>5140</v>
      </c>
    </row>
    <row r="193" s="75" customFormat="1" ht="14.25" customHeight="1" spans="1:7">
      <c r="A193" s="90" t="s">
        <v>303</v>
      </c>
      <c r="B193" s="90" t="s">
        <v>2429</v>
      </c>
      <c r="C193" s="90">
        <v>8440</v>
      </c>
      <c r="D193" s="90">
        <v>8390</v>
      </c>
      <c r="E193" s="90">
        <v>11210</v>
      </c>
      <c r="F193" s="90">
        <v>1600</v>
      </c>
      <c r="G193" s="98">
        <v>5300</v>
      </c>
    </row>
    <row r="194" s="75" customFormat="1" ht="14.25" customHeight="1" spans="1:7">
      <c r="A194" s="90" t="s">
        <v>303</v>
      </c>
      <c r="B194" s="90" t="s">
        <v>2430</v>
      </c>
      <c r="C194" s="90">
        <v>8780</v>
      </c>
      <c r="D194" s="90">
        <v>8730</v>
      </c>
      <c r="E194" s="90">
        <v>11550</v>
      </c>
      <c r="F194" s="90">
        <v>1660</v>
      </c>
      <c r="G194" s="98">
        <v>5520</v>
      </c>
    </row>
    <row r="195" s="75" customFormat="1" ht="14.25" customHeight="1" spans="1:7">
      <c r="A195" s="90" t="s">
        <v>303</v>
      </c>
      <c r="B195" s="90" t="s">
        <v>2431</v>
      </c>
      <c r="C195" s="90">
        <v>8720</v>
      </c>
      <c r="D195" s="90">
        <v>8670</v>
      </c>
      <c r="E195" s="90">
        <v>11450</v>
      </c>
      <c r="F195" s="90">
        <v>1720</v>
      </c>
      <c r="G195" s="98">
        <v>5480</v>
      </c>
    </row>
    <row r="196" s="75" customFormat="1" ht="14.25" customHeight="1" spans="1:7">
      <c r="A196" s="90" t="s">
        <v>303</v>
      </c>
      <c r="B196" s="90" t="s">
        <v>2432</v>
      </c>
      <c r="C196" s="90">
        <v>8460</v>
      </c>
      <c r="D196" s="90">
        <v>8410</v>
      </c>
      <c r="E196" s="90">
        <v>11230</v>
      </c>
      <c r="F196" s="90">
        <v>1730</v>
      </c>
      <c r="G196" s="98">
        <v>5310</v>
      </c>
    </row>
    <row r="197" s="75" customFormat="1" ht="14.25" customHeight="1" spans="1:7">
      <c r="A197" s="90" t="s">
        <v>303</v>
      </c>
      <c r="B197" s="90" t="s">
        <v>2433</v>
      </c>
      <c r="C197" s="90">
        <v>8790</v>
      </c>
      <c r="D197" s="90">
        <v>8730</v>
      </c>
      <c r="E197" s="90">
        <v>11560</v>
      </c>
      <c r="F197" s="90">
        <v>1750</v>
      </c>
      <c r="G197" s="98">
        <v>5520</v>
      </c>
    </row>
    <row r="198" s="75" customFormat="1" ht="14.25" customHeight="1" spans="1:7">
      <c r="A198" s="90" t="s">
        <v>303</v>
      </c>
      <c r="B198" s="90" t="s">
        <v>2434</v>
      </c>
      <c r="C198" s="90">
        <v>8720</v>
      </c>
      <c r="D198" s="90">
        <v>8680</v>
      </c>
      <c r="E198" s="90">
        <v>11470</v>
      </c>
      <c r="F198" s="90"/>
      <c r="G198" s="98">
        <v>5480</v>
      </c>
    </row>
    <row r="199" s="75" customFormat="1" ht="14.25" customHeight="1" spans="1:7">
      <c r="A199" s="90" t="s">
        <v>303</v>
      </c>
      <c r="B199" s="90" t="s">
        <v>2435</v>
      </c>
      <c r="C199" s="90">
        <v>8690</v>
      </c>
      <c r="D199" s="90">
        <v>8630</v>
      </c>
      <c r="E199" s="90">
        <v>11350</v>
      </c>
      <c r="F199" s="90">
        <v>1600</v>
      </c>
      <c r="G199" s="98">
        <v>5450</v>
      </c>
    </row>
    <row r="200" s="75" customFormat="1" ht="14.25" customHeight="1" spans="1:7">
      <c r="A200" s="90" t="s">
        <v>303</v>
      </c>
      <c r="B200" s="90" t="s">
        <v>2436</v>
      </c>
      <c r="C200" s="90"/>
      <c r="D200" s="90"/>
      <c r="E200" s="90"/>
      <c r="F200" s="90">
        <v>1510</v>
      </c>
      <c r="G200" s="98"/>
    </row>
    <row r="201" s="75" customFormat="1" ht="14.25" customHeight="1" spans="1:7">
      <c r="A201" s="90" t="s">
        <v>303</v>
      </c>
      <c r="B201" s="90" t="s">
        <v>2437</v>
      </c>
      <c r="C201" s="90">
        <v>8440</v>
      </c>
      <c r="D201" s="90">
        <v>8390</v>
      </c>
      <c r="E201" s="90">
        <v>10930</v>
      </c>
      <c r="F201" s="90">
        <v>1500</v>
      </c>
      <c r="G201" s="98">
        <v>5300</v>
      </c>
    </row>
    <row r="202" s="75" customFormat="1" ht="14.25" customHeight="1" spans="1:7">
      <c r="A202" s="90" t="s">
        <v>303</v>
      </c>
      <c r="B202" s="90" t="s">
        <v>2438</v>
      </c>
      <c r="C202" s="90">
        <v>8530</v>
      </c>
      <c r="D202" s="90">
        <v>8490</v>
      </c>
      <c r="E202" s="90">
        <v>11160</v>
      </c>
      <c r="F202" s="90">
        <v>1580</v>
      </c>
      <c r="G202" s="98">
        <v>5360</v>
      </c>
    </row>
    <row r="203" s="75" customFormat="1" ht="14.25" customHeight="1" spans="1:7">
      <c r="A203" s="90" t="s">
        <v>303</v>
      </c>
      <c r="B203" s="90" t="s">
        <v>2439</v>
      </c>
      <c r="C203" s="90">
        <v>8130</v>
      </c>
      <c r="D203" s="90">
        <v>8070</v>
      </c>
      <c r="E203" s="90">
        <v>10820</v>
      </c>
      <c r="F203" s="90">
        <v>1690</v>
      </c>
      <c r="G203" s="98">
        <v>5100</v>
      </c>
    </row>
    <row r="204" s="75" customFormat="1" ht="14.25" customHeight="1" spans="1:7">
      <c r="A204" s="90" t="s">
        <v>303</v>
      </c>
      <c r="B204" s="90" t="s">
        <v>2440</v>
      </c>
      <c r="C204" s="90">
        <v>8350</v>
      </c>
      <c r="D204" s="90">
        <v>8290</v>
      </c>
      <c r="E204" s="90">
        <v>11080</v>
      </c>
      <c r="F204" s="90">
        <v>1450</v>
      </c>
      <c r="G204" s="98">
        <v>5240</v>
      </c>
    </row>
    <row r="205" s="75" customFormat="1" ht="14.25" customHeight="1" spans="1:7">
      <c r="A205" s="90" t="s">
        <v>303</v>
      </c>
      <c r="B205" s="90" t="s">
        <v>2441</v>
      </c>
      <c r="C205" s="90">
        <v>7190</v>
      </c>
      <c r="D205" s="90">
        <v>7130</v>
      </c>
      <c r="E205" s="90">
        <v>9490</v>
      </c>
      <c r="F205" s="90">
        <v>1470</v>
      </c>
      <c r="G205" s="98">
        <v>4510</v>
      </c>
    </row>
    <row r="206" s="75" customFormat="1" ht="14.25" customHeight="1" spans="1:7">
      <c r="A206" s="90" t="s">
        <v>303</v>
      </c>
      <c r="B206" s="90" t="s">
        <v>2442</v>
      </c>
      <c r="C206" s="90">
        <v>7000</v>
      </c>
      <c r="D206" s="90">
        <v>6950</v>
      </c>
      <c r="E206" s="90">
        <v>9170</v>
      </c>
      <c r="F206" s="90">
        <v>1400</v>
      </c>
      <c r="G206" s="98">
        <v>4380</v>
      </c>
    </row>
    <row r="207" s="75" customFormat="1" ht="14.25" customHeight="1" spans="1:7">
      <c r="A207" s="90" t="s">
        <v>303</v>
      </c>
      <c r="B207" s="90" t="s">
        <v>2443</v>
      </c>
      <c r="C207" s="90">
        <v>6950</v>
      </c>
      <c r="D207" s="90">
        <v>6900</v>
      </c>
      <c r="E207" s="90">
        <v>9110</v>
      </c>
      <c r="F207" s="90">
        <v>1790</v>
      </c>
      <c r="G207" s="98">
        <v>4360</v>
      </c>
    </row>
    <row r="208" s="75" customFormat="1" ht="14.25" customHeight="1" spans="1:7">
      <c r="A208" s="90" t="s">
        <v>303</v>
      </c>
      <c r="B208" s="90" t="s">
        <v>2444</v>
      </c>
      <c r="C208" s="90">
        <v>9470</v>
      </c>
      <c r="D208" s="90">
        <v>9410</v>
      </c>
      <c r="E208" s="90">
        <v>12330</v>
      </c>
      <c r="F208" s="90">
        <v>1770</v>
      </c>
      <c r="G208" s="98">
        <v>5940</v>
      </c>
    </row>
    <row r="209" s="75" customFormat="1" ht="14.25" customHeight="1" spans="1:7">
      <c r="A209" s="90" t="s">
        <v>303</v>
      </c>
      <c r="B209" s="90" t="s">
        <v>2445</v>
      </c>
      <c r="C209" s="90">
        <v>8740</v>
      </c>
      <c r="D209" s="90">
        <v>8700</v>
      </c>
      <c r="E209" s="90">
        <v>11500</v>
      </c>
      <c r="F209" s="90">
        <v>1730</v>
      </c>
      <c r="G209" s="98">
        <v>5490</v>
      </c>
    </row>
    <row r="210" s="75" customFormat="1" ht="14.25" customHeight="1" spans="1:7">
      <c r="A210" s="90" t="s">
        <v>303</v>
      </c>
      <c r="B210" s="90" t="s">
        <v>2446</v>
      </c>
      <c r="C210" s="90">
        <v>8710</v>
      </c>
      <c r="D210" s="90">
        <v>8660</v>
      </c>
      <c r="E210" s="90">
        <v>11440</v>
      </c>
      <c r="F210" s="90">
        <v>1740</v>
      </c>
      <c r="G210" s="98">
        <v>5470</v>
      </c>
    </row>
    <row r="211" s="75" customFormat="1" ht="14.25" customHeight="1" spans="1:7">
      <c r="A211" s="90" t="s">
        <v>303</v>
      </c>
      <c r="B211" s="90" t="s">
        <v>2447</v>
      </c>
      <c r="C211" s="90">
        <v>9480</v>
      </c>
      <c r="D211" s="90">
        <v>9430</v>
      </c>
      <c r="E211" s="90">
        <v>12360</v>
      </c>
      <c r="F211" s="90">
        <v>1820</v>
      </c>
      <c r="G211" s="98">
        <v>5950</v>
      </c>
    </row>
    <row r="212" s="75" customFormat="1" ht="14.25" customHeight="1" spans="1:7">
      <c r="A212" s="90" t="s">
        <v>303</v>
      </c>
      <c r="B212" s="90" t="s">
        <v>2448</v>
      </c>
      <c r="C212" s="90">
        <v>9070</v>
      </c>
      <c r="D212" s="90">
        <v>9020</v>
      </c>
      <c r="E212" s="90">
        <v>11720</v>
      </c>
      <c r="F212" s="90">
        <v>1850</v>
      </c>
      <c r="G212" s="98">
        <v>5700</v>
      </c>
    </row>
    <row r="213" s="75" customFormat="1" ht="14.25" customHeight="1" spans="1:7">
      <c r="A213" s="90" t="s">
        <v>303</v>
      </c>
      <c r="B213" s="90" t="s">
        <v>2449</v>
      </c>
      <c r="C213" s="90">
        <v>9030</v>
      </c>
      <c r="D213" s="90">
        <v>8980</v>
      </c>
      <c r="E213" s="90">
        <v>11670</v>
      </c>
      <c r="F213" s="90">
        <v>1690</v>
      </c>
      <c r="G213" s="98">
        <v>5670</v>
      </c>
    </row>
    <row r="214" s="75" customFormat="1" ht="14.25" customHeight="1" spans="1:7">
      <c r="A214" s="90" t="s">
        <v>303</v>
      </c>
      <c r="B214" s="90" t="s">
        <v>2450</v>
      </c>
      <c r="C214" s="90">
        <v>8090</v>
      </c>
      <c r="D214" s="90">
        <v>8030</v>
      </c>
      <c r="E214" s="90">
        <v>10780</v>
      </c>
      <c r="F214" s="90">
        <v>1570</v>
      </c>
      <c r="G214" s="98">
        <v>5070</v>
      </c>
    </row>
    <row r="215" s="75" customFormat="1" ht="14.25" customHeight="1" spans="1:7">
      <c r="A215" s="90" t="s">
        <v>303</v>
      </c>
      <c r="B215" s="90" t="s">
        <v>2451</v>
      </c>
      <c r="C215" s="90">
        <v>7950</v>
      </c>
      <c r="D215" s="90">
        <v>7900</v>
      </c>
      <c r="E215" s="90">
        <v>10560</v>
      </c>
      <c r="F215" s="90">
        <v>1630</v>
      </c>
      <c r="G215" s="98">
        <v>4990</v>
      </c>
    </row>
    <row r="216" s="75" customFormat="1" ht="14.25" customHeight="1" spans="1:7">
      <c r="A216" s="90" t="s">
        <v>303</v>
      </c>
      <c r="B216" s="90" t="s">
        <v>2452</v>
      </c>
      <c r="C216" s="90">
        <v>8490</v>
      </c>
      <c r="D216" s="90">
        <v>8440</v>
      </c>
      <c r="E216" s="90">
        <v>11260</v>
      </c>
      <c r="F216" s="90">
        <v>1690</v>
      </c>
      <c r="G216" s="98">
        <v>5330</v>
      </c>
    </row>
    <row r="217" s="75" customFormat="1" ht="14.25" customHeight="1" spans="1:7">
      <c r="A217" s="90" t="s">
        <v>303</v>
      </c>
      <c r="B217" s="90" t="s">
        <v>2453</v>
      </c>
      <c r="C217" s="90">
        <v>8200</v>
      </c>
      <c r="D217" s="90">
        <v>8150</v>
      </c>
      <c r="E217" s="90">
        <v>10910</v>
      </c>
      <c r="F217" s="90">
        <v>1670</v>
      </c>
      <c r="G217" s="98">
        <v>5150</v>
      </c>
    </row>
    <row r="218" s="75" customFormat="1" ht="14.25" customHeight="1" spans="1:7">
      <c r="A218" s="90" t="s">
        <v>303</v>
      </c>
      <c r="B218" s="90" t="s">
        <v>2454</v>
      </c>
      <c r="C218" s="90"/>
      <c r="D218" s="90"/>
      <c r="E218" s="90"/>
      <c r="F218" s="90">
        <v>2040</v>
      </c>
      <c r="G218" s="98"/>
    </row>
    <row r="219" s="75" customFormat="1" ht="14.25" customHeight="1" spans="1:7">
      <c r="A219" s="90" t="s">
        <v>303</v>
      </c>
      <c r="B219" s="90" t="s">
        <v>2455</v>
      </c>
      <c r="C219" s="90"/>
      <c r="D219" s="90"/>
      <c r="E219" s="90"/>
      <c r="F219" s="90">
        <v>2040</v>
      </c>
      <c r="G219" s="98"/>
    </row>
    <row r="220" s="75" customFormat="1" ht="14.25" customHeight="1" spans="1:7">
      <c r="A220" s="90" t="s">
        <v>303</v>
      </c>
      <c r="B220" s="90" t="s">
        <v>2456</v>
      </c>
      <c r="C220" s="90"/>
      <c r="D220" s="90"/>
      <c r="E220" s="90"/>
      <c r="F220" s="90">
        <v>2040</v>
      </c>
      <c r="G220" s="98"/>
    </row>
    <row r="221" s="75" customFormat="1" ht="14.25" customHeight="1" spans="1:7">
      <c r="A221" s="90" t="s">
        <v>303</v>
      </c>
      <c r="B221" s="90" t="s">
        <v>2457</v>
      </c>
      <c r="C221" s="90"/>
      <c r="D221" s="90"/>
      <c r="E221" s="90"/>
      <c r="F221" s="90">
        <v>2040</v>
      </c>
      <c r="G221" s="98"/>
    </row>
    <row r="222" s="75" customFormat="1" ht="14.25" customHeight="1" spans="1:7">
      <c r="A222" s="90" t="s">
        <v>303</v>
      </c>
      <c r="B222" s="90" t="s">
        <v>2458</v>
      </c>
      <c r="C222" s="90"/>
      <c r="D222" s="90"/>
      <c r="E222" s="90"/>
      <c r="F222" s="90">
        <v>2040</v>
      </c>
      <c r="G222" s="98"/>
    </row>
    <row r="223" s="75" customFormat="1" ht="14.25" customHeight="1" spans="1:7">
      <c r="A223" s="90" t="s">
        <v>303</v>
      </c>
      <c r="B223" s="90" t="s">
        <v>2459</v>
      </c>
      <c r="C223" s="90"/>
      <c r="D223" s="90"/>
      <c r="E223" s="90"/>
      <c r="F223" s="90">
        <v>1930</v>
      </c>
      <c r="G223" s="98"/>
    </row>
    <row r="224" s="75" customFormat="1" ht="14.25" customHeight="1" spans="1:7">
      <c r="A224" s="90" t="s">
        <v>303</v>
      </c>
      <c r="B224" s="90" t="s">
        <v>2460</v>
      </c>
      <c r="C224" s="90"/>
      <c r="D224" s="90"/>
      <c r="E224" s="90"/>
      <c r="F224" s="90">
        <v>1930</v>
      </c>
      <c r="G224" s="98"/>
    </row>
    <row r="225" s="75" customFormat="1" ht="14.25" customHeight="1" spans="1:7">
      <c r="A225" s="90" t="s">
        <v>303</v>
      </c>
      <c r="B225" s="90" t="s">
        <v>2461</v>
      </c>
      <c r="C225" s="90"/>
      <c r="D225" s="90"/>
      <c r="E225" s="90"/>
      <c r="F225" s="90">
        <v>1930</v>
      </c>
      <c r="G225" s="98"/>
    </row>
    <row r="226" s="75" customFormat="1" ht="14.25" customHeight="1" spans="1:7">
      <c r="A226" s="90" t="s">
        <v>303</v>
      </c>
      <c r="B226" s="90" t="s">
        <v>2462</v>
      </c>
      <c r="C226" s="90"/>
      <c r="D226" s="90"/>
      <c r="E226" s="90"/>
      <c r="F226" s="90">
        <v>1700</v>
      </c>
      <c r="G226" s="98"/>
    </row>
    <row r="227" s="75" customFormat="1" ht="14.25" customHeight="1" spans="1:7">
      <c r="A227" s="90" t="s">
        <v>303</v>
      </c>
      <c r="B227" s="90" t="s">
        <v>2750</v>
      </c>
      <c r="C227" s="90"/>
      <c r="D227" s="90"/>
      <c r="E227" s="90"/>
      <c r="F227" s="90">
        <v>1520</v>
      </c>
      <c r="G227" s="98"/>
    </row>
    <row r="228" s="75" customFormat="1" ht="14.25" customHeight="1" spans="1:7">
      <c r="A228" s="90" t="s">
        <v>303</v>
      </c>
      <c r="B228" s="90" t="s">
        <v>2751</v>
      </c>
      <c r="C228" s="90"/>
      <c r="D228" s="90"/>
      <c r="E228" s="90"/>
      <c r="F228" s="90">
        <v>1520</v>
      </c>
      <c r="G228" s="98"/>
    </row>
    <row r="229" s="75" customFormat="1" ht="14.25" customHeight="1" spans="1:7">
      <c r="A229" s="90" t="s">
        <v>303</v>
      </c>
      <c r="B229" s="90" t="s">
        <v>2752</v>
      </c>
      <c r="C229" s="90"/>
      <c r="D229" s="90"/>
      <c r="E229" s="90"/>
      <c r="F229" s="90">
        <v>1520</v>
      </c>
      <c r="G229" s="98"/>
    </row>
    <row r="230" s="75" customFormat="1" ht="14.25" customHeight="1" spans="1:7">
      <c r="A230" s="90" t="s">
        <v>303</v>
      </c>
      <c r="B230" s="90" t="s">
        <v>2466</v>
      </c>
      <c r="C230" s="90"/>
      <c r="D230" s="90"/>
      <c r="E230" s="90"/>
      <c r="F230" s="90">
        <v>1820</v>
      </c>
      <c r="G230" s="98"/>
    </row>
    <row r="231" s="75" customFormat="1" ht="14.25" customHeight="1" spans="1:7">
      <c r="A231" s="90" t="s">
        <v>303</v>
      </c>
      <c r="B231" s="90" t="s">
        <v>2467</v>
      </c>
      <c r="C231" s="90"/>
      <c r="D231" s="90"/>
      <c r="E231" s="90"/>
      <c r="F231" s="90">
        <v>1760</v>
      </c>
      <c r="G231" s="98"/>
    </row>
    <row r="232" s="75" customFormat="1" ht="14.25" customHeight="1" spans="1:7">
      <c r="A232" s="90" t="s">
        <v>303</v>
      </c>
      <c r="B232" s="90" t="s">
        <v>2753</v>
      </c>
      <c r="C232" s="90"/>
      <c r="D232" s="90"/>
      <c r="E232" s="90"/>
      <c r="F232" s="90">
        <v>1840</v>
      </c>
      <c r="G232" s="98"/>
    </row>
    <row r="233" s="75" customFormat="1" ht="14.25" customHeight="1" spans="1:7">
      <c r="A233" s="99" t="s">
        <v>303</v>
      </c>
      <c r="B233" s="94" t="s">
        <v>2469</v>
      </c>
      <c r="C233" s="94"/>
      <c r="D233" s="94"/>
      <c r="E233" s="94"/>
      <c r="F233" s="94">
        <v>1770</v>
      </c>
      <c r="G233" s="100"/>
    </row>
    <row r="234" s="75" customFormat="1" ht="14.25" customHeight="1" spans="1:7">
      <c r="A234" s="88" t="s">
        <v>311</v>
      </c>
      <c r="B234" s="89" t="s">
        <v>2470</v>
      </c>
      <c r="C234" s="90">
        <v>6980</v>
      </c>
      <c r="D234" s="90">
        <v>6970</v>
      </c>
      <c r="E234" s="90">
        <v>8720</v>
      </c>
      <c r="F234" s="90">
        <v>1350</v>
      </c>
      <c r="G234" s="90">
        <v>4280</v>
      </c>
    </row>
    <row r="235" s="75" customFormat="1" ht="14.25" customHeight="1" spans="1:7">
      <c r="A235" s="90" t="s">
        <v>311</v>
      </c>
      <c r="B235" s="90" t="s">
        <v>2471</v>
      </c>
      <c r="C235" s="90">
        <v>7620</v>
      </c>
      <c r="D235" s="90">
        <v>7580</v>
      </c>
      <c r="E235" s="90">
        <v>9360</v>
      </c>
      <c r="F235" s="90">
        <v>1490</v>
      </c>
      <c r="G235" s="90">
        <v>4650</v>
      </c>
    </row>
    <row r="236" s="75" customFormat="1" ht="14.25" customHeight="1" spans="1:7">
      <c r="A236" s="90" t="s">
        <v>311</v>
      </c>
      <c r="B236" s="90" t="s">
        <v>2472</v>
      </c>
      <c r="C236" s="90">
        <v>6650</v>
      </c>
      <c r="D236" s="90">
        <v>6630</v>
      </c>
      <c r="E236" s="90">
        <v>8330</v>
      </c>
      <c r="F236" s="90">
        <v>1250</v>
      </c>
      <c r="G236" s="90">
        <v>4070</v>
      </c>
    </row>
    <row r="237" s="75" customFormat="1" ht="14.25" customHeight="1" spans="1:7">
      <c r="A237" s="90" t="s">
        <v>311</v>
      </c>
      <c r="B237" s="90" t="s">
        <v>2473</v>
      </c>
      <c r="C237" s="90">
        <v>5850</v>
      </c>
      <c r="D237" s="90">
        <v>5820</v>
      </c>
      <c r="E237" s="90">
        <v>7260</v>
      </c>
      <c r="F237" s="90">
        <v>1140</v>
      </c>
      <c r="G237" s="90">
        <v>3570</v>
      </c>
    </row>
    <row r="238" s="75" customFormat="1" ht="14.25" customHeight="1" spans="1:7">
      <c r="A238" s="90" t="s">
        <v>311</v>
      </c>
      <c r="B238" s="90" t="s">
        <v>2474</v>
      </c>
      <c r="C238" s="90">
        <v>6920</v>
      </c>
      <c r="D238" s="90">
        <v>6890</v>
      </c>
      <c r="E238" s="90">
        <v>8640</v>
      </c>
      <c r="F238" s="90">
        <v>1310</v>
      </c>
      <c r="G238" s="90">
        <v>4230</v>
      </c>
    </row>
    <row r="239" s="75" customFormat="1" ht="14.25" customHeight="1" spans="1:7">
      <c r="A239" s="90" t="s">
        <v>311</v>
      </c>
      <c r="B239" s="90" t="s">
        <v>2475</v>
      </c>
      <c r="C239" s="90">
        <v>6780</v>
      </c>
      <c r="D239" s="90">
        <v>6750</v>
      </c>
      <c r="E239" s="90">
        <v>8440</v>
      </c>
      <c r="F239" s="90">
        <v>1160</v>
      </c>
      <c r="G239" s="90">
        <v>4140</v>
      </c>
    </row>
    <row r="240" s="75" customFormat="1" ht="14.25" customHeight="1" spans="1:7">
      <c r="A240" s="90" t="s">
        <v>311</v>
      </c>
      <c r="B240" s="90" t="s">
        <v>2476</v>
      </c>
      <c r="C240" s="90">
        <v>5420</v>
      </c>
      <c r="D240" s="90">
        <v>5380</v>
      </c>
      <c r="E240" s="90">
        <v>6640</v>
      </c>
      <c r="F240" s="90">
        <v>1020</v>
      </c>
      <c r="G240" s="90">
        <v>3300</v>
      </c>
    </row>
    <row r="241" s="75" customFormat="1" ht="14.25" customHeight="1" spans="1:7">
      <c r="A241" s="90" t="s">
        <v>311</v>
      </c>
      <c r="B241" s="90" t="s">
        <v>2477</v>
      </c>
      <c r="C241" s="90">
        <v>6660</v>
      </c>
      <c r="D241" s="90">
        <v>6640</v>
      </c>
      <c r="E241" s="90">
        <v>8340</v>
      </c>
      <c r="F241" s="90">
        <v>1130</v>
      </c>
      <c r="G241" s="90">
        <v>4080</v>
      </c>
    </row>
    <row r="242" s="75" customFormat="1" ht="14.25" customHeight="1" spans="1:7">
      <c r="A242" s="90" t="s">
        <v>311</v>
      </c>
      <c r="B242" s="90" t="s">
        <v>2478</v>
      </c>
      <c r="C242" s="90">
        <v>6580</v>
      </c>
      <c r="D242" s="90">
        <v>6550</v>
      </c>
      <c r="E242" s="90">
        <v>8090</v>
      </c>
      <c r="F242" s="90">
        <v>1240</v>
      </c>
      <c r="G242" s="90">
        <v>4020</v>
      </c>
    </row>
    <row r="243" s="75" customFormat="1" ht="14.25" customHeight="1" spans="1:7">
      <c r="A243" s="90" t="s">
        <v>311</v>
      </c>
      <c r="B243" s="90" t="s">
        <v>2479</v>
      </c>
      <c r="C243" s="90">
        <v>6000</v>
      </c>
      <c r="D243" s="90">
        <v>5970</v>
      </c>
      <c r="E243" s="90">
        <v>7370</v>
      </c>
      <c r="F243" s="90">
        <v>1070</v>
      </c>
      <c r="G243" s="90">
        <v>3670</v>
      </c>
    </row>
    <row r="244" s="75" customFormat="1" ht="14.25" customHeight="1" spans="1:7">
      <c r="A244" s="90" t="s">
        <v>311</v>
      </c>
      <c r="B244" s="90" t="s">
        <v>2480</v>
      </c>
      <c r="C244" s="90">
        <v>5840</v>
      </c>
      <c r="D244" s="90">
        <v>5810</v>
      </c>
      <c r="E244" s="90">
        <v>7240</v>
      </c>
      <c r="F244" s="90">
        <v>1100</v>
      </c>
      <c r="G244" s="90">
        <v>3560</v>
      </c>
    </row>
    <row r="245" s="75" customFormat="1" ht="14.25" customHeight="1" spans="1:7">
      <c r="A245" s="90" t="s">
        <v>311</v>
      </c>
      <c r="B245" s="90" t="s">
        <v>2481</v>
      </c>
      <c r="C245" s="90">
        <v>6040</v>
      </c>
      <c r="D245" s="90">
        <v>6000</v>
      </c>
      <c r="E245" s="90">
        <v>7420</v>
      </c>
      <c r="F245" s="90">
        <v>1140</v>
      </c>
      <c r="G245" s="90">
        <v>3690</v>
      </c>
    </row>
    <row r="246" s="75" customFormat="1" ht="14.25" customHeight="1" spans="1:7">
      <c r="A246" s="90" t="s">
        <v>311</v>
      </c>
      <c r="B246" s="90" t="s">
        <v>2482</v>
      </c>
      <c r="C246" s="90">
        <v>5890</v>
      </c>
      <c r="D246" s="90">
        <v>5860</v>
      </c>
      <c r="E246" s="90">
        <v>7300</v>
      </c>
      <c r="F246" s="90">
        <v>1110</v>
      </c>
      <c r="G246" s="90">
        <v>3590</v>
      </c>
    </row>
    <row r="247" s="75" customFormat="1" ht="14.25" customHeight="1" spans="1:7">
      <c r="A247" s="90" t="s">
        <v>311</v>
      </c>
      <c r="B247" s="90" t="s">
        <v>2483</v>
      </c>
      <c r="C247" s="90">
        <v>6480</v>
      </c>
      <c r="D247" s="90">
        <v>6450</v>
      </c>
      <c r="E247" s="90">
        <v>8010</v>
      </c>
      <c r="F247" s="90">
        <v>1170</v>
      </c>
      <c r="G247" s="90">
        <v>3960</v>
      </c>
    </row>
    <row r="248" s="75" customFormat="1" ht="14.25" customHeight="1" spans="1:7">
      <c r="A248" s="90" t="s">
        <v>311</v>
      </c>
      <c r="B248" s="90" t="s">
        <v>2484</v>
      </c>
      <c r="C248" s="90">
        <v>6860</v>
      </c>
      <c r="D248" s="90">
        <v>6840</v>
      </c>
      <c r="E248" s="90">
        <v>8520</v>
      </c>
      <c r="F248" s="90">
        <v>1240</v>
      </c>
      <c r="G248" s="90">
        <v>4200</v>
      </c>
    </row>
    <row r="249" s="75" customFormat="1" ht="14.25" customHeight="1" spans="1:7">
      <c r="A249" s="90" t="s">
        <v>311</v>
      </c>
      <c r="B249" s="90" t="s">
        <v>2485</v>
      </c>
      <c r="C249" s="90">
        <v>7180</v>
      </c>
      <c r="D249" s="90">
        <v>7140</v>
      </c>
      <c r="E249" s="90">
        <v>8900</v>
      </c>
      <c r="F249" s="90">
        <v>1350</v>
      </c>
      <c r="G249" s="90">
        <v>4380</v>
      </c>
    </row>
    <row r="250" s="75" customFormat="1" ht="14.25" customHeight="1" spans="1:7">
      <c r="A250" s="90" t="s">
        <v>311</v>
      </c>
      <c r="B250" s="90" t="s">
        <v>2486</v>
      </c>
      <c r="C250" s="90">
        <v>6880</v>
      </c>
      <c r="D250" s="90">
        <v>6860</v>
      </c>
      <c r="E250" s="90">
        <v>8550</v>
      </c>
      <c r="F250" s="90">
        <v>1220</v>
      </c>
      <c r="G250" s="90">
        <v>4210</v>
      </c>
    </row>
    <row r="251" s="75" customFormat="1" ht="14.25" customHeight="1" spans="1:7">
      <c r="A251" s="90" t="s">
        <v>311</v>
      </c>
      <c r="B251" s="90" t="s">
        <v>2487</v>
      </c>
      <c r="C251" s="90"/>
      <c r="D251" s="90"/>
      <c r="E251" s="90"/>
      <c r="F251" s="90">
        <v>1100</v>
      </c>
      <c r="G251" s="90"/>
    </row>
    <row r="252" s="75" customFormat="1" ht="14.25" customHeight="1" spans="1:7">
      <c r="A252" s="90" t="s">
        <v>311</v>
      </c>
      <c r="B252" s="90" t="s">
        <v>2488</v>
      </c>
      <c r="C252" s="90">
        <v>7240</v>
      </c>
      <c r="D252" s="90">
        <v>7200</v>
      </c>
      <c r="E252" s="90">
        <v>9040</v>
      </c>
      <c r="F252" s="90">
        <v>1380</v>
      </c>
      <c r="G252" s="90">
        <v>4420</v>
      </c>
    </row>
    <row r="253" s="75" customFormat="1" ht="14.25" customHeight="1" spans="1:7">
      <c r="A253" s="90" t="s">
        <v>311</v>
      </c>
      <c r="B253" s="90" t="s">
        <v>2489</v>
      </c>
      <c r="C253" s="90">
        <v>6670</v>
      </c>
      <c r="D253" s="90">
        <v>6650</v>
      </c>
      <c r="E253" s="90">
        <v>8350</v>
      </c>
      <c r="F253" s="90">
        <v>1260</v>
      </c>
      <c r="G253" s="90">
        <v>4080</v>
      </c>
    </row>
    <row r="254" s="75" customFormat="1" ht="14.25" customHeight="1" spans="1:7">
      <c r="A254" s="90" t="s">
        <v>311</v>
      </c>
      <c r="B254" s="90" t="s">
        <v>2490</v>
      </c>
      <c r="C254" s="90">
        <v>7630</v>
      </c>
      <c r="D254" s="90">
        <v>7590</v>
      </c>
      <c r="E254" s="90">
        <v>9380</v>
      </c>
      <c r="F254" s="90">
        <v>1320</v>
      </c>
      <c r="G254" s="90">
        <v>4660</v>
      </c>
    </row>
    <row r="255" s="75" customFormat="1" ht="14.25" customHeight="1" spans="1:7">
      <c r="A255" s="90" t="s">
        <v>311</v>
      </c>
      <c r="B255" s="90" t="s">
        <v>2491</v>
      </c>
      <c r="C255" s="90">
        <v>6940</v>
      </c>
      <c r="D255" s="90">
        <v>6890</v>
      </c>
      <c r="E255" s="90">
        <v>8650</v>
      </c>
      <c r="F255" s="90">
        <v>1210</v>
      </c>
      <c r="G255" s="90">
        <v>4230</v>
      </c>
    </row>
    <row r="256" s="75" customFormat="1" ht="14.25" customHeight="1" spans="1:7">
      <c r="A256" s="90" t="s">
        <v>311</v>
      </c>
      <c r="B256" s="90" t="s">
        <v>2492</v>
      </c>
      <c r="C256" s="90">
        <v>7520</v>
      </c>
      <c r="D256" s="90">
        <v>7490</v>
      </c>
      <c r="E256" s="90">
        <v>9240</v>
      </c>
      <c r="F256" s="90">
        <v>1270</v>
      </c>
      <c r="G256" s="90">
        <v>4590</v>
      </c>
    </row>
    <row r="257" s="75" customFormat="1" ht="14.25" customHeight="1" spans="1:7">
      <c r="A257" s="90" t="s">
        <v>311</v>
      </c>
      <c r="B257" s="90" t="s">
        <v>2493</v>
      </c>
      <c r="C257" s="90">
        <v>6280</v>
      </c>
      <c r="D257" s="90">
        <v>6230</v>
      </c>
      <c r="E257" s="90">
        <v>7740</v>
      </c>
      <c r="F257" s="90">
        <v>1080</v>
      </c>
      <c r="G257" s="90">
        <v>3830</v>
      </c>
    </row>
    <row r="258" s="75" customFormat="1" ht="14.25" customHeight="1" spans="1:7">
      <c r="A258" s="90" t="s">
        <v>311</v>
      </c>
      <c r="B258" s="90" t="s">
        <v>2494</v>
      </c>
      <c r="C258" s="90">
        <v>6190</v>
      </c>
      <c r="D258" s="90">
        <v>6160</v>
      </c>
      <c r="E258" s="90">
        <v>7680</v>
      </c>
      <c r="F258" s="90">
        <v>1170</v>
      </c>
      <c r="G258" s="90">
        <v>3780</v>
      </c>
    </row>
    <row r="259" s="75" customFormat="1" ht="14.25" customHeight="1" spans="1:7">
      <c r="A259" s="90" t="s">
        <v>311</v>
      </c>
      <c r="B259" s="90" t="s">
        <v>2495</v>
      </c>
      <c r="C259" s="90">
        <v>7610</v>
      </c>
      <c r="D259" s="90">
        <v>7570</v>
      </c>
      <c r="E259" s="90">
        <v>9350</v>
      </c>
      <c r="F259" s="90">
        <v>1350</v>
      </c>
      <c r="G259" s="90">
        <v>4650</v>
      </c>
    </row>
    <row r="260" s="75" customFormat="1" ht="14.25" customHeight="1" spans="1:7">
      <c r="A260" s="90" t="s">
        <v>311</v>
      </c>
      <c r="B260" s="90" t="s">
        <v>2496</v>
      </c>
      <c r="C260" s="90">
        <v>6920</v>
      </c>
      <c r="D260" s="90">
        <v>6880</v>
      </c>
      <c r="E260" s="90">
        <v>8380</v>
      </c>
      <c r="F260" s="90">
        <v>1160</v>
      </c>
      <c r="G260" s="90">
        <v>4220</v>
      </c>
    </row>
    <row r="261" s="75" customFormat="1" ht="14.25" customHeight="1" spans="1:7">
      <c r="A261" s="90" t="s">
        <v>311</v>
      </c>
      <c r="B261" s="90" t="s">
        <v>2497</v>
      </c>
      <c r="C261" s="90">
        <v>6850</v>
      </c>
      <c r="D261" s="90">
        <v>6810</v>
      </c>
      <c r="E261" s="90">
        <v>8290</v>
      </c>
      <c r="F261" s="90">
        <v>1130</v>
      </c>
      <c r="G261" s="90">
        <v>4180</v>
      </c>
    </row>
    <row r="262" s="75" customFormat="1" ht="14.25" customHeight="1" spans="1:7">
      <c r="A262" s="90" t="s">
        <v>311</v>
      </c>
      <c r="B262" s="90" t="s">
        <v>2498</v>
      </c>
      <c r="C262" s="90">
        <v>5860</v>
      </c>
      <c r="D262" s="90">
        <v>5820</v>
      </c>
      <c r="E262" s="90">
        <v>7640</v>
      </c>
      <c r="F262" s="90">
        <v>1070</v>
      </c>
      <c r="G262" s="90">
        <v>3570</v>
      </c>
    </row>
    <row r="263" s="75" customFormat="1" ht="14.25" customHeight="1" spans="1:7">
      <c r="A263" s="90" t="s">
        <v>311</v>
      </c>
      <c r="B263" s="90" t="s">
        <v>2499</v>
      </c>
      <c r="C263" s="90">
        <v>5870</v>
      </c>
      <c r="D263" s="90">
        <v>5840</v>
      </c>
      <c r="E263" s="90">
        <v>7270</v>
      </c>
      <c r="F263" s="90">
        <v>1190</v>
      </c>
      <c r="G263" s="90">
        <v>3580</v>
      </c>
    </row>
    <row r="264" s="75" customFormat="1" ht="14.25" customHeight="1" spans="1:7">
      <c r="A264" s="90" t="s">
        <v>311</v>
      </c>
      <c r="B264" s="90" t="s">
        <v>2500</v>
      </c>
      <c r="C264" s="90">
        <v>6190</v>
      </c>
      <c r="D264" s="90">
        <v>6150</v>
      </c>
      <c r="E264" s="90">
        <v>7660</v>
      </c>
      <c r="F264" s="90">
        <v>1160</v>
      </c>
      <c r="G264" s="90">
        <v>3770</v>
      </c>
    </row>
    <row r="265" s="75" customFormat="1" ht="14.25" customHeight="1" spans="1:7">
      <c r="A265" s="90" t="s">
        <v>311</v>
      </c>
      <c r="B265" s="90" t="s">
        <v>2501</v>
      </c>
      <c r="C265" s="90"/>
      <c r="D265" s="90"/>
      <c r="E265" s="90"/>
      <c r="F265" s="90">
        <v>1500</v>
      </c>
      <c r="G265" s="90"/>
    </row>
    <row r="266" s="75" customFormat="1" ht="14.25" customHeight="1" spans="1:7">
      <c r="A266" s="90" t="s">
        <v>311</v>
      </c>
      <c r="B266" s="90" t="s">
        <v>2502</v>
      </c>
      <c r="C266" s="90"/>
      <c r="D266" s="90"/>
      <c r="E266" s="90"/>
      <c r="F266" s="90">
        <v>1500</v>
      </c>
      <c r="G266" s="90"/>
    </row>
    <row r="267" s="75" customFormat="1" ht="14.25" customHeight="1" spans="1:7">
      <c r="A267" s="90" t="s">
        <v>311</v>
      </c>
      <c r="B267" s="90" t="s">
        <v>2503</v>
      </c>
      <c r="C267" s="90"/>
      <c r="D267" s="90"/>
      <c r="E267" s="90"/>
      <c r="F267" s="90">
        <v>1500</v>
      </c>
      <c r="G267" s="90"/>
    </row>
    <row r="268" s="75" customFormat="1" ht="14.25" customHeight="1" spans="1:7">
      <c r="A268" s="90" t="s">
        <v>311</v>
      </c>
      <c r="B268" s="90" t="s">
        <v>2504</v>
      </c>
      <c r="C268" s="90"/>
      <c r="D268" s="90"/>
      <c r="E268" s="90"/>
      <c r="F268" s="90">
        <v>1290</v>
      </c>
      <c r="G268" s="90"/>
    </row>
    <row r="269" s="75" customFormat="1" ht="14.25" customHeight="1" spans="1:7">
      <c r="A269" s="90" t="s">
        <v>311</v>
      </c>
      <c r="B269" s="90" t="s">
        <v>2505</v>
      </c>
      <c r="C269" s="90"/>
      <c r="D269" s="90"/>
      <c r="E269" s="90"/>
      <c r="F269" s="90">
        <v>1150</v>
      </c>
      <c r="G269" s="90"/>
    </row>
    <row r="270" s="75" customFormat="1" ht="14.25" customHeight="1" spans="1:7">
      <c r="A270" s="90" t="s">
        <v>311</v>
      </c>
      <c r="B270" s="90" t="s">
        <v>2506</v>
      </c>
      <c r="C270" s="90"/>
      <c r="D270" s="90"/>
      <c r="E270" s="90"/>
      <c r="F270" s="90">
        <v>1380</v>
      </c>
      <c r="G270" s="90"/>
    </row>
    <row r="271" s="75" customFormat="1" ht="14.25" customHeight="1" spans="1:7">
      <c r="A271" s="90" t="s">
        <v>311</v>
      </c>
      <c r="B271" s="90" t="s">
        <v>2507</v>
      </c>
      <c r="C271" s="90"/>
      <c r="D271" s="90"/>
      <c r="E271" s="90"/>
      <c r="F271" s="90">
        <v>1460</v>
      </c>
      <c r="G271" s="90"/>
    </row>
    <row r="272" s="75" customFormat="1" ht="14.25" customHeight="1" spans="1:7">
      <c r="A272" s="90" t="s">
        <v>311</v>
      </c>
      <c r="B272" s="90" t="s">
        <v>2508</v>
      </c>
      <c r="C272" s="90"/>
      <c r="D272" s="90"/>
      <c r="E272" s="90"/>
      <c r="F272" s="90">
        <v>1460</v>
      </c>
      <c r="G272" s="90"/>
    </row>
    <row r="273" s="75" customFormat="1" ht="14.25" customHeight="1" spans="1:7">
      <c r="A273" s="90" t="s">
        <v>311</v>
      </c>
      <c r="B273" s="90" t="s">
        <v>2509</v>
      </c>
      <c r="C273" s="90"/>
      <c r="D273" s="90"/>
      <c r="E273" s="90"/>
      <c r="F273" s="90">
        <v>1490</v>
      </c>
      <c r="G273" s="90"/>
    </row>
    <row r="274" s="75" customFormat="1" ht="14.25" customHeight="1" spans="1:7">
      <c r="A274" s="90" t="s">
        <v>311</v>
      </c>
      <c r="B274" s="90" t="s">
        <v>2510</v>
      </c>
      <c r="C274" s="90"/>
      <c r="D274" s="90"/>
      <c r="E274" s="90"/>
      <c r="F274" s="90">
        <v>1490</v>
      </c>
      <c r="G274" s="90"/>
    </row>
    <row r="275" s="75" customFormat="1" ht="14.25" customHeight="1" spans="1:7">
      <c r="A275" s="90" t="s">
        <v>311</v>
      </c>
      <c r="B275" s="90" t="s">
        <v>2511</v>
      </c>
      <c r="C275" s="90"/>
      <c r="D275" s="90"/>
      <c r="E275" s="90"/>
      <c r="F275" s="90">
        <v>1220</v>
      </c>
      <c r="G275" s="90"/>
    </row>
    <row r="276" s="75" customFormat="1" ht="14.25" customHeight="1" spans="1:7">
      <c r="A276" s="92" t="s">
        <v>311</v>
      </c>
      <c r="B276" s="95" t="s">
        <v>2512</v>
      </c>
      <c r="C276" s="96"/>
      <c r="D276" s="96"/>
      <c r="E276" s="96"/>
      <c r="F276" s="96">
        <v>1380</v>
      </c>
      <c r="G276" s="96"/>
    </row>
    <row r="277" s="75" customFormat="1" ht="14.25" customHeight="1" spans="1:7">
      <c r="A277" s="88" t="s">
        <v>318</v>
      </c>
      <c r="B277" s="89" t="s">
        <v>2513</v>
      </c>
      <c r="C277" s="89">
        <v>5790</v>
      </c>
      <c r="D277" s="89">
        <v>5740</v>
      </c>
      <c r="E277" s="89">
        <v>6730</v>
      </c>
      <c r="F277" s="89">
        <v>1110</v>
      </c>
      <c r="G277" s="97">
        <v>3460</v>
      </c>
    </row>
    <row r="278" s="75" customFormat="1" ht="14.25" customHeight="1" spans="1:7">
      <c r="A278" s="90" t="s">
        <v>318</v>
      </c>
      <c r="B278" s="90" t="s">
        <v>2514</v>
      </c>
      <c r="C278" s="90">
        <v>5740</v>
      </c>
      <c r="D278" s="90">
        <v>5670</v>
      </c>
      <c r="E278" s="90">
        <v>6680</v>
      </c>
      <c r="F278" s="90">
        <v>1070</v>
      </c>
      <c r="G278" s="98">
        <v>3420</v>
      </c>
    </row>
    <row r="279" s="75" customFormat="1" ht="14.25" customHeight="1" spans="1:7">
      <c r="A279" s="90" t="s">
        <v>318</v>
      </c>
      <c r="B279" s="90" t="s">
        <v>2515</v>
      </c>
      <c r="C279" s="90">
        <v>4760</v>
      </c>
      <c r="D279" s="90">
        <v>4720</v>
      </c>
      <c r="E279" s="90">
        <v>5540</v>
      </c>
      <c r="F279" s="90">
        <v>810</v>
      </c>
      <c r="G279" s="98">
        <v>2850</v>
      </c>
    </row>
    <row r="280" s="75" customFormat="1" ht="14.25" customHeight="1" spans="1:7">
      <c r="A280" s="90" t="s">
        <v>318</v>
      </c>
      <c r="B280" s="90" t="s">
        <v>2516</v>
      </c>
      <c r="C280" s="90">
        <v>4010</v>
      </c>
      <c r="D280" s="90">
        <v>3950</v>
      </c>
      <c r="E280" s="90">
        <v>4710</v>
      </c>
      <c r="F280" s="90">
        <v>800</v>
      </c>
      <c r="G280" s="98">
        <v>2390</v>
      </c>
    </row>
    <row r="281" s="75" customFormat="1" ht="14.25" customHeight="1" spans="1:7">
      <c r="A281" s="90" t="s">
        <v>318</v>
      </c>
      <c r="B281" s="90" t="s">
        <v>2517</v>
      </c>
      <c r="C281" s="90">
        <v>4480</v>
      </c>
      <c r="D281" s="90">
        <v>4420</v>
      </c>
      <c r="E281" s="90">
        <v>5230</v>
      </c>
      <c r="F281" s="90">
        <v>870</v>
      </c>
      <c r="G281" s="98">
        <v>2660</v>
      </c>
    </row>
    <row r="282" s="75" customFormat="1" ht="14.25" customHeight="1" spans="1:7">
      <c r="A282" s="90" t="s">
        <v>318</v>
      </c>
      <c r="B282" s="90" t="s">
        <v>2518</v>
      </c>
      <c r="C282" s="90">
        <v>5360</v>
      </c>
      <c r="D282" s="90">
        <v>5300</v>
      </c>
      <c r="E282" s="90">
        <v>6190</v>
      </c>
      <c r="F282" s="90">
        <v>950</v>
      </c>
      <c r="G282" s="98">
        <v>3190</v>
      </c>
    </row>
    <row r="283" s="75" customFormat="1" ht="14.25" customHeight="1" spans="1:7">
      <c r="A283" s="90" t="s">
        <v>318</v>
      </c>
      <c r="B283" s="90" t="s">
        <v>2519</v>
      </c>
      <c r="C283" s="90">
        <v>4950</v>
      </c>
      <c r="D283" s="90">
        <v>4900</v>
      </c>
      <c r="E283" s="90">
        <v>5720</v>
      </c>
      <c r="F283" s="90">
        <v>920</v>
      </c>
      <c r="G283" s="98">
        <v>2950</v>
      </c>
    </row>
    <row r="284" s="75" customFormat="1" ht="14.25" customHeight="1" spans="1:7">
      <c r="A284" s="90" t="s">
        <v>318</v>
      </c>
      <c r="B284" s="90" t="s">
        <v>2520</v>
      </c>
      <c r="C284" s="90">
        <v>5610</v>
      </c>
      <c r="D284" s="90">
        <v>5560</v>
      </c>
      <c r="E284" s="90">
        <v>6520</v>
      </c>
      <c r="F284" s="90">
        <v>1030</v>
      </c>
      <c r="G284" s="98">
        <v>3360</v>
      </c>
    </row>
    <row r="285" s="75" customFormat="1" ht="14.25" customHeight="1" spans="1:7">
      <c r="A285" s="90" t="s">
        <v>318</v>
      </c>
      <c r="B285" s="90" t="s">
        <v>2521</v>
      </c>
      <c r="C285" s="90">
        <v>5340</v>
      </c>
      <c r="D285" s="90">
        <v>5290</v>
      </c>
      <c r="E285" s="90">
        <v>6170</v>
      </c>
      <c r="F285" s="90">
        <v>1080</v>
      </c>
      <c r="G285" s="98">
        <v>3180</v>
      </c>
    </row>
    <row r="286" s="75" customFormat="1" ht="14.25" customHeight="1" spans="1:7">
      <c r="A286" s="90" t="s">
        <v>318</v>
      </c>
      <c r="B286" s="90" t="s">
        <v>2522</v>
      </c>
      <c r="C286" s="90">
        <v>4890</v>
      </c>
      <c r="D286" s="90">
        <v>4840</v>
      </c>
      <c r="E286" s="90">
        <v>5640</v>
      </c>
      <c r="F286" s="90">
        <v>960</v>
      </c>
      <c r="G286" s="98">
        <v>2910</v>
      </c>
    </row>
    <row r="287" s="75" customFormat="1" ht="14.25" customHeight="1" spans="1:7">
      <c r="A287" s="90" t="s">
        <v>318</v>
      </c>
      <c r="B287" s="90" t="s">
        <v>2523</v>
      </c>
      <c r="C287" s="90">
        <v>4960</v>
      </c>
      <c r="D287" s="90">
        <v>4920</v>
      </c>
      <c r="E287" s="90">
        <v>5730</v>
      </c>
      <c r="F287" s="90">
        <v>930</v>
      </c>
      <c r="G287" s="98">
        <v>2960</v>
      </c>
    </row>
    <row r="288" s="75" customFormat="1" ht="14.25" customHeight="1" spans="1:7">
      <c r="A288" s="90" t="s">
        <v>318</v>
      </c>
      <c r="B288" s="90" t="s">
        <v>2524</v>
      </c>
      <c r="C288" s="90">
        <v>4350</v>
      </c>
      <c r="D288" s="90">
        <v>4300</v>
      </c>
      <c r="E288" s="90">
        <v>4900</v>
      </c>
      <c r="F288" s="90">
        <v>820</v>
      </c>
      <c r="G288" s="98">
        <v>2590</v>
      </c>
    </row>
    <row r="289" s="75" customFormat="1" ht="14.25" customHeight="1" spans="1:7">
      <c r="A289" s="90" t="s">
        <v>318</v>
      </c>
      <c r="B289" s="90" t="s">
        <v>2525</v>
      </c>
      <c r="C289" s="90">
        <v>5230</v>
      </c>
      <c r="D289" s="90">
        <v>5170</v>
      </c>
      <c r="E289" s="90">
        <v>6060</v>
      </c>
      <c r="F289" s="90">
        <v>900</v>
      </c>
      <c r="G289" s="98">
        <v>3120</v>
      </c>
    </row>
    <row r="290" s="75" customFormat="1" ht="14.25" customHeight="1" spans="1:7">
      <c r="A290" s="90" t="s">
        <v>318</v>
      </c>
      <c r="B290" s="90" t="s">
        <v>2526</v>
      </c>
      <c r="C290" s="90">
        <v>5550</v>
      </c>
      <c r="D290" s="90">
        <v>5500</v>
      </c>
      <c r="E290" s="90">
        <v>6440</v>
      </c>
      <c r="F290" s="90">
        <v>960</v>
      </c>
      <c r="G290" s="98">
        <v>3320</v>
      </c>
    </row>
    <row r="291" s="75" customFormat="1" ht="14.25" customHeight="1" spans="1:7">
      <c r="A291" s="90" t="s">
        <v>318</v>
      </c>
      <c r="B291" s="90" t="s">
        <v>2527</v>
      </c>
      <c r="C291" s="90">
        <v>5440</v>
      </c>
      <c r="D291" s="90">
        <v>5400</v>
      </c>
      <c r="E291" s="90">
        <v>6320</v>
      </c>
      <c r="F291" s="90">
        <v>930</v>
      </c>
      <c r="G291" s="98">
        <v>3250</v>
      </c>
    </row>
    <row r="292" s="75" customFormat="1" ht="14.25" customHeight="1" spans="1:7">
      <c r="A292" s="90" t="s">
        <v>318</v>
      </c>
      <c r="B292" s="90" t="s">
        <v>2528</v>
      </c>
      <c r="C292" s="90">
        <v>5400</v>
      </c>
      <c r="D292" s="90">
        <v>5360</v>
      </c>
      <c r="E292" s="90">
        <v>6270</v>
      </c>
      <c r="F292" s="90">
        <v>1040</v>
      </c>
      <c r="G292" s="98">
        <v>3230</v>
      </c>
    </row>
    <row r="293" s="75" customFormat="1" ht="14.25" customHeight="1" spans="1:7">
      <c r="A293" s="90" t="s">
        <v>318</v>
      </c>
      <c r="B293" s="90" t="s">
        <v>2529</v>
      </c>
      <c r="C293" s="90">
        <v>5320</v>
      </c>
      <c r="D293" s="90">
        <v>5270</v>
      </c>
      <c r="E293" s="90">
        <v>6160</v>
      </c>
      <c r="F293" s="90">
        <v>990</v>
      </c>
      <c r="G293" s="98">
        <v>3170</v>
      </c>
    </row>
    <row r="294" s="75" customFormat="1" ht="14.25" customHeight="1" spans="1:7">
      <c r="A294" s="90" t="s">
        <v>318</v>
      </c>
      <c r="B294" s="90" t="s">
        <v>2530</v>
      </c>
      <c r="C294" s="90">
        <v>5260</v>
      </c>
      <c r="D294" s="90">
        <v>5210</v>
      </c>
      <c r="E294" s="90">
        <v>6100</v>
      </c>
      <c r="F294" s="90">
        <v>950</v>
      </c>
      <c r="G294" s="98">
        <v>3150</v>
      </c>
    </row>
    <row r="295" s="75" customFormat="1" ht="14.25" customHeight="1" spans="1:7">
      <c r="A295" s="90" t="s">
        <v>318</v>
      </c>
      <c r="B295" s="90" t="s">
        <v>2531</v>
      </c>
      <c r="C295" s="90">
        <v>5610</v>
      </c>
      <c r="D295" s="90">
        <v>5570</v>
      </c>
      <c r="E295" s="90">
        <v>6530</v>
      </c>
      <c r="F295" s="90">
        <v>960</v>
      </c>
      <c r="G295" s="98">
        <v>3360</v>
      </c>
    </row>
    <row r="296" s="75" customFormat="1" ht="14.25" customHeight="1" spans="1:7">
      <c r="A296" s="90" t="s">
        <v>318</v>
      </c>
      <c r="B296" s="90" t="s">
        <v>2532</v>
      </c>
      <c r="C296" s="90">
        <v>5540</v>
      </c>
      <c r="D296" s="90">
        <v>5490</v>
      </c>
      <c r="E296" s="90">
        <v>6430</v>
      </c>
      <c r="F296" s="90">
        <v>980</v>
      </c>
      <c r="G296" s="98">
        <v>3310</v>
      </c>
    </row>
    <row r="297" s="75" customFormat="1" ht="14.25" customHeight="1" spans="1:7">
      <c r="A297" s="90" t="s">
        <v>318</v>
      </c>
      <c r="B297" s="90" t="s">
        <v>2533</v>
      </c>
      <c r="C297" s="90">
        <v>5480</v>
      </c>
      <c r="D297" s="90">
        <v>5420</v>
      </c>
      <c r="E297" s="90">
        <v>6370</v>
      </c>
      <c r="F297" s="90">
        <v>990</v>
      </c>
      <c r="G297" s="98">
        <v>3270</v>
      </c>
    </row>
    <row r="298" s="75" customFormat="1" ht="14.25" customHeight="1" spans="1:7">
      <c r="A298" s="90" t="s">
        <v>318</v>
      </c>
      <c r="B298" s="90" t="s">
        <v>2534</v>
      </c>
      <c r="C298" s="90">
        <v>5090</v>
      </c>
      <c r="D298" s="90">
        <v>5050</v>
      </c>
      <c r="E298" s="90">
        <v>5910</v>
      </c>
      <c r="F298" s="90">
        <v>900</v>
      </c>
      <c r="G298" s="98">
        <v>3040</v>
      </c>
    </row>
    <row r="299" s="75" customFormat="1" ht="14.25" customHeight="1" spans="1:7">
      <c r="A299" s="90" t="s">
        <v>318</v>
      </c>
      <c r="B299" s="104" t="s">
        <v>2535</v>
      </c>
      <c r="C299" s="90">
        <v>5430</v>
      </c>
      <c r="D299" s="90">
        <v>5380</v>
      </c>
      <c r="E299" s="90">
        <v>6280</v>
      </c>
      <c r="F299" s="90">
        <v>1000</v>
      </c>
      <c r="G299" s="98">
        <v>3240</v>
      </c>
    </row>
    <row r="300" s="75" customFormat="1" ht="14.25" customHeight="1" spans="1:7">
      <c r="A300" s="90" t="s">
        <v>318</v>
      </c>
      <c r="B300" s="104" t="s">
        <v>2536</v>
      </c>
      <c r="C300" s="90">
        <v>4740</v>
      </c>
      <c r="D300" s="90">
        <v>4680</v>
      </c>
      <c r="E300" s="90">
        <v>5450</v>
      </c>
      <c r="F300" s="90">
        <v>900</v>
      </c>
      <c r="G300" s="98">
        <v>2830</v>
      </c>
    </row>
    <row r="301" s="75" customFormat="1" ht="14.25" customHeight="1" spans="1:7">
      <c r="A301" s="90" t="s">
        <v>318</v>
      </c>
      <c r="B301" s="104" t="s">
        <v>2537</v>
      </c>
      <c r="C301" s="90">
        <v>4870</v>
      </c>
      <c r="D301" s="90">
        <v>4810</v>
      </c>
      <c r="E301" s="90">
        <v>5560</v>
      </c>
      <c r="F301" s="90">
        <v>990</v>
      </c>
      <c r="G301" s="98">
        <v>2910</v>
      </c>
    </row>
    <row r="302" s="75" customFormat="1" ht="14.25" customHeight="1" spans="1:7">
      <c r="A302" s="90" t="s">
        <v>318</v>
      </c>
      <c r="B302" s="90" t="s">
        <v>2538</v>
      </c>
      <c r="C302" s="90">
        <v>5520</v>
      </c>
      <c r="D302" s="90">
        <v>5470</v>
      </c>
      <c r="E302" s="90">
        <v>6410</v>
      </c>
      <c r="F302" s="90">
        <v>950</v>
      </c>
      <c r="G302" s="98">
        <v>3300</v>
      </c>
    </row>
    <row r="303" s="75" customFormat="1" ht="14.25" customHeight="1" spans="1:7">
      <c r="A303" s="90" t="s">
        <v>318</v>
      </c>
      <c r="B303" s="90" t="s">
        <v>2539</v>
      </c>
      <c r="C303" s="90">
        <v>5630</v>
      </c>
      <c r="D303" s="90">
        <v>5590</v>
      </c>
      <c r="E303" s="90">
        <v>6550</v>
      </c>
      <c r="F303" s="90">
        <v>1010</v>
      </c>
      <c r="G303" s="98">
        <v>3370</v>
      </c>
    </row>
    <row r="304" s="75" customFormat="1" ht="14.25" customHeight="1" spans="1:7">
      <c r="A304" s="90" t="s">
        <v>318</v>
      </c>
      <c r="B304" s="90" t="s">
        <v>2540</v>
      </c>
      <c r="C304" s="90">
        <v>5680</v>
      </c>
      <c r="D304" s="90">
        <v>5620</v>
      </c>
      <c r="E304" s="90">
        <v>6620</v>
      </c>
      <c r="F304" s="90">
        <v>1050</v>
      </c>
      <c r="G304" s="98">
        <v>3390</v>
      </c>
    </row>
    <row r="305" s="75" customFormat="1" ht="14.25" customHeight="1" spans="1:7">
      <c r="A305" s="90" t="s">
        <v>318</v>
      </c>
      <c r="B305" s="90" t="s">
        <v>2541</v>
      </c>
      <c r="C305" s="90">
        <v>5590</v>
      </c>
      <c r="D305" s="90">
        <v>5530</v>
      </c>
      <c r="E305" s="90">
        <v>6460</v>
      </c>
      <c r="F305" s="90">
        <v>900</v>
      </c>
      <c r="G305" s="98">
        <v>3340</v>
      </c>
    </row>
    <row r="306" s="75" customFormat="1" ht="14.25" customHeight="1" spans="1:7">
      <c r="A306" s="90" t="s">
        <v>318</v>
      </c>
      <c r="B306" s="90" t="s">
        <v>2542</v>
      </c>
      <c r="C306" s="90">
        <v>5560</v>
      </c>
      <c r="D306" s="90">
        <v>5510</v>
      </c>
      <c r="E306" s="90">
        <v>6440</v>
      </c>
      <c r="F306" s="90">
        <v>900</v>
      </c>
      <c r="G306" s="98">
        <v>3320</v>
      </c>
    </row>
    <row r="307" s="75" customFormat="1" ht="14.25" customHeight="1" spans="1:7">
      <c r="A307" s="90" t="s">
        <v>318</v>
      </c>
      <c r="B307" s="90" t="s">
        <v>2543</v>
      </c>
      <c r="C307" s="90">
        <v>5650</v>
      </c>
      <c r="D307" s="90">
        <v>5600</v>
      </c>
      <c r="E307" s="90">
        <v>6590</v>
      </c>
      <c r="F307" s="90">
        <v>930</v>
      </c>
      <c r="G307" s="98">
        <v>3380</v>
      </c>
    </row>
    <row r="308" s="75" customFormat="1" ht="14.25" customHeight="1" spans="1:7">
      <c r="A308" s="90" t="s">
        <v>318</v>
      </c>
      <c r="B308" s="90" t="s">
        <v>2544</v>
      </c>
      <c r="C308" s="90">
        <v>5620</v>
      </c>
      <c r="D308" s="90">
        <v>5580</v>
      </c>
      <c r="E308" s="90">
        <v>6540</v>
      </c>
      <c r="F308" s="90">
        <v>910</v>
      </c>
      <c r="G308" s="98">
        <v>3370</v>
      </c>
    </row>
    <row r="309" s="75" customFormat="1" ht="14.25" customHeight="1" spans="1:7">
      <c r="A309" s="90" t="s">
        <v>318</v>
      </c>
      <c r="B309" s="90" t="s">
        <v>2545</v>
      </c>
      <c r="C309" s="90">
        <v>5060</v>
      </c>
      <c r="D309" s="90">
        <v>5020</v>
      </c>
      <c r="E309" s="90">
        <v>6370</v>
      </c>
      <c r="F309" s="90">
        <v>800</v>
      </c>
      <c r="G309" s="98">
        <v>3020</v>
      </c>
    </row>
    <row r="310" s="75" customFormat="1" ht="14.25" customHeight="1" spans="1:7">
      <c r="A310" s="90" t="s">
        <v>318</v>
      </c>
      <c r="B310" s="90" t="s">
        <v>2546</v>
      </c>
      <c r="C310" s="90">
        <v>5150</v>
      </c>
      <c r="D310" s="90">
        <v>5110</v>
      </c>
      <c r="E310" s="90">
        <v>6500</v>
      </c>
      <c r="F310" s="90">
        <v>880</v>
      </c>
      <c r="G310" s="98">
        <v>3080</v>
      </c>
    </row>
    <row r="311" s="75" customFormat="1" ht="14.25" customHeight="1" spans="1:7">
      <c r="A311" s="90" t="s">
        <v>318</v>
      </c>
      <c r="B311" s="90" t="s">
        <v>2547</v>
      </c>
      <c r="C311" s="90">
        <v>4750</v>
      </c>
      <c r="D311" s="90">
        <v>4710</v>
      </c>
      <c r="E311" s="90">
        <v>5510</v>
      </c>
      <c r="F311" s="90">
        <v>880</v>
      </c>
      <c r="G311" s="98">
        <v>2840</v>
      </c>
    </row>
    <row r="312" s="75" customFormat="1" ht="14.25" customHeight="1" spans="1:7">
      <c r="A312" s="90" t="s">
        <v>318</v>
      </c>
      <c r="B312" s="90" t="s">
        <v>2548</v>
      </c>
      <c r="C312" s="90">
        <v>4690</v>
      </c>
      <c r="D312" s="90">
        <v>4640</v>
      </c>
      <c r="E312" s="90">
        <v>5420</v>
      </c>
      <c r="F312" s="90">
        <v>800</v>
      </c>
      <c r="G312" s="98">
        <v>2800</v>
      </c>
    </row>
    <row r="313" s="75" customFormat="1" ht="14.25" customHeight="1" spans="1:7">
      <c r="A313" s="90" t="s">
        <v>318</v>
      </c>
      <c r="B313" s="90" t="s">
        <v>2549</v>
      </c>
      <c r="C313" s="90">
        <v>4810</v>
      </c>
      <c r="D313" s="90">
        <v>4760</v>
      </c>
      <c r="E313" s="90">
        <v>5550</v>
      </c>
      <c r="F313" s="90">
        <v>920</v>
      </c>
      <c r="G313" s="98">
        <v>2870</v>
      </c>
    </row>
    <row r="314" s="75" customFormat="1" ht="14.25" customHeight="1" spans="1:7">
      <c r="A314" s="90" t="s">
        <v>318</v>
      </c>
      <c r="B314" s="90" t="s">
        <v>2550</v>
      </c>
      <c r="C314" s="90"/>
      <c r="D314" s="90"/>
      <c r="E314" s="90"/>
      <c r="F314" s="90">
        <v>1020</v>
      </c>
      <c r="G314" s="98"/>
    </row>
    <row r="315" s="75" customFormat="1" ht="14.25" customHeight="1" spans="1:7">
      <c r="A315" s="90" t="s">
        <v>318</v>
      </c>
      <c r="B315" s="90" t="s">
        <v>2551</v>
      </c>
      <c r="C315" s="90"/>
      <c r="D315" s="90"/>
      <c r="E315" s="90"/>
      <c r="F315" s="90">
        <v>1050</v>
      </c>
      <c r="G315" s="98"/>
    </row>
    <row r="316" s="75" customFormat="1" ht="14.25" customHeight="1" spans="1:7">
      <c r="A316" s="90" t="s">
        <v>318</v>
      </c>
      <c r="B316" s="90" t="s">
        <v>2552</v>
      </c>
      <c r="C316" s="90"/>
      <c r="D316" s="90"/>
      <c r="E316" s="90"/>
      <c r="F316" s="90">
        <v>900</v>
      </c>
      <c r="G316" s="98"/>
    </row>
    <row r="317" s="75" customFormat="1" ht="14.25" customHeight="1" spans="1:7">
      <c r="A317" s="90" t="s">
        <v>318</v>
      </c>
      <c r="B317" s="90" t="s">
        <v>2553</v>
      </c>
      <c r="C317" s="90"/>
      <c r="D317" s="90"/>
      <c r="E317" s="90"/>
      <c r="F317" s="90">
        <v>920</v>
      </c>
      <c r="G317" s="98"/>
    </row>
    <row r="318" s="75" customFormat="1" ht="14.25" customHeight="1" spans="1:7">
      <c r="A318" s="90" t="s">
        <v>318</v>
      </c>
      <c r="B318" s="90" t="s">
        <v>2554</v>
      </c>
      <c r="C318" s="90"/>
      <c r="D318" s="90"/>
      <c r="E318" s="90"/>
      <c r="F318" s="90">
        <v>1080</v>
      </c>
      <c r="G318" s="98"/>
    </row>
    <row r="319" s="75" customFormat="1" ht="14.25" customHeight="1" spans="1:7">
      <c r="A319" s="90" t="s">
        <v>318</v>
      </c>
      <c r="B319" s="90" t="s">
        <v>2555</v>
      </c>
      <c r="C319" s="90"/>
      <c r="D319" s="90"/>
      <c r="E319" s="90"/>
      <c r="F319" s="90">
        <v>1020</v>
      </c>
      <c r="G319" s="98"/>
    </row>
    <row r="320" s="75" customFormat="1" ht="14.25" customHeight="1" spans="1:7">
      <c r="A320" s="90" t="s">
        <v>318</v>
      </c>
      <c r="B320" s="90" t="s">
        <v>2556</v>
      </c>
      <c r="C320" s="90"/>
      <c r="D320" s="90"/>
      <c r="E320" s="90"/>
      <c r="F320" s="90">
        <v>1050</v>
      </c>
      <c r="G320" s="98"/>
    </row>
    <row r="321" s="75" customFormat="1" ht="14.25" customHeight="1" spans="1:7">
      <c r="A321" s="90" t="s">
        <v>318</v>
      </c>
      <c r="B321" s="90" t="s">
        <v>2557</v>
      </c>
      <c r="C321" s="90"/>
      <c r="D321" s="90"/>
      <c r="E321" s="90"/>
      <c r="F321" s="90">
        <v>960</v>
      </c>
      <c r="G321" s="98"/>
    </row>
    <row r="322" s="75" customFormat="1" ht="14.25" customHeight="1" spans="1:7">
      <c r="A322" s="90" t="s">
        <v>318</v>
      </c>
      <c r="B322" s="90" t="s">
        <v>2558</v>
      </c>
      <c r="C322" s="90"/>
      <c r="D322" s="90"/>
      <c r="E322" s="90"/>
      <c r="F322" s="90">
        <v>960</v>
      </c>
      <c r="G322" s="98"/>
    </row>
    <row r="323" s="75" customFormat="1" ht="14.25" customHeight="1" spans="1:7">
      <c r="A323" s="90" t="s">
        <v>318</v>
      </c>
      <c r="B323" s="90" t="s">
        <v>2559</v>
      </c>
      <c r="C323" s="90"/>
      <c r="D323" s="90"/>
      <c r="E323" s="90"/>
      <c r="F323" s="90">
        <v>880</v>
      </c>
      <c r="G323" s="98"/>
    </row>
    <row r="324" s="75" customFormat="1" ht="14.25" customHeight="1" spans="1:7">
      <c r="A324" s="90" t="s">
        <v>318</v>
      </c>
      <c r="B324" s="90" t="s">
        <v>2560</v>
      </c>
      <c r="C324" s="90"/>
      <c r="D324" s="90"/>
      <c r="E324" s="90"/>
      <c r="F324" s="90">
        <v>930</v>
      </c>
      <c r="G324" s="98"/>
    </row>
    <row r="325" s="75" customFormat="1" ht="14.25" customHeight="1" spans="1:7">
      <c r="A325" s="90" t="s">
        <v>318</v>
      </c>
      <c r="B325" s="91" t="s">
        <v>2561</v>
      </c>
      <c r="C325" s="90"/>
      <c r="D325" s="90"/>
      <c r="E325" s="90"/>
      <c r="F325" s="90">
        <v>900</v>
      </c>
      <c r="G325" s="98"/>
    </row>
    <row r="326" s="75" customFormat="1" ht="14.25" customHeight="1" spans="1:7">
      <c r="A326" s="99" t="s">
        <v>318</v>
      </c>
      <c r="B326" s="94" t="s">
        <v>2562</v>
      </c>
      <c r="C326" s="94"/>
      <c r="D326" s="94"/>
      <c r="E326" s="94"/>
      <c r="F326" s="94">
        <v>790</v>
      </c>
      <c r="G326" s="100"/>
    </row>
    <row r="327" s="75" customFormat="1" ht="14.25" customHeight="1" spans="1:7">
      <c r="A327" s="88" t="s">
        <v>324</v>
      </c>
      <c r="B327" s="89" t="s">
        <v>2563</v>
      </c>
      <c r="C327" s="90">
        <v>3750</v>
      </c>
      <c r="D327" s="90">
        <v>3710</v>
      </c>
      <c r="E327" s="90">
        <v>4080</v>
      </c>
      <c r="F327" s="90">
        <v>860</v>
      </c>
      <c r="G327" s="90">
        <v>2210</v>
      </c>
    </row>
    <row r="328" s="75" customFormat="1" ht="14.25" customHeight="1" spans="1:7">
      <c r="A328" s="90" t="s">
        <v>324</v>
      </c>
      <c r="B328" s="90" t="s">
        <v>2564</v>
      </c>
      <c r="C328" s="90">
        <v>3330</v>
      </c>
      <c r="D328" s="90">
        <v>3290</v>
      </c>
      <c r="E328" s="90">
        <v>3610</v>
      </c>
      <c r="F328" s="90">
        <v>850</v>
      </c>
      <c r="G328" s="90">
        <v>1960</v>
      </c>
    </row>
    <row r="329" s="75" customFormat="1" ht="14.25" customHeight="1" spans="1:7">
      <c r="A329" s="90" t="s">
        <v>324</v>
      </c>
      <c r="B329" s="90" t="s">
        <v>2565</v>
      </c>
      <c r="C329" s="90">
        <v>2730</v>
      </c>
      <c r="D329" s="90">
        <v>2690</v>
      </c>
      <c r="E329" s="90">
        <v>3100</v>
      </c>
      <c r="F329" s="90">
        <v>660</v>
      </c>
      <c r="G329" s="90">
        <v>1610</v>
      </c>
    </row>
    <row r="330" s="75" customFormat="1" ht="14.25" customHeight="1" spans="1:7">
      <c r="A330" s="90" t="s">
        <v>324</v>
      </c>
      <c r="B330" s="90" t="s">
        <v>2566</v>
      </c>
      <c r="C330" s="90">
        <v>3270</v>
      </c>
      <c r="D330" s="90">
        <v>3240</v>
      </c>
      <c r="E330" s="90">
        <v>3560</v>
      </c>
      <c r="F330" s="90">
        <v>680</v>
      </c>
      <c r="G330" s="90">
        <v>1940</v>
      </c>
    </row>
    <row r="331" s="75" customFormat="1" ht="14.25" customHeight="1" spans="1:7">
      <c r="A331" s="90" t="s">
        <v>324</v>
      </c>
      <c r="B331" s="90" t="s">
        <v>2567</v>
      </c>
      <c r="C331" s="90">
        <v>3770</v>
      </c>
      <c r="D331" s="90">
        <v>3740</v>
      </c>
      <c r="E331" s="90">
        <v>4110</v>
      </c>
      <c r="F331" s="90">
        <v>730</v>
      </c>
      <c r="G331" s="90">
        <v>2230</v>
      </c>
    </row>
    <row r="332" s="75" customFormat="1" ht="14.25" customHeight="1" spans="1:7">
      <c r="A332" s="90" t="s">
        <v>324</v>
      </c>
      <c r="B332" s="90" t="s">
        <v>2568</v>
      </c>
      <c r="C332" s="90">
        <v>3520</v>
      </c>
      <c r="D332" s="90">
        <v>3480</v>
      </c>
      <c r="E332" s="90">
        <v>3830</v>
      </c>
      <c r="F332" s="90">
        <v>720</v>
      </c>
      <c r="G332" s="90">
        <v>2090</v>
      </c>
    </row>
    <row r="333" s="75" customFormat="1" ht="14.25" customHeight="1" spans="1:7">
      <c r="A333" s="90" t="s">
        <v>324</v>
      </c>
      <c r="B333" s="90" t="s">
        <v>2569</v>
      </c>
      <c r="C333" s="90">
        <v>3840</v>
      </c>
      <c r="D333" s="90">
        <v>3800</v>
      </c>
      <c r="E333" s="90">
        <v>4200</v>
      </c>
      <c r="F333" s="90">
        <v>760</v>
      </c>
      <c r="G333" s="90">
        <v>2270</v>
      </c>
    </row>
    <row r="334" s="75" customFormat="1" ht="14.25" customHeight="1" spans="1:7">
      <c r="A334" s="90" t="s">
        <v>324</v>
      </c>
      <c r="B334" s="90" t="s">
        <v>2570</v>
      </c>
      <c r="C334" s="90">
        <v>3960</v>
      </c>
      <c r="D334" s="90">
        <v>3910</v>
      </c>
      <c r="E334" s="90">
        <v>4340</v>
      </c>
      <c r="F334" s="90">
        <v>780</v>
      </c>
      <c r="G334" s="90">
        <v>2340</v>
      </c>
    </row>
    <row r="335" s="75" customFormat="1" ht="14.25" customHeight="1" spans="1:7">
      <c r="A335" s="90" t="s">
        <v>324</v>
      </c>
      <c r="B335" s="90" t="s">
        <v>2571</v>
      </c>
      <c r="C335" s="90">
        <v>3710</v>
      </c>
      <c r="D335" s="90">
        <v>3670</v>
      </c>
      <c r="E335" s="90">
        <v>4030</v>
      </c>
      <c r="F335" s="90">
        <v>750</v>
      </c>
      <c r="G335" s="90">
        <v>2200</v>
      </c>
    </row>
    <row r="336" s="75" customFormat="1" ht="14.25" customHeight="1" spans="1:7">
      <c r="A336" s="90" t="s">
        <v>324</v>
      </c>
      <c r="B336" s="90" t="s">
        <v>2572</v>
      </c>
      <c r="C336" s="90">
        <v>3570</v>
      </c>
      <c r="D336" s="90">
        <v>3530</v>
      </c>
      <c r="E336" s="90">
        <v>3880</v>
      </c>
      <c r="F336" s="90">
        <v>770</v>
      </c>
      <c r="G336" s="90">
        <v>2110</v>
      </c>
    </row>
    <row r="337" s="75" customFormat="1" ht="14.25" customHeight="1" spans="1:7">
      <c r="A337" s="90" t="s">
        <v>324</v>
      </c>
      <c r="B337" s="90" t="s">
        <v>2573</v>
      </c>
      <c r="C337" s="90">
        <v>3780</v>
      </c>
      <c r="D337" s="90">
        <v>3750</v>
      </c>
      <c r="E337" s="90">
        <v>4130</v>
      </c>
      <c r="F337" s="90">
        <v>750</v>
      </c>
      <c r="G337" s="90">
        <v>2240</v>
      </c>
    </row>
    <row r="338" s="75" customFormat="1" ht="14.25" customHeight="1" spans="1:7">
      <c r="A338" s="90" t="s">
        <v>324</v>
      </c>
      <c r="B338" s="90" t="s">
        <v>2574</v>
      </c>
      <c r="C338" s="90">
        <v>3600</v>
      </c>
      <c r="D338" s="90">
        <v>3570</v>
      </c>
      <c r="E338" s="90">
        <v>3920</v>
      </c>
      <c r="F338" s="90">
        <v>790</v>
      </c>
      <c r="G338" s="90">
        <v>2140</v>
      </c>
    </row>
    <row r="339" s="75" customFormat="1" ht="14.25" customHeight="1" spans="1:7">
      <c r="A339" s="90" t="s">
        <v>324</v>
      </c>
      <c r="B339" s="90" t="s">
        <v>2575</v>
      </c>
      <c r="C339" s="90">
        <v>3540</v>
      </c>
      <c r="D339" s="90">
        <v>3500</v>
      </c>
      <c r="E339" s="90">
        <v>3850</v>
      </c>
      <c r="F339" s="90">
        <v>780</v>
      </c>
      <c r="G339" s="90">
        <v>2100</v>
      </c>
    </row>
    <row r="340" s="75" customFormat="1" ht="14.25" customHeight="1" spans="1:7">
      <c r="A340" s="90" t="s">
        <v>324</v>
      </c>
      <c r="B340" s="90" t="s">
        <v>2576</v>
      </c>
      <c r="C340" s="90">
        <v>3850</v>
      </c>
      <c r="D340" s="90">
        <v>3810</v>
      </c>
      <c r="E340" s="90">
        <v>4210</v>
      </c>
      <c r="F340" s="90">
        <v>750</v>
      </c>
      <c r="G340" s="90">
        <v>2280</v>
      </c>
    </row>
    <row r="341" s="75" customFormat="1" ht="14.25" customHeight="1" spans="1:7">
      <c r="A341" s="90" t="s">
        <v>324</v>
      </c>
      <c r="B341" s="90" t="s">
        <v>2577</v>
      </c>
      <c r="C341" s="90">
        <v>3780</v>
      </c>
      <c r="D341" s="90">
        <v>3750</v>
      </c>
      <c r="E341" s="90">
        <v>4140</v>
      </c>
      <c r="F341" s="90">
        <v>720</v>
      </c>
      <c r="G341" s="90">
        <v>2240</v>
      </c>
    </row>
    <row r="342" s="75" customFormat="1" ht="14.25" customHeight="1" spans="1:7">
      <c r="A342" s="90" t="s">
        <v>324</v>
      </c>
      <c r="B342" s="90" t="s">
        <v>2578</v>
      </c>
      <c r="C342" s="90">
        <v>3670</v>
      </c>
      <c r="D342" s="90">
        <v>3620</v>
      </c>
      <c r="E342" s="90">
        <v>3990</v>
      </c>
      <c r="F342" s="90">
        <v>760</v>
      </c>
      <c r="G342" s="90">
        <v>2170</v>
      </c>
    </row>
    <row r="343" s="75" customFormat="1" ht="14.25" customHeight="1" spans="1:7">
      <c r="A343" s="90" t="s">
        <v>324</v>
      </c>
      <c r="B343" s="90" t="s">
        <v>2579</v>
      </c>
      <c r="C343" s="90">
        <v>3760</v>
      </c>
      <c r="D343" s="90">
        <v>3720</v>
      </c>
      <c r="E343" s="90">
        <v>4090</v>
      </c>
      <c r="F343" s="90">
        <v>780</v>
      </c>
      <c r="G343" s="90">
        <v>2220</v>
      </c>
    </row>
    <row r="344" s="75" customFormat="1" ht="14.25" customHeight="1" spans="1:7">
      <c r="A344" s="90" t="s">
        <v>324</v>
      </c>
      <c r="B344" s="90" t="s">
        <v>2580</v>
      </c>
      <c r="C344" s="90">
        <v>3680</v>
      </c>
      <c r="D344" s="90">
        <v>3640</v>
      </c>
      <c r="E344" s="90">
        <v>4010</v>
      </c>
      <c r="F344" s="90">
        <v>750</v>
      </c>
      <c r="G344" s="90">
        <v>2180</v>
      </c>
    </row>
    <row r="345" spans="1:10">
      <c r="A345" s="90" t="s">
        <v>324</v>
      </c>
      <c r="B345" s="90" t="s">
        <v>2581</v>
      </c>
      <c r="C345" s="90">
        <v>3190</v>
      </c>
      <c r="D345" s="90">
        <v>3140</v>
      </c>
      <c r="E345" s="90">
        <v>3450</v>
      </c>
      <c r="F345" s="90">
        <v>720</v>
      </c>
      <c r="G345" s="90">
        <v>1880</v>
      </c>
      <c r="J345" s="75"/>
    </row>
    <row r="346" spans="1:10">
      <c r="A346" s="90" t="s">
        <v>324</v>
      </c>
      <c r="B346" s="90" t="s">
        <v>2582</v>
      </c>
      <c r="C346" s="90">
        <v>3630</v>
      </c>
      <c r="D346" s="90">
        <v>3590</v>
      </c>
      <c r="E346" s="90">
        <v>3940</v>
      </c>
      <c r="F346" s="90">
        <v>730</v>
      </c>
      <c r="G346" s="90">
        <v>2150</v>
      </c>
      <c r="J346" s="75"/>
    </row>
    <row r="347" spans="1:10">
      <c r="A347" s="90" t="s">
        <v>324</v>
      </c>
      <c r="B347" s="90" t="s">
        <v>2583</v>
      </c>
      <c r="C347" s="90">
        <v>3860</v>
      </c>
      <c r="D347" s="90">
        <v>3820</v>
      </c>
      <c r="E347" s="90">
        <v>4220</v>
      </c>
      <c r="F347" s="90">
        <v>750</v>
      </c>
      <c r="G347" s="90">
        <v>2280</v>
      </c>
      <c r="J347" s="75"/>
    </row>
    <row r="348" spans="1:10">
      <c r="A348" s="90" t="s">
        <v>324</v>
      </c>
      <c r="B348" s="90" t="s">
        <v>2584</v>
      </c>
      <c r="C348" s="90">
        <v>4000</v>
      </c>
      <c r="D348" s="90">
        <v>3950</v>
      </c>
      <c r="E348" s="90">
        <v>4430</v>
      </c>
      <c r="F348" s="90">
        <v>760</v>
      </c>
      <c r="G348" s="90">
        <v>2360</v>
      </c>
      <c r="J348" s="75"/>
    </row>
    <row r="349" spans="1:10">
      <c r="A349" s="90" t="s">
        <v>324</v>
      </c>
      <c r="B349" s="90" t="s">
        <v>2585</v>
      </c>
      <c r="C349" s="90">
        <v>3820</v>
      </c>
      <c r="D349" s="90">
        <v>3780</v>
      </c>
      <c r="E349" s="90">
        <v>4170</v>
      </c>
      <c r="F349" s="90">
        <v>710</v>
      </c>
      <c r="G349" s="90">
        <v>2260</v>
      </c>
      <c r="J349" s="75"/>
    </row>
    <row r="350" spans="1:10">
      <c r="A350" s="90" t="s">
        <v>324</v>
      </c>
      <c r="B350" s="90" t="s">
        <v>2586</v>
      </c>
      <c r="C350" s="90">
        <v>3760</v>
      </c>
      <c r="D350" s="90">
        <v>3730</v>
      </c>
      <c r="E350" s="90">
        <v>4100</v>
      </c>
      <c r="F350" s="90">
        <v>800</v>
      </c>
      <c r="G350" s="90">
        <v>2230</v>
      </c>
      <c r="J350" s="75"/>
    </row>
    <row r="351" spans="1:10">
      <c r="A351" s="90" t="s">
        <v>324</v>
      </c>
      <c r="B351" s="90" t="s">
        <v>2587</v>
      </c>
      <c r="C351" s="90">
        <v>3610</v>
      </c>
      <c r="D351" s="90">
        <v>3580</v>
      </c>
      <c r="E351" s="90">
        <v>3930</v>
      </c>
      <c r="F351" s="90">
        <v>700</v>
      </c>
      <c r="G351" s="90">
        <v>2140</v>
      </c>
      <c r="J351" s="75"/>
    </row>
    <row r="352" spans="1:7">
      <c r="A352" s="90" t="s">
        <v>324</v>
      </c>
      <c r="B352" s="90" t="s">
        <v>2588</v>
      </c>
      <c r="C352" s="90">
        <v>3670</v>
      </c>
      <c r="D352" s="90">
        <v>3630</v>
      </c>
      <c r="E352" s="90">
        <v>4000</v>
      </c>
      <c r="F352" s="90">
        <v>750</v>
      </c>
      <c r="G352" s="90">
        <v>2180</v>
      </c>
    </row>
    <row r="353" s="76" customFormat="1" spans="1:7">
      <c r="A353" s="90" t="s">
        <v>324</v>
      </c>
      <c r="B353" s="90" t="s">
        <v>2589</v>
      </c>
      <c r="C353" s="90">
        <v>3190</v>
      </c>
      <c r="D353" s="90">
        <v>3150</v>
      </c>
      <c r="E353" s="90">
        <v>3640</v>
      </c>
      <c r="F353" s="90">
        <v>630</v>
      </c>
      <c r="G353" s="90">
        <v>1890</v>
      </c>
    </row>
    <row r="354" s="76" customFormat="1" spans="1:7">
      <c r="A354" s="90" t="s">
        <v>324</v>
      </c>
      <c r="B354" s="90" t="s">
        <v>2590</v>
      </c>
      <c r="C354" s="90">
        <v>3450</v>
      </c>
      <c r="D354" s="90">
        <v>3420</v>
      </c>
      <c r="E354" s="90">
        <v>3960</v>
      </c>
      <c r="F354" s="90">
        <v>660</v>
      </c>
      <c r="G354" s="90">
        <v>2050</v>
      </c>
    </row>
    <row r="355" s="76" customFormat="1" spans="1:7">
      <c r="A355" s="90" t="s">
        <v>324</v>
      </c>
      <c r="B355" s="90" t="s">
        <v>2591</v>
      </c>
      <c r="C355" s="90">
        <v>3650</v>
      </c>
      <c r="D355" s="90">
        <v>3610</v>
      </c>
      <c r="E355" s="90">
        <v>4200</v>
      </c>
      <c r="F355" s="90">
        <v>640</v>
      </c>
      <c r="G355" s="90">
        <v>2160</v>
      </c>
    </row>
    <row r="356" s="76" customFormat="1" spans="1:7">
      <c r="A356" s="90" t="s">
        <v>324</v>
      </c>
      <c r="B356" s="90" t="s">
        <v>2592</v>
      </c>
      <c r="C356" s="90">
        <v>3260</v>
      </c>
      <c r="D356" s="90">
        <v>3230</v>
      </c>
      <c r="E356" s="90">
        <v>3740</v>
      </c>
      <c r="F356" s="90">
        <v>600</v>
      </c>
      <c r="G356" s="90">
        <v>1930</v>
      </c>
    </row>
    <row r="357" s="76" customFormat="1" ht="12" spans="1:7">
      <c r="A357" s="92" t="s">
        <v>324</v>
      </c>
      <c r="B357" s="96" t="s">
        <v>2593</v>
      </c>
      <c r="C357" s="96">
        <v>3690</v>
      </c>
      <c r="D357" s="96">
        <v>3650</v>
      </c>
      <c r="E357" s="96">
        <v>4020</v>
      </c>
      <c r="F357" s="96">
        <v>700</v>
      </c>
      <c r="G357" s="96">
        <v>2190</v>
      </c>
    </row>
    <row r="358" s="76" customFormat="1" spans="1:7">
      <c r="A358" s="88" t="s">
        <v>330</v>
      </c>
      <c r="B358" s="89" t="s">
        <v>2594</v>
      </c>
      <c r="C358" s="89">
        <v>2080</v>
      </c>
      <c r="D358" s="89">
        <v>2040</v>
      </c>
      <c r="E358" s="89">
        <v>2010</v>
      </c>
      <c r="F358" s="89">
        <v>530</v>
      </c>
      <c r="G358" s="97">
        <v>1230</v>
      </c>
    </row>
    <row r="359" s="76" customFormat="1" spans="1:7">
      <c r="A359" s="90" t="s">
        <v>330</v>
      </c>
      <c r="B359" s="90" t="s">
        <v>2595</v>
      </c>
      <c r="C359" s="90">
        <v>1850</v>
      </c>
      <c r="D359" s="90">
        <v>1820</v>
      </c>
      <c r="E359" s="90">
        <v>1780</v>
      </c>
      <c r="F359" s="90">
        <v>520</v>
      </c>
      <c r="G359" s="98">
        <v>1100</v>
      </c>
    </row>
    <row r="360" s="76" customFormat="1" spans="1:7">
      <c r="A360" s="90" t="s">
        <v>330</v>
      </c>
      <c r="B360" s="90" t="s">
        <v>2596</v>
      </c>
      <c r="C360" s="90">
        <v>2020</v>
      </c>
      <c r="D360" s="90">
        <v>1990</v>
      </c>
      <c r="E360" s="90">
        <v>1950</v>
      </c>
      <c r="F360" s="90">
        <v>500</v>
      </c>
      <c r="G360" s="98">
        <v>1200</v>
      </c>
    </row>
    <row r="361" s="76" customFormat="1" spans="1:7">
      <c r="A361" s="90" t="s">
        <v>330</v>
      </c>
      <c r="B361" s="90" t="s">
        <v>2597</v>
      </c>
      <c r="C361" s="90">
        <v>2260</v>
      </c>
      <c r="D361" s="90">
        <v>2220</v>
      </c>
      <c r="E361" s="90">
        <v>2180</v>
      </c>
      <c r="F361" s="90">
        <v>580</v>
      </c>
      <c r="G361" s="98">
        <v>1340</v>
      </c>
    </row>
    <row r="362" s="76" customFormat="1" spans="1:7">
      <c r="A362" s="90" t="s">
        <v>330</v>
      </c>
      <c r="B362" s="90" t="s">
        <v>2598</v>
      </c>
      <c r="C362" s="90">
        <v>2650</v>
      </c>
      <c r="D362" s="90">
        <v>2610</v>
      </c>
      <c r="E362" s="90">
        <v>2570</v>
      </c>
      <c r="F362" s="90">
        <v>630</v>
      </c>
      <c r="G362" s="98">
        <v>1570</v>
      </c>
    </row>
    <row r="363" s="76" customFormat="1" spans="1:7">
      <c r="A363" s="90" t="s">
        <v>330</v>
      </c>
      <c r="B363" s="90" t="s">
        <v>2599</v>
      </c>
      <c r="C363" s="90">
        <v>2390</v>
      </c>
      <c r="D363" s="90">
        <v>2360</v>
      </c>
      <c r="E363" s="90">
        <v>2320</v>
      </c>
      <c r="F363" s="90">
        <v>600</v>
      </c>
      <c r="G363" s="98">
        <v>1420</v>
      </c>
    </row>
    <row r="364" s="76" customFormat="1" spans="1:7">
      <c r="A364" s="90" t="s">
        <v>330</v>
      </c>
      <c r="B364" s="90" t="s">
        <v>2600</v>
      </c>
      <c r="C364" s="90">
        <v>2050</v>
      </c>
      <c r="D364" s="90">
        <v>2030</v>
      </c>
      <c r="E364" s="90">
        <v>1990</v>
      </c>
      <c r="F364" s="90">
        <v>550</v>
      </c>
      <c r="G364" s="98">
        <v>1220</v>
      </c>
    </row>
    <row r="365" s="76" customFormat="1" spans="1:7">
      <c r="A365" s="90" t="s">
        <v>330</v>
      </c>
      <c r="B365" s="90" t="s">
        <v>2601</v>
      </c>
      <c r="C365" s="90">
        <v>2140</v>
      </c>
      <c r="D365" s="90">
        <v>2100</v>
      </c>
      <c r="E365" s="90">
        <v>2060</v>
      </c>
      <c r="F365" s="90">
        <v>540</v>
      </c>
      <c r="G365" s="98">
        <v>1270</v>
      </c>
    </row>
    <row r="366" s="76" customFormat="1" spans="1:7">
      <c r="A366" s="90" t="s">
        <v>330</v>
      </c>
      <c r="B366" s="90" t="s">
        <v>2602</v>
      </c>
      <c r="C366" s="90">
        <v>2410</v>
      </c>
      <c r="D366" s="90">
        <v>2370</v>
      </c>
      <c r="E366" s="90">
        <v>2330</v>
      </c>
      <c r="F366" s="90">
        <v>570</v>
      </c>
      <c r="G366" s="98">
        <v>1440</v>
      </c>
    </row>
    <row r="367" s="76" customFormat="1" spans="1:7">
      <c r="A367" s="90" t="s">
        <v>330</v>
      </c>
      <c r="B367" s="90" t="s">
        <v>2603</v>
      </c>
      <c r="C367" s="90">
        <v>2300</v>
      </c>
      <c r="D367" s="90">
        <v>2260</v>
      </c>
      <c r="E367" s="90">
        <v>2220</v>
      </c>
      <c r="F367" s="90">
        <v>560</v>
      </c>
      <c r="G367" s="98">
        <v>1370</v>
      </c>
    </row>
    <row r="368" s="76" customFormat="1" spans="1:7">
      <c r="A368" s="90" t="s">
        <v>330</v>
      </c>
      <c r="B368" s="90" t="s">
        <v>2604</v>
      </c>
      <c r="C368" s="90">
        <v>2430</v>
      </c>
      <c r="D368" s="90">
        <v>2390</v>
      </c>
      <c r="E368" s="90">
        <v>2350</v>
      </c>
      <c r="F368" s="90">
        <v>570</v>
      </c>
      <c r="G368" s="98">
        <v>1450</v>
      </c>
    </row>
    <row r="369" s="76" customFormat="1" spans="1:7">
      <c r="A369" s="90" t="s">
        <v>330</v>
      </c>
      <c r="B369" s="90" t="s">
        <v>2605</v>
      </c>
      <c r="C369" s="90">
        <v>2320</v>
      </c>
      <c r="D369" s="90">
        <v>2290</v>
      </c>
      <c r="E369" s="90">
        <v>2250</v>
      </c>
      <c r="F369" s="90">
        <v>550</v>
      </c>
      <c r="G369" s="98">
        <v>1380</v>
      </c>
    </row>
    <row r="370" s="76" customFormat="1" spans="1:7">
      <c r="A370" s="90" t="s">
        <v>330</v>
      </c>
      <c r="B370" s="90" t="s">
        <v>2606</v>
      </c>
      <c r="C370" s="90">
        <v>2190</v>
      </c>
      <c r="D370" s="90">
        <v>2170</v>
      </c>
      <c r="E370" s="90">
        <v>2130</v>
      </c>
      <c r="F370" s="90">
        <v>530</v>
      </c>
      <c r="G370" s="98">
        <v>1310</v>
      </c>
    </row>
    <row r="371" s="76" customFormat="1" spans="1:7">
      <c r="A371" s="90" t="s">
        <v>330</v>
      </c>
      <c r="B371" s="90" t="s">
        <v>2607</v>
      </c>
      <c r="C371" s="90">
        <v>2460</v>
      </c>
      <c r="D371" s="90">
        <v>2420</v>
      </c>
      <c r="E371" s="90">
        <v>2370</v>
      </c>
      <c r="F371" s="90">
        <v>560</v>
      </c>
      <c r="G371" s="98">
        <v>1470</v>
      </c>
    </row>
    <row r="372" s="76" customFormat="1" spans="1:7">
      <c r="A372" s="90" t="s">
        <v>330</v>
      </c>
      <c r="B372" s="90" t="s">
        <v>2608</v>
      </c>
      <c r="C372" s="90">
        <v>2250</v>
      </c>
      <c r="D372" s="90">
        <v>2210</v>
      </c>
      <c r="E372" s="90">
        <v>2180</v>
      </c>
      <c r="F372" s="90">
        <v>550</v>
      </c>
      <c r="G372" s="98">
        <v>1340</v>
      </c>
    </row>
    <row r="373" s="76" customFormat="1" spans="1:7">
      <c r="A373" s="90" t="s">
        <v>330</v>
      </c>
      <c r="B373" s="90" t="s">
        <v>2609</v>
      </c>
      <c r="C373" s="90">
        <v>2210</v>
      </c>
      <c r="D373" s="90">
        <v>2190</v>
      </c>
      <c r="E373" s="90">
        <v>2150</v>
      </c>
      <c r="F373" s="90">
        <v>530</v>
      </c>
      <c r="G373" s="98">
        <v>1320</v>
      </c>
    </row>
    <row r="374" s="76" customFormat="1" spans="1:7">
      <c r="A374" s="90" t="s">
        <v>330</v>
      </c>
      <c r="B374" s="90" t="s">
        <v>2610</v>
      </c>
      <c r="C374" s="90">
        <v>2320</v>
      </c>
      <c r="D374" s="90">
        <v>2280</v>
      </c>
      <c r="E374" s="90">
        <v>2230</v>
      </c>
      <c r="F374" s="90">
        <v>580</v>
      </c>
      <c r="G374" s="98">
        <v>1380</v>
      </c>
    </row>
    <row r="375" s="76" customFormat="1" spans="1:7">
      <c r="A375" s="90" t="s">
        <v>330</v>
      </c>
      <c r="B375" s="90" t="s">
        <v>2611</v>
      </c>
      <c r="C375" s="90">
        <v>2090</v>
      </c>
      <c r="D375" s="90">
        <v>2050</v>
      </c>
      <c r="E375" s="90">
        <v>2020</v>
      </c>
      <c r="F375" s="90">
        <v>520</v>
      </c>
      <c r="G375" s="98">
        <v>1240</v>
      </c>
    </row>
    <row r="376" s="76" customFormat="1" spans="1:7">
      <c r="A376" s="90" t="s">
        <v>330</v>
      </c>
      <c r="B376" s="90" t="s">
        <v>2612</v>
      </c>
      <c r="C376" s="90">
        <v>2010</v>
      </c>
      <c r="D376" s="90">
        <v>1980</v>
      </c>
      <c r="E376" s="90">
        <v>1940</v>
      </c>
      <c r="F376" s="90">
        <v>540</v>
      </c>
      <c r="G376" s="98">
        <v>1190</v>
      </c>
    </row>
    <row r="377" s="76" customFormat="1" ht="12" spans="1:7">
      <c r="A377" s="92" t="s">
        <v>330</v>
      </c>
      <c r="B377" s="96" t="s">
        <v>2613</v>
      </c>
      <c r="C377" s="96">
        <v>1930</v>
      </c>
      <c r="D377" s="96">
        <v>1890</v>
      </c>
      <c r="E377" s="96">
        <v>1860</v>
      </c>
      <c r="F377" s="96">
        <v>530</v>
      </c>
      <c r="G377" s="105">
        <v>1150</v>
      </c>
    </row>
    <row r="378" s="76" customFormat="1" spans="1:7">
      <c r="A378" s="106" t="s">
        <v>336</v>
      </c>
      <c r="B378" s="89" t="s">
        <v>2614</v>
      </c>
      <c r="C378" s="89">
        <v>1520</v>
      </c>
      <c r="D378" s="89">
        <v>1490</v>
      </c>
      <c r="E378" s="89">
        <v>1460</v>
      </c>
      <c r="F378" s="89">
        <v>460</v>
      </c>
      <c r="G378" s="97">
        <v>940</v>
      </c>
    </row>
    <row r="379" s="76" customFormat="1" spans="1:7">
      <c r="A379" s="107" t="s">
        <v>336</v>
      </c>
      <c r="B379" s="90" t="s">
        <v>2615</v>
      </c>
      <c r="C379" s="90">
        <v>1500</v>
      </c>
      <c r="D379" s="90">
        <v>1470</v>
      </c>
      <c r="E379" s="90">
        <v>1430</v>
      </c>
      <c r="F379" s="90">
        <v>460</v>
      </c>
      <c r="G379" s="98">
        <v>920</v>
      </c>
    </row>
    <row r="380" s="76" customFormat="1" spans="1:7">
      <c r="A380" s="107" t="s">
        <v>336</v>
      </c>
      <c r="B380" s="90" t="s">
        <v>2616</v>
      </c>
      <c r="C380" s="90">
        <v>1620</v>
      </c>
      <c r="D380" s="90">
        <v>1590</v>
      </c>
      <c r="E380" s="90">
        <v>1560</v>
      </c>
      <c r="F380" s="90">
        <v>480</v>
      </c>
      <c r="G380" s="98">
        <v>1000</v>
      </c>
    </row>
    <row r="381" s="76" customFormat="1" spans="1:7">
      <c r="A381" s="107" t="s">
        <v>336</v>
      </c>
      <c r="B381" s="90" t="s">
        <v>2617</v>
      </c>
      <c r="C381" s="90">
        <v>1460</v>
      </c>
      <c r="D381" s="90">
        <v>1430</v>
      </c>
      <c r="E381" s="90">
        <v>1390</v>
      </c>
      <c r="F381" s="90">
        <v>450</v>
      </c>
      <c r="G381" s="98">
        <v>900</v>
      </c>
    </row>
    <row r="382" s="76" customFormat="1" spans="1:7">
      <c r="A382" s="107" t="s">
        <v>336</v>
      </c>
      <c r="B382" s="90" t="s">
        <v>2618</v>
      </c>
      <c r="C382" s="90">
        <v>1310</v>
      </c>
      <c r="D382" s="90">
        <v>1280</v>
      </c>
      <c r="E382" s="90">
        <v>1250</v>
      </c>
      <c r="F382" s="90">
        <v>440</v>
      </c>
      <c r="G382" s="98">
        <v>800</v>
      </c>
    </row>
    <row r="383" s="76" customFormat="1" spans="1:7">
      <c r="A383" s="107" t="s">
        <v>336</v>
      </c>
      <c r="B383" s="90" t="s">
        <v>2619</v>
      </c>
      <c r="C383" s="90">
        <v>1260</v>
      </c>
      <c r="D383" s="90">
        <v>1230</v>
      </c>
      <c r="E383" s="90">
        <v>1200</v>
      </c>
      <c r="F383" s="90">
        <v>420</v>
      </c>
      <c r="G383" s="98">
        <v>770</v>
      </c>
    </row>
    <row r="384" s="76" customFormat="1" ht="12" spans="1:7">
      <c r="A384" s="108" t="s">
        <v>336</v>
      </c>
      <c r="B384" s="94" t="s">
        <v>2620</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45846</v>
      </c>
      <c r="D1" s="7" t="s">
        <v>2754</v>
      </c>
      <c r="E1" s="9">
        <f>'数据-取费表'!B22</f>
        <v>2</v>
      </c>
      <c r="F1" s="7" t="s">
        <v>2755</v>
      </c>
      <c r="G1" s="10">
        <f ca="1">INDIRECT("d"&amp;$K$1)/100</f>
        <v>0.03</v>
      </c>
      <c r="H1" s="7" t="s">
        <v>2756</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2755</v>
      </c>
      <c r="E2" s="11"/>
      <c r="F2" s="11" t="s">
        <v>2757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2758</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2759</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2760</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2761</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2762</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2764</v>
      </c>
      <c r="C10" s="35"/>
      <c r="D10" s="35"/>
      <c r="E10" s="35"/>
      <c r="F10" s="35"/>
      <c r="G10" s="35"/>
      <c r="H10" s="35"/>
      <c r="I10" s="3"/>
      <c r="J10" s="3"/>
      <c r="K10" s="35"/>
      <c r="L10" s="36" t="s">
        <v>2765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2766</v>
      </c>
      <c r="C11" s="39" t="s">
        <v>2767</v>
      </c>
      <c r="D11" s="40" t="s">
        <v>2768</v>
      </c>
      <c r="E11" s="41"/>
      <c r="F11" s="40" t="s">
        <v>2769</v>
      </c>
      <c r="G11" s="42"/>
      <c r="H11" s="41"/>
      <c r="I11" s="40" t="s">
        <v>2770</v>
      </c>
      <c r="J11" s="41"/>
      <c r="K11" s="37"/>
      <c r="L11" s="38" t="s">
        <v>2766</v>
      </c>
      <c r="M11" s="39" t="s">
        <v>2767</v>
      </c>
      <c r="N11" s="38" t="s">
        <v>2771</v>
      </c>
      <c r="O11" s="40" t="s">
        <v>2772</v>
      </c>
      <c r="P11" s="42"/>
      <c r="Q11" s="42"/>
      <c r="R11" s="42"/>
      <c r="S11" s="42"/>
      <c r="T11" s="41"/>
      <c r="U11" s="40" t="s">
        <v>2773</v>
      </c>
      <c r="V11" s="42"/>
      <c r="W11" s="41"/>
      <c r="X11" s="38" t="s">
        <v>2774</v>
      </c>
      <c r="Y11" s="38" t="s">
        <v>2775</v>
      </c>
      <c r="Z11" s="38" t="s">
        <v>2776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2777</v>
      </c>
      <c r="E12" s="46" t="s">
        <v>2759</v>
      </c>
      <c r="F12" s="46" t="s">
        <v>2760</v>
      </c>
      <c r="G12" s="46" t="s">
        <v>2761</v>
      </c>
      <c r="H12" s="46" t="s">
        <v>2762</v>
      </c>
      <c r="I12" s="60" t="s">
        <v>2778</v>
      </c>
      <c r="J12" s="60" t="s">
        <v>2778</v>
      </c>
      <c r="K12" s="43"/>
      <c r="L12" s="44"/>
      <c r="M12" s="45"/>
      <c r="N12" s="44"/>
      <c r="O12" s="60" t="s">
        <v>2779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2780</v>
      </c>
      <c r="C13" s="49">
        <v>45797</v>
      </c>
      <c r="D13" s="50">
        <v>3</v>
      </c>
      <c r="E13" s="50">
        <v>3</v>
      </c>
      <c r="F13" s="50">
        <f t="shared" ref="F13:F18" si="0">D13</f>
        <v>3</v>
      </c>
      <c r="G13" s="50">
        <f t="shared" ref="G13:G18" si="1">D13</f>
        <v>3</v>
      </c>
      <c r="H13" s="50">
        <v>3.5</v>
      </c>
      <c r="I13" s="50"/>
      <c r="J13" s="50"/>
      <c r="K13" s="47"/>
      <c r="L13" s="48" t="s">
        <v>2780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2781</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2782</v>
      </c>
      <c r="Y42" s="52" t="s">
        <v>2782</v>
      </c>
      <c r="Z42" s="52" t="s">
        <v>2782</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2782</v>
      </c>
      <c r="Y43" s="52" t="s">
        <v>2782</v>
      </c>
      <c r="Z43" s="52" t="s">
        <v>2782</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2782</v>
      </c>
      <c r="Y44" s="52" t="s">
        <v>2782</v>
      </c>
      <c r="Z44" s="52" t="s">
        <v>2782</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2782</v>
      </c>
      <c r="Y45" s="52" t="s">
        <v>2782</v>
      </c>
      <c r="Z45" s="52" t="s">
        <v>2782</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2782</v>
      </c>
      <c r="Y46" s="52" t="s">
        <v>2782</v>
      </c>
      <c r="Z46" s="52" t="s">
        <v>2782</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2782</v>
      </c>
      <c r="Y47" s="52" t="s">
        <v>2782</v>
      </c>
      <c r="Z47" s="52" t="s">
        <v>2782</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2782</v>
      </c>
      <c r="Y48" s="52" t="s">
        <v>2782</v>
      </c>
      <c r="Z48" s="52" t="s">
        <v>2782</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2782</v>
      </c>
      <c r="Y49" s="52" t="s">
        <v>2782</v>
      </c>
      <c r="Z49" s="52" t="s">
        <v>2782</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2782</v>
      </c>
      <c r="Y50" s="52" t="s">
        <v>2782</v>
      </c>
      <c r="Z50" s="52" t="s">
        <v>2782</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2782</v>
      </c>
      <c r="V51" s="52" t="s">
        <v>2782</v>
      </c>
      <c r="W51" s="52" t="s">
        <v>2782</v>
      </c>
      <c r="X51" s="52" t="s">
        <v>2782</v>
      </c>
      <c r="Y51" s="52" t="s">
        <v>2782</v>
      </c>
      <c r="Z51" s="52" t="s">
        <v>2782</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2782</v>
      </c>
      <c r="J70" s="52" t="s">
        <v>2782</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57" t="str">
        <f>IF(项目基本情况!B9="房地产市场价值","估价结果一览表","结果表-2")</f>
        <v>结果表-2</v>
      </c>
      <c r="B1" s="3657"/>
      <c r="C1" s="3657"/>
      <c r="D1" s="3657"/>
      <c r="E1" s="3657"/>
      <c r="F1" s="3657"/>
      <c r="G1" s="3657"/>
      <c r="H1" s="3657"/>
      <c r="I1" s="3657"/>
    </row>
    <row r="2" ht="30" customHeight="1" spans="1:9">
      <c r="A2" s="3658" t="s">
        <v>107</v>
      </c>
      <c r="B2" s="3658" t="s">
        <v>108</v>
      </c>
      <c r="C2" s="3658" t="s">
        <v>109</v>
      </c>
      <c r="D2" s="3658" t="str">
        <f>结果表!D116</f>
        <v>出让国有建设用地使用权价值</v>
      </c>
      <c r="E2" s="3658"/>
      <c r="F2" s="3658" t="str">
        <f>结果表!F116</f>
        <v>在建建筑物价值</v>
      </c>
      <c r="G2" s="3658"/>
      <c r="H2" s="3658" t="str">
        <f>IF(项目基本情况!B9="房地产市场价值","房地产市场价值","房地产价值")</f>
        <v>房地产价值</v>
      </c>
      <c r="I2" s="3658"/>
    </row>
    <row r="3" ht="15" spans="1:9">
      <c r="A3" s="3659"/>
      <c r="B3" s="3659"/>
      <c r="C3" s="3659"/>
      <c r="D3" s="3659" t="s">
        <v>110</v>
      </c>
      <c r="E3" s="3659" t="s">
        <v>111</v>
      </c>
      <c r="F3" s="3659" t="s">
        <v>110</v>
      </c>
      <c r="G3" s="3659" t="s">
        <v>111</v>
      </c>
      <c r="H3" s="3659" t="s">
        <v>110</v>
      </c>
      <c r="I3" s="3659" t="s">
        <v>111</v>
      </c>
    </row>
    <row r="4" ht="15" spans="1:9">
      <c r="A4" s="3660" t="str">
        <f>项目基本情况!S2</f>
        <v>北京市房地产</v>
      </c>
      <c r="B4" s="3659">
        <f>项目基本情况!C17</f>
        <v>112.13</v>
      </c>
      <c r="C4" s="3659">
        <f>项目基本情况!C18</f>
        <v>0</v>
      </c>
      <c r="D4" s="3659">
        <f ca="1">结果表!D118</f>
        <v>159</v>
      </c>
      <c r="E4" s="3659">
        <f ca="1">结果表!E118</f>
        <v>14143</v>
      </c>
      <c r="F4" s="3659">
        <f ca="1">结果表!F118</f>
        <v>120</v>
      </c>
      <c r="G4" s="3659">
        <f ca="1">结果表!G118</f>
        <v>10669</v>
      </c>
      <c r="H4" s="3659">
        <f ca="1">结果表!H118</f>
        <v>278</v>
      </c>
      <c r="I4" s="3659">
        <f ca="1">结果表!I118</f>
        <v>24812</v>
      </c>
    </row>
    <row r="5" ht="30" customHeight="1" spans="1:9">
      <c r="A5" s="3659" t="s">
        <v>112</v>
      </c>
      <c r="B5" s="3659"/>
      <c r="C5" s="3659"/>
      <c r="D5" s="3659" t="str">
        <f ca="1">结果表!D119</f>
        <v>壹佰伍拾玖万元整</v>
      </c>
      <c r="E5" s="3659"/>
      <c r="F5" s="3659" t="str">
        <f ca="1">结果表!F119</f>
        <v>壹佰贰拾万元整</v>
      </c>
      <c r="G5" s="3659"/>
      <c r="H5" s="3659" t="str">
        <f ca="1">结果表!H119</f>
        <v>贰佰柒拾捌万元整</v>
      </c>
      <c r="I5" s="3659"/>
    </row>
    <row r="6" ht="15.75" spans="1:9">
      <c r="A6" s="3661" t="str">
        <f>结果表!A120</f>
        <v>估价师知悉的法定优先受偿款</v>
      </c>
      <c r="B6" s="3661"/>
      <c r="C6" s="3661"/>
      <c r="D6" s="3661">
        <f>结果表!D120</f>
        <v>0</v>
      </c>
      <c r="E6" s="3661"/>
      <c r="F6" s="3661"/>
      <c r="G6" s="3661"/>
      <c r="H6" s="3661"/>
      <c r="I6" s="3661"/>
    </row>
    <row r="7" ht="15" spans="1:9">
      <c r="A7" s="3659" t="s">
        <v>112</v>
      </c>
      <c r="B7" s="3659"/>
      <c r="C7" s="3659"/>
      <c r="D7" s="3662" t="str">
        <f>结果表!D121</f>
        <v>零元整</v>
      </c>
      <c r="E7" s="3663"/>
      <c r="F7" s="3663"/>
      <c r="G7" s="3663"/>
      <c r="H7" s="3663"/>
      <c r="I7" s="3667"/>
    </row>
    <row r="8" ht="15.75" spans="1:9">
      <c r="A8" s="3661" t="str">
        <f>结果表!A122</f>
        <v>房地产抵押价值</v>
      </c>
      <c r="B8" s="3661"/>
      <c r="C8" s="3661"/>
      <c r="D8" s="3661">
        <f ca="1">结果表!D122</f>
        <v>278</v>
      </c>
      <c r="E8" s="3661"/>
      <c r="F8" s="3661"/>
      <c r="G8" s="3661"/>
      <c r="H8" s="3661"/>
      <c r="I8" s="3661"/>
    </row>
    <row r="9" ht="15" spans="1:9">
      <c r="A9" s="3659" t="s">
        <v>112</v>
      </c>
      <c r="B9" s="3659"/>
      <c r="C9" s="3659"/>
      <c r="D9" s="3659" t="str">
        <f ca="1">结果表!D123</f>
        <v>贰佰柒拾捌万元整</v>
      </c>
      <c r="E9" s="3659"/>
      <c r="F9" s="3659"/>
      <c r="G9" s="3659"/>
      <c r="H9" s="3659"/>
      <c r="I9" s="3659"/>
    </row>
    <row r="10" ht="15.75" spans="1:9">
      <c r="A10" s="3661" t="str">
        <f>结果表!A124</f>
        <v/>
      </c>
      <c r="B10" s="3661"/>
      <c r="C10" s="3661"/>
      <c r="D10" s="3661" t="str">
        <f ca="1">结果表!D124</f>
        <v>——</v>
      </c>
      <c r="E10" s="3661"/>
      <c r="F10" s="3661"/>
      <c r="G10" s="3661"/>
      <c r="H10" s="3661"/>
      <c r="I10" s="3661"/>
    </row>
    <row r="11" ht="15" spans="1:9">
      <c r="A11" s="3659" t="s">
        <v>112</v>
      </c>
      <c r="B11" s="3659"/>
      <c r="C11" s="3659"/>
      <c r="D11" s="3659" t="e">
        <f ca="1">结果表!D125</f>
        <v>#VALUE!</v>
      </c>
      <c r="E11" s="3659"/>
      <c r="F11" s="3659"/>
      <c r="G11" s="3659"/>
      <c r="H11" s="3659"/>
      <c r="I11" s="3659"/>
    </row>
    <row r="12" ht="15.75" spans="1:9">
      <c r="A12" s="3661" t="str">
        <f>结果表!A126</f>
        <v/>
      </c>
      <c r="B12" s="3661"/>
      <c r="C12" s="3661"/>
      <c r="D12" s="3661" t="str">
        <f ca="1">结果表!D126</f>
        <v>——</v>
      </c>
      <c r="E12" s="3661"/>
      <c r="F12" s="3661"/>
      <c r="G12" s="3661"/>
      <c r="H12" s="3661"/>
      <c r="I12" s="3661"/>
    </row>
    <row r="13" ht="15.75" spans="1:9">
      <c r="A13" s="3664" t="s">
        <v>112</v>
      </c>
      <c r="B13" s="3664"/>
      <c r="C13" s="3664"/>
      <c r="D13" s="3664" t="e">
        <f ca="1">结果表!D127</f>
        <v>#VALUE!</v>
      </c>
      <c r="E13" s="3664"/>
      <c r="F13" s="3664"/>
      <c r="G13" s="3664"/>
      <c r="H13" s="3664"/>
      <c r="I13" s="3664"/>
    </row>
    <row r="14" spans="1:9">
      <c r="A14" s="3665" t="s">
        <v>113</v>
      </c>
      <c r="B14" s="3665"/>
      <c r="C14" s="3665"/>
      <c r="D14" s="3665"/>
      <c r="E14" s="3665"/>
      <c r="F14" s="3665"/>
      <c r="G14" s="3665"/>
      <c r="H14" s="3665"/>
      <c r="I14" s="3665"/>
    </row>
    <row r="16" ht="18.75" spans="1:9">
      <c r="A16" s="3666"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37" t="s">
        <v>114</v>
      </c>
      <c r="B1" s="3637"/>
      <c r="C1" s="3637"/>
      <c r="D1" s="3637"/>
    </row>
    <row r="2" ht="18" spans="1:4">
      <c r="A2" s="3638" t="s">
        <v>115</v>
      </c>
      <c r="B2" s="3638"/>
      <c r="C2" s="3638"/>
      <c r="D2" s="3638"/>
    </row>
    <row r="3" ht="18.75" spans="1:4">
      <c r="A3" s="3639" t="s">
        <v>116</v>
      </c>
      <c r="B3" s="3639" t="s">
        <v>117</v>
      </c>
      <c r="C3" s="3639" t="s">
        <v>118</v>
      </c>
      <c r="D3" s="3639" t="s">
        <v>119</v>
      </c>
    </row>
    <row r="4" ht="56.25" customHeight="1" spans="1:4">
      <c r="A4" s="3640">
        <f>项目基本情况!B4</f>
        <v>0</v>
      </c>
      <c r="B4" s="3641">
        <f ca="1">项目基本情况!C4</f>
        <v>0</v>
      </c>
      <c r="C4" s="3642"/>
      <c r="D4" s="3643" t="s">
        <v>120</v>
      </c>
    </row>
    <row r="5" ht="56.25" customHeight="1" spans="1:4">
      <c r="A5" s="3640">
        <f>项目基本情况!D4</f>
        <v>0</v>
      </c>
      <c r="B5" s="3641">
        <f ca="1">项目基本情况!E4</f>
        <v>0</v>
      </c>
      <c r="C5" s="3644"/>
      <c r="D5" s="3643" t="s">
        <v>120</v>
      </c>
    </row>
    <row r="6" ht="18" spans="1:4">
      <c r="A6" s="3638" t="s">
        <v>121</v>
      </c>
      <c r="B6" s="3638"/>
      <c r="C6" s="3638"/>
      <c r="D6" s="3638"/>
    </row>
    <row r="7" ht="18.75" spans="1:4">
      <c r="A7" s="3639" t="s">
        <v>116</v>
      </c>
      <c r="B7" s="3641" t="s">
        <v>122</v>
      </c>
      <c r="C7" s="3639" t="s">
        <v>118</v>
      </c>
      <c r="D7" s="3639" t="s">
        <v>119</v>
      </c>
    </row>
    <row r="8" ht="56.25" customHeight="1" spans="1:4">
      <c r="A8" s="3645" t="s">
        <v>123</v>
      </c>
      <c r="B8" s="3645" t="s">
        <v>124</v>
      </c>
      <c r="C8" s="3642"/>
      <c r="D8" s="3643" t="s">
        <v>120</v>
      </c>
    </row>
    <row r="9" spans="1:4">
      <c r="A9" s="3646"/>
      <c r="B9" s="3646"/>
      <c r="C9" s="3646"/>
      <c r="D9" s="3646"/>
    </row>
    <row r="10" ht="18.75" spans="1:4">
      <c r="A10" s="3637" t="s">
        <v>125</v>
      </c>
      <c r="B10" s="3646"/>
      <c r="C10" s="3646"/>
      <c r="D10" s="3646"/>
    </row>
    <row r="11" ht="30" customHeight="1" spans="1:4">
      <c r="A11" s="3647" t="s">
        <v>126</v>
      </c>
      <c r="B11" s="3648"/>
      <c r="C11" s="3648"/>
      <c r="D11" s="3648"/>
    </row>
    <row r="12" ht="15" spans="1:4">
      <c r="A12" s="36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9"/>
      <c r="C12" s="3649"/>
      <c r="D12" s="3649"/>
    </row>
    <row r="13" ht="30" customHeight="1" spans="1:4">
      <c r="A13" s="36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9"/>
      <c r="C13" s="3649"/>
      <c r="D13" s="3649"/>
    </row>
    <row r="14" ht="15.75" customHeight="1" spans="1:4">
      <c r="A14" s="3648" t="str">
        <f>IF(项目基本情况!B8="抵押","4.本次评估估价师所知悉的法定优先受偿款情况说明如下：","——")</f>
        <v>4.本次评估估价师所知悉的法定优先受偿款情况说明如下：</v>
      </c>
      <c r="B14" s="3649"/>
      <c r="C14" s="3649"/>
      <c r="D14" s="3649"/>
    </row>
    <row r="15" ht="42" customHeight="1" spans="1:4">
      <c r="A15" s="36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8"/>
      <c r="C15" s="3648"/>
      <c r="D15" s="3648"/>
    </row>
    <row r="16" ht="30" customHeight="1" spans="1:4">
      <c r="A16" s="3650" t="s">
        <v>127</v>
      </c>
      <c r="B16" s="3650"/>
      <c r="C16" s="3650"/>
      <c r="D16" s="3650"/>
    </row>
    <row r="17" ht="144" customHeight="1" spans="1:4">
      <c r="A17" s="3650" t="s">
        <v>128</v>
      </c>
      <c r="B17" s="3650"/>
      <c r="C17" s="3650"/>
      <c r="D17" s="3650"/>
    </row>
    <row r="18" ht="15.75" customHeight="1" spans="1:4">
      <c r="A18" s="3648" t="str">
        <f>IF(项目基本情况!B8="抵押",结果表!K120,"——")</f>
        <v>故，本次评估不存在估价师知悉的法定优先受偿款</v>
      </c>
      <c r="B18" s="3648"/>
      <c r="C18" s="3648"/>
      <c r="D18" s="3648"/>
    </row>
    <row r="19" ht="46.5" customHeight="1" spans="1:4">
      <c r="A19" s="36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8"/>
      <c r="C19" s="3648"/>
      <c r="D19" s="3648"/>
    </row>
    <row r="20" ht="57.75" customHeight="1" spans="1:4">
      <c r="A20" s="36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8"/>
      <c r="C20" s="3648"/>
      <c r="D20" s="3648"/>
    </row>
    <row r="21" ht="57.75" customHeight="1" spans="1:4">
      <c r="A21" s="36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1"/>
      <c r="C21" s="3651"/>
      <c r="D21" s="3651"/>
    </row>
    <row r="22" ht="18.75" customHeight="1" spans="1:4">
      <c r="A22" s="3652" t="s">
        <v>129</v>
      </c>
      <c r="B22" s="3652"/>
      <c r="C22" s="3652"/>
      <c r="D22" s="3652"/>
    </row>
    <row r="23" spans="1:4">
      <c r="A23" s="3653"/>
      <c r="B23" s="1854"/>
      <c r="C23" s="1854"/>
      <c r="D23" s="1854"/>
    </row>
    <row r="24" spans="1:4">
      <c r="A24" s="3653"/>
      <c r="B24" s="1854"/>
      <c r="C24" s="1854"/>
      <c r="D24" s="1854"/>
    </row>
    <row r="25" ht="18.75" spans="1:1">
      <c r="A25" s="3654" t="s">
        <v>130</v>
      </c>
    </row>
    <row r="26" ht="18" spans="1:1">
      <c r="A26" s="3655"/>
    </row>
    <row r="27" ht="18.75" spans="1:1">
      <c r="A27" s="3655" t="s">
        <v>131</v>
      </c>
    </row>
    <row r="30" ht="18.75" spans="4:4">
      <c r="D30" s="3654" t="s">
        <v>132</v>
      </c>
    </row>
    <row r="31" ht="13.5" customHeight="1" spans="3:4">
      <c r="C31" s="3656">
        <v>42551</v>
      </c>
      <c r="D31" s="36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3" customWidth="1"/>
    <col min="3" max="10" width="12.5" style="3633" customWidth="1"/>
    <col min="11" max="16384" width="9" style="3633"/>
  </cols>
  <sheetData>
    <row r="1" ht="18.75" spans="1:10">
      <c r="A1" s="3634" t="s">
        <v>133</v>
      </c>
      <c r="B1" s="3635"/>
      <c r="C1" s="3635"/>
      <c r="D1" s="3635"/>
      <c r="E1" s="3635"/>
      <c r="F1" s="3635"/>
      <c r="G1" s="3635"/>
      <c r="H1" s="3635"/>
      <c r="I1" s="3635"/>
      <c r="J1" s="3635"/>
    </row>
    <row r="2" ht="18.75" spans="1:10">
      <c r="A2" s="3636"/>
      <c r="B2" s="3635"/>
      <c r="C2" s="3635"/>
      <c r="D2" s="3635"/>
      <c r="E2" s="3635"/>
      <c r="F2" s="3635"/>
      <c r="G2" s="3635"/>
      <c r="H2" s="3635"/>
      <c r="I2" s="3635"/>
      <c r="J2" s="3635"/>
    </row>
    <row r="3" spans="1:10">
      <c r="A3" s="3635"/>
      <c r="B3" s="3635"/>
      <c r="C3" s="3635"/>
      <c r="D3" s="3635"/>
      <c r="E3" s="3635"/>
      <c r="F3" s="3635"/>
      <c r="G3" s="3635"/>
      <c r="H3" s="3635"/>
      <c r="I3" s="3635"/>
      <c r="J3" s="3635"/>
    </row>
    <row r="4" spans="1:10">
      <c r="A4" s="3635"/>
      <c r="B4" s="3635"/>
      <c r="C4" s="3635"/>
      <c r="D4" s="3635"/>
      <c r="E4" s="3635"/>
      <c r="F4" s="3635"/>
      <c r="G4" s="3635"/>
      <c r="H4" s="3635"/>
      <c r="I4" s="3635"/>
      <c r="J4" s="3635"/>
    </row>
    <row r="5" spans="1:10">
      <c r="A5" s="3635"/>
      <c r="B5" s="3635"/>
      <c r="C5" s="3635"/>
      <c r="D5" s="3635"/>
      <c r="E5" s="3635"/>
      <c r="F5" s="3635"/>
      <c r="G5" s="3635"/>
      <c r="H5" s="3635"/>
      <c r="I5" s="3635"/>
      <c r="J5" s="3635"/>
    </row>
    <row r="6" spans="1:10">
      <c r="A6" s="3635"/>
      <c r="B6" s="3635"/>
      <c r="C6" s="3635"/>
      <c r="D6" s="3635"/>
      <c r="E6" s="3635"/>
      <c r="F6" s="3635"/>
      <c r="G6" s="3635"/>
      <c r="H6" s="3635"/>
      <c r="I6" s="3635"/>
      <c r="J6" s="3635"/>
    </row>
    <row r="7" spans="1:10">
      <c r="A7" s="3635"/>
      <c r="B7" s="3635"/>
      <c r="C7" s="3635"/>
      <c r="D7" s="3635"/>
      <c r="E7" s="3635"/>
      <c r="F7" s="3635"/>
      <c r="G7" s="3635"/>
      <c r="H7" s="3635"/>
      <c r="I7" s="3635"/>
      <c r="J7" s="3635"/>
    </row>
    <row r="8" spans="1:10">
      <c r="A8" s="3635"/>
      <c r="B8" s="3635"/>
      <c r="C8" s="3635"/>
      <c r="D8" s="3635"/>
      <c r="E8" s="3635"/>
      <c r="F8" s="3635"/>
      <c r="G8" s="3635"/>
      <c r="H8" s="3635"/>
      <c r="I8" s="3635"/>
      <c r="J8" s="3635"/>
    </row>
    <row r="9" spans="1:10">
      <c r="A9" s="3635"/>
      <c r="B9" s="3635"/>
      <c r="C9" s="3635"/>
      <c r="D9" s="3635"/>
      <c r="E9" s="3635"/>
      <c r="F9" s="3635"/>
      <c r="G9" s="3635"/>
      <c r="H9" s="3635"/>
      <c r="I9" s="3635"/>
      <c r="J9" s="3635"/>
    </row>
    <row r="10" spans="1:10">
      <c r="A10" s="3635"/>
      <c r="B10" s="3635"/>
      <c r="C10" s="3635"/>
      <c r="D10" s="3635"/>
      <c r="E10" s="3635"/>
      <c r="F10" s="3635"/>
      <c r="G10" s="3635"/>
      <c r="H10" s="3635"/>
      <c r="I10" s="3635"/>
      <c r="J10" s="3635"/>
    </row>
    <row r="11" spans="1:10">
      <c r="A11" s="3635"/>
      <c r="B11" s="3635"/>
      <c r="C11" s="3635"/>
      <c r="D11" s="3635"/>
      <c r="E11" s="3635"/>
      <c r="F11" s="3635"/>
      <c r="G11" s="3635"/>
      <c r="H11" s="3635"/>
      <c r="I11" s="3635"/>
      <c r="J11" s="3635"/>
    </row>
    <row r="12" spans="1:10">
      <c r="A12" s="3635"/>
      <c r="B12" s="3635"/>
      <c r="C12" s="3635"/>
      <c r="D12" s="3635"/>
      <c r="E12" s="3635"/>
      <c r="F12" s="3635"/>
      <c r="G12" s="3635"/>
      <c r="H12" s="3635"/>
      <c r="I12" s="3635"/>
      <c r="J12" s="3635"/>
    </row>
    <row r="13" spans="1:10">
      <c r="A13" s="3635"/>
      <c r="B13" s="3635"/>
      <c r="C13" s="3635"/>
      <c r="D13" s="3635"/>
      <c r="E13" s="3635"/>
      <c r="F13" s="3635"/>
      <c r="G13" s="3635"/>
      <c r="H13" s="3635"/>
      <c r="I13" s="3635"/>
      <c r="J13" s="3635"/>
    </row>
    <row r="14" spans="1:10">
      <c r="A14" s="3635"/>
      <c r="B14" s="3635"/>
      <c r="C14" s="3635"/>
      <c r="D14" s="3635"/>
      <c r="E14" s="3635"/>
      <c r="F14" s="3635"/>
      <c r="G14" s="3635"/>
      <c r="H14" s="3635"/>
      <c r="I14" s="3635"/>
      <c r="J14" s="3635"/>
    </row>
    <row r="15" spans="1:10">
      <c r="A15" s="3635"/>
      <c r="B15" s="3635"/>
      <c r="C15" s="3635"/>
      <c r="D15" s="3635"/>
      <c r="E15" s="3635"/>
      <c r="F15" s="3635"/>
      <c r="G15" s="3635"/>
      <c r="H15" s="3635"/>
      <c r="I15" s="3635"/>
      <c r="J15" s="3635"/>
    </row>
    <row r="16" spans="1:10">
      <c r="A16" s="3635"/>
      <c r="B16" s="3635"/>
      <c r="C16" s="3635"/>
      <c r="D16" s="3635"/>
      <c r="E16" s="3635"/>
      <c r="F16" s="3635"/>
      <c r="G16" s="3635"/>
      <c r="H16" s="3635"/>
      <c r="I16" s="3635"/>
      <c r="J16" s="3635"/>
    </row>
    <row r="17" spans="1:10">
      <c r="A17" s="3635"/>
      <c r="B17" s="3635"/>
      <c r="C17" s="3635"/>
      <c r="D17" s="3635"/>
      <c r="E17" s="3635"/>
      <c r="F17" s="3635"/>
      <c r="G17" s="3635"/>
      <c r="H17" s="3635"/>
      <c r="I17" s="3635"/>
      <c r="J17" s="3635"/>
    </row>
    <row r="18" spans="1:10">
      <c r="A18" s="3635"/>
      <c r="B18" s="3635"/>
      <c r="C18" s="3635"/>
      <c r="D18" s="3635"/>
      <c r="E18" s="3635"/>
      <c r="F18" s="3635"/>
      <c r="G18" s="3635"/>
      <c r="H18" s="3635"/>
      <c r="I18" s="3635"/>
      <c r="J18" s="3635"/>
    </row>
    <row r="19" spans="1:10">
      <c r="A19" s="3635"/>
      <c r="B19" s="3635"/>
      <c r="C19" s="3635"/>
      <c r="D19" s="3635"/>
      <c r="E19" s="3635"/>
      <c r="F19" s="3635"/>
      <c r="G19" s="3635"/>
      <c r="H19" s="3635"/>
      <c r="I19" s="3635"/>
      <c r="J19" s="3635"/>
    </row>
    <row r="20" spans="1:10">
      <c r="A20" s="3635"/>
      <c r="B20" s="3635"/>
      <c r="C20" s="3635"/>
      <c r="D20" s="3635"/>
      <c r="E20" s="3635"/>
      <c r="F20" s="3635"/>
      <c r="G20" s="3635"/>
      <c r="H20" s="3635"/>
      <c r="I20" s="3635"/>
      <c r="J20" s="3635"/>
    </row>
    <row r="21" spans="1:10">
      <c r="A21" s="3635"/>
      <c r="B21" s="3635"/>
      <c r="C21" s="3635"/>
      <c r="D21" s="3635"/>
      <c r="E21" s="3635"/>
      <c r="F21" s="3635"/>
      <c r="G21" s="3635"/>
      <c r="H21" s="3635"/>
      <c r="I21" s="3635"/>
      <c r="J21" s="3635"/>
    </row>
    <row r="22" spans="1:10">
      <c r="A22" s="3635"/>
      <c r="B22" s="3635"/>
      <c r="C22" s="3635"/>
      <c r="D22" s="3635"/>
      <c r="E22" s="3635"/>
      <c r="F22" s="3635"/>
      <c r="G22" s="3635"/>
      <c r="H22" s="3635"/>
      <c r="I22" s="3635"/>
      <c r="J22" s="3635"/>
    </row>
    <row r="23" spans="1:10">
      <c r="A23" s="3635"/>
      <c r="B23" s="3635"/>
      <c r="C23" s="3635"/>
      <c r="D23" s="3635"/>
      <c r="E23" s="3635"/>
      <c r="F23" s="3635"/>
      <c r="G23" s="3635"/>
      <c r="H23" s="3635"/>
      <c r="I23" s="3635"/>
      <c r="J23" s="3635"/>
    </row>
    <row r="24" spans="1:10">
      <c r="A24" s="3635"/>
      <c r="B24" s="3635"/>
      <c r="C24" s="3635"/>
      <c r="D24" s="3635"/>
      <c r="E24" s="3635"/>
      <c r="F24" s="3635"/>
      <c r="G24" s="3635"/>
      <c r="H24" s="3635"/>
      <c r="I24" s="3635"/>
      <c r="J24" s="3635"/>
    </row>
    <row r="25" spans="1:10">
      <c r="A25" s="3635"/>
      <c r="B25" s="3635"/>
      <c r="C25" s="3635"/>
      <c r="D25" s="3635"/>
      <c r="E25" s="3635"/>
      <c r="F25" s="3635"/>
      <c r="G25" s="3635"/>
      <c r="H25" s="3635"/>
      <c r="I25" s="3635"/>
      <c r="J25" s="3635"/>
    </row>
    <row r="26" spans="1:10">
      <c r="A26" s="3635"/>
      <c r="B26" s="3635"/>
      <c r="C26" s="3635"/>
      <c r="D26" s="3635"/>
      <c r="E26" s="3635"/>
      <c r="F26" s="3635"/>
      <c r="G26" s="3635"/>
      <c r="H26" s="3635"/>
      <c r="I26" s="3635"/>
      <c r="J26" s="3635"/>
    </row>
    <row r="27" spans="1:10">
      <c r="A27" s="3635"/>
      <c r="B27" s="3635"/>
      <c r="C27" s="3635"/>
      <c r="D27" s="3635"/>
      <c r="E27" s="3635"/>
      <c r="F27" s="3635"/>
      <c r="G27" s="3635"/>
      <c r="H27" s="3635"/>
      <c r="I27" s="3635"/>
      <c r="J27" s="3635"/>
    </row>
    <row r="28" spans="1:10">
      <c r="A28" s="3635"/>
      <c r="B28" s="3635"/>
      <c r="C28" s="3635"/>
      <c r="D28" s="3635"/>
      <c r="E28" s="3635"/>
      <c r="F28" s="3635"/>
      <c r="G28" s="3635"/>
      <c r="H28" s="3635"/>
      <c r="I28" s="3635"/>
      <c r="J28" s="3635"/>
    </row>
    <row r="29" spans="1:10">
      <c r="A29" s="3635"/>
      <c r="B29" s="3635"/>
      <c r="C29" s="3635"/>
      <c r="D29" s="3635"/>
      <c r="E29" s="3635"/>
      <c r="F29" s="3635"/>
      <c r="G29" s="3635"/>
      <c r="H29" s="3635"/>
      <c r="I29" s="3635"/>
      <c r="J29" s="3635"/>
    </row>
    <row r="30" spans="1:10">
      <c r="A30" s="3635"/>
      <c r="B30" s="3635"/>
      <c r="C30" s="3635"/>
      <c r="D30" s="3635"/>
      <c r="E30" s="3635"/>
      <c r="F30" s="3635"/>
      <c r="G30" s="3635"/>
      <c r="H30" s="3635"/>
      <c r="I30" s="3635"/>
      <c r="J30" s="3635"/>
    </row>
    <row r="31" spans="1:10">
      <c r="A31" s="3635"/>
      <c r="B31" s="3635"/>
      <c r="C31" s="3635"/>
      <c r="D31" s="3635"/>
      <c r="E31" s="3635"/>
      <c r="F31" s="3635"/>
      <c r="G31" s="3635"/>
      <c r="H31" s="3635"/>
      <c r="I31" s="3635"/>
      <c r="J31" s="363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9" customWidth="1"/>
    <col min="2" max="16384" width="14.5" style="3558"/>
  </cols>
  <sheetData>
    <row r="1" s="3608" customFormat="1" ht="18.75" spans="1:1">
      <c r="A1" s="3610" t="s">
        <v>134</v>
      </c>
    </row>
    <row r="3" spans="1:7">
      <c r="A3" s="3611" t="s">
        <v>135</v>
      </c>
      <c r="B3" s="3558" t="s">
        <v>136</v>
      </c>
      <c r="G3" s="3612"/>
    </row>
    <row r="4" spans="7:7">
      <c r="G4" s="3612"/>
    </row>
    <row r="5" spans="1:7">
      <c r="A5" s="3613" t="s">
        <v>137</v>
      </c>
      <c r="B5" s="3558" t="s">
        <v>138</v>
      </c>
      <c r="G5" s="3612"/>
    </row>
    <row r="6" spans="7:7">
      <c r="G6" s="3612"/>
    </row>
    <row r="7" spans="1:7">
      <c r="A7" s="3614" t="s">
        <v>139</v>
      </c>
      <c r="B7" s="3558" t="s">
        <v>140</v>
      </c>
      <c r="G7" s="3612"/>
    </row>
    <row r="8" spans="7:7">
      <c r="G8" s="3612"/>
    </row>
    <row r="9" spans="1:2">
      <c r="A9" s="3615" t="s">
        <v>141</v>
      </c>
      <c r="B9" s="3558" t="s">
        <v>142</v>
      </c>
    </row>
    <row r="11" spans="1:2">
      <c r="A11" s="3616" t="s">
        <v>143</v>
      </c>
      <c r="B11" s="3617" t="s">
        <v>144</v>
      </c>
    </row>
    <row r="13" spans="1:1">
      <c r="A13" s="3618" t="s">
        <v>145</v>
      </c>
    </row>
    <row r="15" ht="13.5" spans="1:3">
      <c r="A15" s="3619" t="s">
        <v>146</v>
      </c>
      <c r="B15" s="3620" t="s">
        <v>147</v>
      </c>
      <c r="C15" s="3621"/>
    </row>
    <row r="16" ht="13.5" spans="1:3">
      <c r="A16" s="3622"/>
      <c r="B16" s="3620" t="s">
        <v>148</v>
      </c>
      <c r="C16" s="3621"/>
    </row>
    <row r="17" ht="13.5" spans="1:3">
      <c r="A17" s="3622"/>
      <c r="B17" s="3623" t="s">
        <v>149</v>
      </c>
      <c r="C17" s="3623" t="s">
        <v>146</v>
      </c>
    </row>
    <row r="18" ht="13.5" spans="1:3">
      <c r="A18" s="3622"/>
      <c r="B18" s="3623"/>
      <c r="C18" s="3623" t="s">
        <v>150</v>
      </c>
    </row>
    <row r="19" ht="13.5" spans="1:3">
      <c r="A19" s="3622"/>
      <c r="B19" s="3623"/>
      <c r="C19" s="3623" t="s">
        <v>151</v>
      </c>
    </row>
    <row r="20" ht="13.5" spans="1:3">
      <c r="A20" s="3624"/>
      <c r="B20" s="3625" t="s">
        <v>152</v>
      </c>
      <c r="C20" s="3621"/>
    </row>
    <row r="21" ht="13.5" spans="1:3">
      <c r="A21" s="3626" t="s">
        <v>153</v>
      </c>
      <c r="B21" s="3627"/>
      <c r="C21" s="3628"/>
    </row>
    <row r="22" ht="13.5" spans="1:3">
      <c r="A22" s="3629" t="s">
        <v>154</v>
      </c>
      <c r="B22" s="3625" t="s">
        <v>155</v>
      </c>
      <c r="C22" s="3621"/>
    </row>
    <row r="23" ht="13.5" spans="1:3">
      <c r="A23" s="3629"/>
      <c r="B23" s="3625" t="s">
        <v>156</v>
      </c>
      <c r="C23" s="3621"/>
    </row>
    <row r="24" ht="13.5" spans="1:3">
      <c r="A24" s="3629"/>
      <c r="B24" s="3625" t="s">
        <v>157</v>
      </c>
      <c r="C24" s="3621"/>
    </row>
    <row r="25" ht="13.5" spans="1:3">
      <c r="A25" s="3629"/>
      <c r="B25" s="3623" t="s">
        <v>158</v>
      </c>
      <c r="C25" s="3623" t="s">
        <v>159</v>
      </c>
    </row>
    <row r="26" ht="13.5" spans="1:3">
      <c r="A26" s="3629"/>
      <c r="B26" s="3623"/>
      <c r="C26" s="3623" t="s">
        <v>160</v>
      </c>
    </row>
    <row r="27" ht="13.5" spans="1:3">
      <c r="A27" s="3629"/>
      <c r="B27" s="3623"/>
      <c r="C27" s="3623" t="s">
        <v>161</v>
      </c>
    </row>
    <row r="28" ht="13.5" spans="1:3">
      <c r="A28" s="3629"/>
      <c r="B28" s="3623"/>
      <c r="C28" s="3623" t="s">
        <v>162</v>
      </c>
    </row>
    <row r="29" ht="13.5" spans="1:3">
      <c r="A29" s="3629"/>
      <c r="B29" s="3623"/>
      <c r="C29" s="3623" t="s">
        <v>163</v>
      </c>
    </row>
    <row r="30" ht="13.5" spans="1:3">
      <c r="A30" s="3629"/>
      <c r="B30" s="3623"/>
      <c r="C30" s="3623" t="s">
        <v>164</v>
      </c>
    </row>
    <row r="31" ht="13.5" spans="1:3">
      <c r="A31" s="3629"/>
      <c r="B31" s="3623"/>
      <c r="C31" s="3623" t="s">
        <v>165</v>
      </c>
    </row>
    <row r="32" ht="13.5" spans="1:3">
      <c r="A32" s="3629"/>
      <c r="B32" s="3623"/>
      <c r="C32" s="3623" t="s">
        <v>166</v>
      </c>
    </row>
    <row r="33" ht="13.5" spans="1:3">
      <c r="A33" s="3629"/>
      <c r="B33" s="3623"/>
      <c r="C33" s="3623" t="s">
        <v>167</v>
      </c>
    </row>
    <row r="34" spans="1:1">
      <c r="A34" s="3630" t="s">
        <v>168</v>
      </c>
    </row>
    <row r="37" spans="1:1">
      <c r="A37" s="3630" t="s">
        <v>169</v>
      </c>
    </row>
    <row r="38" ht="13.5" spans="1:1">
      <c r="A38" s="3631" t="s">
        <v>170</v>
      </c>
    </row>
    <row r="39" ht="13.5" spans="1:1">
      <c r="A39" s="3631" t="s">
        <v>171</v>
      </c>
    </row>
    <row r="40" ht="13.5" spans="1:1">
      <c r="A40" s="3631" t="s">
        <v>172</v>
      </c>
    </row>
    <row r="41" ht="13.5" spans="1:1">
      <c r="A41" s="3632" t="s">
        <v>173</v>
      </c>
    </row>
    <row r="42" ht="13.5" spans="1:1">
      <c r="A42" s="363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77" customWidth="1"/>
    <col min="2" max="2" width="38.625" style="3577" customWidth="1"/>
    <col min="3" max="3" width="26" style="3577" customWidth="1"/>
    <col min="4" max="4" width="35" style="3577" hidden="1" customWidth="1"/>
    <col min="5" max="5" width="30.125" style="3577" customWidth="1"/>
    <col min="6" max="6" width="35.5" style="3577" customWidth="1"/>
    <col min="7" max="7" width="31" style="3577" customWidth="1"/>
    <col min="8" max="8" width="37.5" style="3577" hidden="1" customWidth="1"/>
    <col min="9" max="16384" width="22.625" style="3577"/>
  </cols>
  <sheetData>
    <row r="1" customHeight="1" spans="1:8">
      <c r="A1" s="3578"/>
      <c r="B1" s="3578"/>
      <c r="C1" s="3578"/>
      <c r="D1" s="3578"/>
      <c r="E1" s="3578"/>
      <c r="F1" s="3578"/>
      <c r="G1" s="3578"/>
      <c r="H1" s="3578"/>
    </row>
    <row r="2" customHeight="1" spans="1:8">
      <c r="A2" s="3579" t="s">
        <v>175</v>
      </c>
      <c r="B2" s="3580">
        <f ca="1">TODAY()</f>
        <v>45852</v>
      </c>
      <c r="C2" s="3581" t="s">
        <v>176</v>
      </c>
      <c r="D2" s="3581"/>
      <c r="E2" s="3581"/>
      <c r="F2" s="3578"/>
      <c r="G2" s="3578"/>
      <c r="H2" s="3578"/>
    </row>
    <row r="3" customHeight="1" spans="1:8">
      <c r="A3" s="3582" t="s">
        <v>177</v>
      </c>
      <c r="B3" s="3583" t="s">
        <v>178</v>
      </c>
      <c r="C3" s="3583" t="s">
        <v>179</v>
      </c>
      <c r="D3" s="3584" t="s">
        <v>180</v>
      </c>
      <c r="E3" s="3585" t="s">
        <v>181</v>
      </c>
      <c r="F3" s="3586" t="s">
        <v>182</v>
      </c>
      <c r="G3" s="3583" t="s">
        <v>179</v>
      </c>
      <c r="H3" s="3584" t="s">
        <v>183</v>
      </c>
    </row>
    <row r="4" customHeight="1" spans="1:8">
      <c r="A4" s="3586" t="s">
        <v>184</v>
      </c>
      <c r="B4" s="3586">
        <f ca="1">IF(C4&lt;B2,"已过期",1119970066)</f>
        <v>1119970066</v>
      </c>
      <c r="C4" s="3587">
        <v>45937</v>
      </c>
      <c r="D4" s="3588" t="str">
        <f ca="1">A4&amp;"（注册号："&amp;B4&amp;"）"</f>
        <v>梁津（注册号：1119970066）</v>
      </c>
      <c r="E4" s="3589" t="s">
        <v>184</v>
      </c>
      <c r="F4" s="3586">
        <f ca="1">IF(G4&lt;B2,"已过期",96010014)</f>
        <v>96010014</v>
      </c>
      <c r="G4" s="3590">
        <v>47118</v>
      </c>
      <c r="H4" s="3591" t="str">
        <f ca="1">E4&amp;"（注册号："&amp;F4&amp;"）"</f>
        <v>梁津（注册号：96010014）</v>
      </c>
    </row>
    <row r="5" customHeight="1" spans="1:8">
      <c r="A5" s="3586" t="s">
        <v>185</v>
      </c>
      <c r="B5" s="3586">
        <f ca="1">IF(C5&lt;B2,"已过期",1119970111)</f>
        <v>1119970111</v>
      </c>
      <c r="C5" s="3587">
        <v>45937</v>
      </c>
      <c r="D5" s="3588" t="str">
        <f ca="1" t="shared" ref="D5:D16" si="0">A5&amp;"（注册号："&amp;B5&amp;"）"</f>
        <v>叶凌（注册号：1119970111）</v>
      </c>
      <c r="E5" s="3589" t="s">
        <v>185</v>
      </c>
      <c r="F5" s="3586">
        <f ca="1">IF(G5&lt;B2,"已过期",94010078)</f>
        <v>94010078</v>
      </c>
      <c r="G5" s="3590">
        <v>46387</v>
      </c>
      <c r="H5" s="3591" t="str">
        <f ca="1" t="shared" ref="H5:H16" si="1">E5&amp;"（注册号："&amp;F5&amp;"）"</f>
        <v>叶凌（注册号：94010078）</v>
      </c>
    </row>
    <row r="6" customHeight="1" spans="1:8">
      <c r="A6" s="3586" t="s">
        <v>186</v>
      </c>
      <c r="B6" s="3586" t="str">
        <f ca="1">IF(C6&lt;B2,"已过期",1120050019)</f>
        <v>已过期</v>
      </c>
      <c r="C6" s="3587">
        <v>45410</v>
      </c>
      <c r="D6" s="3588" t="str">
        <f ca="1" t="shared" si="0"/>
        <v>王鹏（注册号：已过期）</v>
      </c>
      <c r="E6" s="3589" t="s">
        <v>186</v>
      </c>
      <c r="F6" s="3586">
        <f ca="1">IF(G6&lt;B2,"已过期",2002110030)</f>
        <v>2002110030</v>
      </c>
      <c r="G6" s="3590">
        <v>46387</v>
      </c>
      <c r="H6" s="3591" t="str">
        <f ca="1" t="shared" si="1"/>
        <v>王鹏（注册号：2002110030）</v>
      </c>
    </row>
    <row r="7" customHeight="1" spans="1:8">
      <c r="A7" s="3586" t="s">
        <v>187</v>
      </c>
      <c r="B7" s="3586">
        <f ca="1">IF(C7&lt;B2,"已过期",1120000080)</f>
        <v>1120000080</v>
      </c>
      <c r="C7" s="3587">
        <v>45937</v>
      </c>
      <c r="D7" s="3588" t="str">
        <f ca="1" t="shared" si="0"/>
        <v>欧红伟（注册号：1120000080）</v>
      </c>
      <c r="E7" s="3589" t="s">
        <v>187</v>
      </c>
      <c r="F7" s="3586">
        <f ca="1">IF(G7&lt;B2,"已过期",2000110082)</f>
        <v>2000110082</v>
      </c>
      <c r="G7" s="3590">
        <v>46387</v>
      </c>
      <c r="H7" s="3591" t="str">
        <f ca="1" t="shared" si="1"/>
        <v>欧红伟（注册号：2000110082）</v>
      </c>
    </row>
    <row r="8" customHeight="1" spans="1:8">
      <c r="A8" s="3586" t="s">
        <v>188</v>
      </c>
      <c r="B8" s="3586">
        <f ca="1">IF(C8&lt;B2,"已过期",1419970001)</f>
        <v>1419970001</v>
      </c>
      <c r="C8" s="3587">
        <v>45937</v>
      </c>
      <c r="D8" s="3588" t="str">
        <f ca="1" t="shared" si="0"/>
        <v>吴薇（注册号：1419970001）</v>
      </c>
      <c r="E8" s="3589" t="s">
        <v>188</v>
      </c>
      <c r="F8" s="3586">
        <f ca="1">IF(G8&lt;B2,"已过期",2002110125)</f>
        <v>2002110125</v>
      </c>
      <c r="G8" s="3590">
        <v>47118</v>
      </c>
      <c r="H8" s="3591" t="str">
        <f ca="1" t="shared" si="1"/>
        <v>吴薇（注册号：2002110125）</v>
      </c>
    </row>
    <row r="9" customHeight="1" spans="1:8">
      <c r="A9" s="3586" t="s">
        <v>189</v>
      </c>
      <c r="B9" s="3586" t="str">
        <f ca="1">IF(C9&lt;B2,"已过期",1120060040)</f>
        <v>已过期</v>
      </c>
      <c r="C9" s="3592">
        <v>45592</v>
      </c>
      <c r="D9" s="3588" t="str">
        <f ca="1" t="shared" si="0"/>
        <v>陈颖（注册号：已过期）</v>
      </c>
      <c r="E9" s="3589" t="s">
        <v>189</v>
      </c>
      <c r="F9" s="3586">
        <f ca="1">IF(G9&lt;B2,"已过期",2004110096)</f>
        <v>2004110096</v>
      </c>
      <c r="G9" s="3590">
        <v>47118</v>
      </c>
      <c r="H9" s="3591" t="str">
        <f ca="1" t="shared" si="1"/>
        <v>陈颖（注册号：2004110096）</v>
      </c>
    </row>
    <row r="10" customHeight="1" spans="1:8">
      <c r="A10" s="3586" t="s">
        <v>190</v>
      </c>
      <c r="B10" s="3586" t="str">
        <f ca="1">IF(C10&lt;B2,"已过期",1120100036)</f>
        <v>已过期</v>
      </c>
      <c r="C10" s="3592">
        <v>45752</v>
      </c>
      <c r="D10" s="3588" t="str">
        <f ca="1" t="shared" si="0"/>
        <v>崔锴（注册号：已过期）</v>
      </c>
      <c r="E10" s="3589" t="s">
        <v>190</v>
      </c>
      <c r="F10" s="3586">
        <f ca="1">IF(G10&lt;B2,"已过期",2010110070)</f>
        <v>2010110070</v>
      </c>
      <c r="G10" s="3590">
        <v>47907</v>
      </c>
      <c r="H10" s="3591" t="str">
        <f ca="1" t="shared" si="1"/>
        <v>崔锴（注册号：2010110070）</v>
      </c>
    </row>
    <row r="11" customHeight="1" spans="1:8">
      <c r="A11" s="3586" t="s">
        <v>191</v>
      </c>
      <c r="B11" s="3586">
        <f ca="1">IF(C11&lt;B2,"已过期",1120070131)</f>
        <v>1120070131</v>
      </c>
      <c r="C11" s="3587">
        <v>45937</v>
      </c>
      <c r="D11" s="3588" t="str">
        <f ca="1" t="shared" si="0"/>
        <v>郑燚（注册号：1120070131）</v>
      </c>
      <c r="E11" s="3589" t="s">
        <v>191</v>
      </c>
      <c r="F11" s="3586">
        <f ca="1">IF(G11&lt;B2,"已过期",2014110011)</f>
        <v>2014110011</v>
      </c>
      <c r="G11" s="3590">
        <v>49302</v>
      </c>
      <c r="H11" s="3591" t="str">
        <f ca="1" t="shared" si="1"/>
        <v>郑燚（注册号：2014110011）</v>
      </c>
    </row>
    <row r="12" customHeight="1" spans="1:8">
      <c r="A12" s="3586" t="s">
        <v>192</v>
      </c>
      <c r="B12" s="3586">
        <f ca="1">IF(C12&lt;B2,"已过期",1120040230)</f>
        <v>1120040230</v>
      </c>
      <c r="C12" s="3592">
        <v>45937</v>
      </c>
      <c r="D12" s="3588" t="str">
        <f ca="1" t="shared" si="0"/>
        <v>苏海（注册号：1120040230）</v>
      </c>
      <c r="E12" s="3589" t="s">
        <v>192</v>
      </c>
      <c r="F12" s="3586">
        <f ca="1">IF(G12&lt;B2,"已过期",98030020)</f>
        <v>98030020</v>
      </c>
      <c r="G12" s="3590">
        <v>47118</v>
      </c>
      <c r="H12" s="3591" t="str">
        <f ca="1" t="shared" si="1"/>
        <v>苏海（注册号：98030020）</v>
      </c>
    </row>
    <row r="13" customHeight="1" spans="1:8">
      <c r="A13" s="3586" t="s">
        <v>193</v>
      </c>
      <c r="B13" s="3586" t="str">
        <f ca="1">IF(C13&lt;B2,"已过期",1120020033)</f>
        <v>已过期</v>
      </c>
      <c r="C13" s="3587">
        <v>45375</v>
      </c>
      <c r="D13" s="3588" t="str">
        <f ca="1" t="shared" si="0"/>
        <v>刘敬东（注册号：已过期）</v>
      </c>
      <c r="E13" s="3589" t="s">
        <v>193</v>
      </c>
      <c r="F13" s="3586">
        <f ca="1">IF(G13&lt;B2,"已过期",2000110137)</f>
        <v>2000110137</v>
      </c>
      <c r="G13" s="3590">
        <v>46387</v>
      </c>
      <c r="H13" s="3591" t="str">
        <f ca="1" t="shared" si="1"/>
        <v>刘敬东（注册号：2000110137）</v>
      </c>
    </row>
    <row r="14" customHeight="1" spans="1:8">
      <c r="A14" s="3586" t="s">
        <v>194</v>
      </c>
      <c r="B14" s="3586" t="str">
        <f ca="1">IF(C14&lt;B2,"已过期",1119980106)</f>
        <v>已过期</v>
      </c>
      <c r="C14" s="3592">
        <v>44969</v>
      </c>
      <c r="D14" s="3588" t="str">
        <f ca="1" t="shared" si="0"/>
        <v>刘俊财（注册号：已过期）</v>
      </c>
      <c r="E14" s="3589" t="s">
        <v>194</v>
      </c>
      <c r="F14" s="3586">
        <f ca="1">IF(G14&lt;B2,"已过期",96010063)</f>
        <v>96010063</v>
      </c>
      <c r="G14" s="3590">
        <v>47483</v>
      </c>
      <c r="H14" s="3591" t="str">
        <f ca="1" t="shared" si="1"/>
        <v>刘俊财（注册号：96010063）</v>
      </c>
    </row>
    <row r="15" customHeight="1" spans="1:8">
      <c r="A15" s="3586" t="s">
        <v>195</v>
      </c>
      <c r="B15" s="3586">
        <v>1120210056</v>
      </c>
      <c r="C15" s="3592">
        <v>45410</v>
      </c>
      <c r="D15" s="3588" t="str">
        <f t="shared" si="0"/>
        <v>宁小鳗（注册号：1120210056）</v>
      </c>
      <c r="E15" s="3589" t="s">
        <v>196</v>
      </c>
      <c r="F15" s="3586">
        <f ca="1">IF(G15&lt;B2,"已过期",2011110090)</f>
        <v>2011110090</v>
      </c>
      <c r="G15" s="3590">
        <v>48302</v>
      </c>
      <c r="H15" s="3591" t="str">
        <f ca="1" t="shared" si="1"/>
        <v>赵雯（注册号：2011110090）</v>
      </c>
    </row>
    <row r="16" s="3575" customFormat="1" customHeight="1" spans="1:8">
      <c r="A16" s="3586"/>
      <c r="B16" s="3586"/>
      <c r="C16" s="3586"/>
      <c r="D16" s="3588" t="str">
        <f t="shared" si="0"/>
        <v>（注册号：）</v>
      </c>
      <c r="E16" s="3589"/>
      <c r="F16" s="3586"/>
      <c r="G16" s="3586"/>
      <c r="H16" s="3593" t="str">
        <f t="shared" si="1"/>
        <v>（注册号：）</v>
      </c>
    </row>
    <row r="17" customHeight="1" spans="1:8">
      <c r="A17" s="3594" t="s">
        <v>197</v>
      </c>
      <c r="B17" s="3594"/>
      <c r="C17" s="3594"/>
      <c r="D17" s="3594"/>
      <c r="E17" s="3594"/>
      <c r="F17" s="3594"/>
      <c r="G17" s="3594"/>
      <c r="H17" s="3594"/>
    </row>
    <row r="18" customHeight="1" spans="1:7">
      <c r="A18" s="3583" t="s">
        <v>198</v>
      </c>
      <c r="B18" s="3583"/>
      <c r="C18" s="3583"/>
      <c r="D18" s="3584"/>
      <c r="E18" s="3595" t="s">
        <v>199</v>
      </c>
      <c r="F18" s="3583"/>
      <c r="G18" s="3583"/>
    </row>
    <row r="19" s="3576" customFormat="1" customHeight="1" spans="1:7">
      <c r="A19" s="3596" t="s">
        <v>200</v>
      </c>
      <c r="B19" s="3583" t="s">
        <v>201</v>
      </c>
      <c r="C19" s="3583" t="s">
        <v>179</v>
      </c>
      <c r="D19" s="3584"/>
      <c r="E19" s="3589" t="s">
        <v>200</v>
      </c>
      <c r="F19" s="3583" t="s">
        <v>201</v>
      </c>
      <c r="G19" s="3583" t="s">
        <v>179</v>
      </c>
    </row>
    <row r="20" s="3576" customFormat="1" customHeight="1" spans="1:7">
      <c r="A20" s="3597" t="s">
        <v>202</v>
      </c>
      <c r="B20" s="3597" t="s">
        <v>203</v>
      </c>
      <c r="C20" s="3590">
        <v>45898</v>
      </c>
      <c r="D20" s="3598"/>
      <c r="E20" s="3599" t="s">
        <v>204</v>
      </c>
      <c r="F20" s="3600" t="s">
        <v>205</v>
      </c>
      <c r="G20" s="3601">
        <v>44926</v>
      </c>
    </row>
    <row r="21" s="3576" customFormat="1" customHeight="1" spans="1:7">
      <c r="A21" s="3597"/>
      <c r="B21" s="3597"/>
      <c r="C21" s="3602"/>
      <c r="D21" s="3603"/>
      <c r="E21" s="3599"/>
      <c r="F21" s="3600"/>
      <c r="G21" s="3601"/>
    </row>
    <row r="22" customHeight="1" spans="3:7">
      <c r="C22" s="3604"/>
      <c r="D22" s="3604"/>
      <c r="E22" s="3605"/>
      <c r="F22" s="3606"/>
      <c r="G22" s="360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4" master="" otherUserPermission="visible"/>
  <rangeList sheetStid="67"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比较法-办公</vt:lpstr>
      <vt:lpstr>收益法 (元)</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2025-07-14T02:36:22Z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2601BFEFD0294E258A4B2E1D38120BBB_12</vt:lpwstr>
  </property>
  <property fmtid="{D5CDD505-2E9C-101B-9397-08002B2CF9AE}" pid="4" name="KSOProductBuildVer">
    <vt:lpwstr>2052-12.1.0.21915</vt:lpwstr>
  </property>
</Properties>
</file>