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6"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比较法-住宅、综合" sheetId="39" r:id="rId21"/>
    <sheet name="比较法-工业" sheetId="40" state="hidden" r:id="rId22"/>
    <sheet name="案例（海淀）" sheetId="73" r:id="rId23"/>
    <sheet name="开发补偿费" sheetId="75" r:id="rId24"/>
    <sheet name="基准地价" sheetId="46" r:id="rId25"/>
    <sheet name="Sheet1" sheetId="72"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2">'[1]不动产比较法-办公'!$B$119:$M$119</definedName>
    <definedName name="办公层高">'不动产比较法-办公'!$B$119:$M$119</definedName>
    <definedName name="办公朝向" localSheetId="22">'[1]不动产比较法-办公'!$B$91:$M$91</definedName>
    <definedName name="办公朝向">'不动产比较法-办公'!$B$91:$M$91</definedName>
    <definedName name="办公道路级别" localSheetId="22">'[1]不动产比较法-办公'!$B$87:$M$87</definedName>
    <definedName name="办公道路级别">'不动产比较法-办公'!$B$87:$M$87</definedName>
    <definedName name="办公公共部分装修" localSheetId="22">'[1]不动产比较法-办公'!$B$108:$M$108</definedName>
    <definedName name="办公公共部分装修">'不动产比较法-办公'!$B$108:$M$108</definedName>
    <definedName name="办公基础设施水平" localSheetId="22">'[1]不动产比较法-办公'!$B$117:$M$117</definedName>
    <definedName name="办公基础设施水平">'不动产比较法-办公'!$B$117:$M$117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'不动产比较法-办公'!$B$106:$M$106</definedName>
    <definedName name="办公建筑类型" localSheetId="22">'[1]不动产比较法-办公'!$B$101:$M$101</definedName>
    <definedName name="办公建筑类型">'不动产比较法-办公'!$B$101:$M$101</definedName>
    <definedName name="办公交易情况" localSheetId="22">'[1]不动产比较法-办公'!$A$62:$M$62</definedName>
    <definedName name="办公交易情况">'不动产比较法-办公'!$A$62:$M$62</definedName>
    <definedName name="办公楼层" localSheetId="22">'[1]不动产比较法-办公'!$B$89:$M$89</definedName>
    <definedName name="办公楼层">'不动产比较法-办公'!$B$89:$M$89</definedName>
    <definedName name="办公内部装修" localSheetId="22">'[1]不动产比较法-办公'!$B$123:$M$123</definedName>
    <definedName name="办公内部装修">'不动产比较法-办公'!$B$123:$M$123</definedName>
    <definedName name="办公物业管理" localSheetId="22">'[1]不动产比较法-办公'!$B$115:$M$115</definedName>
    <definedName name="办公物业管理">'不动产比较法-办公'!$B$115:$M$115</definedName>
    <definedName name="办公用途" localSheetId="22">'[1]不动产比较法-办公'!$B$64:$M$64</definedName>
    <definedName name="办公用途">'不动产比较法-办公'!$B$64:$M$64</definedName>
    <definedName name="参照基准">修正!$A$20:$A$53</definedName>
    <definedName name="仓储公共部分装修" localSheetId="22">'[1]不动产比较法-仓储'!$B$77:$M$77</definedName>
    <definedName name="仓储公共部分装修">'不动产比较法-仓储'!$B$77:$M$77</definedName>
    <definedName name="仓储交易情况" localSheetId="22">'[1]不动产比较法-仓储'!$A$49:$M$49</definedName>
    <definedName name="仓储交易情况">'不动产比较法-仓储'!$A$49:$M$49</definedName>
    <definedName name="仓储楼层" localSheetId="22">'[1]不动产比较法-仓储'!$B$69:$M$69</definedName>
    <definedName name="仓储楼层">'不动产比较法-仓储'!$B$69:$M$69</definedName>
    <definedName name="仓储物业等级" localSheetId="22">'[1]不动产比较法-仓储'!$B$82:$M$82</definedName>
    <definedName name="仓储物业等级">'不动产比较法-仓储'!$B$82:$M$82</definedName>
    <definedName name="仓储用途" localSheetId="22">'[1]不动产比较法-仓储'!$B$51:$M$51</definedName>
    <definedName name="仓储用途">'不动产比较法-仓储'!$B$51:$M$51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'不动产比较法-车位'!$B$83:$M$83</definedName>
    <definedName name="车位交易情况" localSheetId="22">'[1]不动产比较法-车位'!$A$51:$M$51</definedName>
    <definedName name="车位交易情况">'不动产比较法-车位'!$A$51:$M$51</definedName>
    <definedName name="车位类型" localSheetId="22">'[1]不动产比较法-车位'!$B$93:$M$93</definedName>
    <definedName name="车位类型">'不动产比较法-车位'!$B$93:$M$93</definedName>
    <definedName name="车位楼层" localSheetId="22">'[1]不动产比较法-车位'!$B$71:$M$71</definedName>
    <definedName name="车位楼层">'不动产比较法-车位'!$B$71:$M$71</definedName>
    <definedName name="车位配套类型" localSheetId="22">'[1]不动产比较法-车位'!$B$79:$M$79</definedName>
    <definedName name="车位配套类型">'不动产比较法-车位'!$B$79:$M$79</definedName>
    <definedName name="车位物业等级" localSheetId="22">'[1]不动产比较法-车位'!$B$88:$M$88</definedName>
    <definedName name="车位物业等级">'不动产比较法-车位'!$B$88:$M$88</definedName>
    <definedName name="车位用途" localSheetId="22">'[1]不动产比较法-车位'!$B$53:$M$53</definedName>
    <definedName name="车位用途">'不动产比较法-车位'!$B$53:$M$53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区片价!$K$1:$K$21</definedName>
    <definedName name="二级分类" localSheetId="22">[1]修正!$C$19:$C$51</definedName>
    <definedName name="二级分类">修正!$C$19:$C$53</definedName>
    <definedName name="法定最高年限" localSheetId="22">[1]定义!$G$2:$G$5</definedName>
    <definedName name="法定最高年限">定义!$G$2:$G$5</definedName>
    <definedName name="工业">定义!$AB$2:$AB$12</definedName>
    <definedName name="工业公共部分装修" localSheetId="22">'[1]不动产比较法-工业'!$B$95:$M$95</definedName>
    <definedName name="工业公共部分装修">'不动产比较法-工业'!$B$95:$M$95</definedName>
    <definedName name="工业基础设施水平" localSheetId="22">'[1]不动产比较法-工业'!$B$102:$M$102</definedName>
    <definedName name="工业基础设施水平">'不动产比较法-工业'!$B$102:$M$102</definedName>
    <definedName name="工业建筑结构" localSheetId="22">'[1]不动产比较法-工业'!$B$93:$M$93</definedName>
    <definedName name="工业建筑结构">'不动产比较法-工业'!$B$93:$M$93</definedName>
    <definedName name="工业建筑类型" localSheetId="22">'[1]不动产比较法-工业'!$B$88:$M$88</definedName>
    <definedName name="工业建筑类型">'不动产比较法-工业'!$B$88:$M$88</definedName>
    <definedName name="工业交易情况" localSheetId="22">'[1]不动产比较法-工业'!$A$55:$M$55</definedName>
    <definedName name="工业交易情况">'不动产比较法-工业'!$A$55:$M$55</definedName>
    <definedName name="工业内部装修" localSheetId="22">'[1]不动产比较法-工业'!$B$104:$M$104</definedName>
    <definedName name="工业内部装修">'不动产比较法-工业'!$B$104:$M$104</definedName>
    <definedName name="工业物业管理" localSheetId="22">'[1]不动产比较法-工业'!$B$100:$M$100</definedName>
    <definedName name="工业物业管理">'不动产比较法-工业'!$B$100:$M$100</definedName>
    <definedName name="工业用途" localSheetId="22">'[1]不动产比较法-工业'!$B$57:$M$57</definedName>
    <definedName name="工业用途">'不动产比较法-工业'!$B$57:$M$57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地价!$A$2:$A$41</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区片价!$R$1:$R$51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区片价!$O$1:$O$64</definedName>
    <definedName name="内部装修维护情况" localSheetId="22">[1]定义!$U$1:$U$6</definedName>
    <definedName name="内部装修维护情况">定义!$U$1:$U$6</definedName>
    <definedName name="七级">区片价!$P$1:$P$45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区片价!$L$1:$L$26</definedName>
    <definedName name="商业">定义!$X$2:$X$9</definedName>
    <definedName name="商业层高" localSheetId="22">'[1]不动产比较法-商业'!$B$116:$M$116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'不动产比较法-商业'!$B$107:$M$107</definedName>
    <definedName name="商业基础设施水平" localSheetId="22">'[1]不动产比较法-商业'!$B$112:$M$112</definedName>
    <definedName name="商业基础设施水平">'不动产比较法-商业'!$B$112:$M$112</definedName>
    <definedName name="商业建筑结构" localSheetId="22">'[1]不动产比较法-商业'!$B$105:$M$105</definedName>
    <definedName name="商业建筑结构">'不动产比较法-商业'!$B$105:$M$105</definedName>
    <definedName name="商业交易情况" localSheetId="22">'[1]不动产比较法-商业'!$A$61:$M$61</definedName>
    <definedName name="商业交易情况">'不动产比较法-商业'!$A$61:$M$61</definedName>
    <definedName name="商业街名称" localSheetId="22">[1]修正!$C$71:$C$139</definedName>
    <definedName name="商业街名称">修正!$C$73:$C$141</definedName>
    <definedName name="商业进深比" localSheetId="22">'[1]不动产比较法-商业'!$B$120:$M$120</definedName>
    <definedName name="商业进深比">'不动产比较法-商业'!$B$120:$M$120</definedName>
    <definedName name="商业类型" localSheetId="22">'[1]不动产比较法-商业'!$B$100:$M$100</definedName>
    <definedName name="商业类型">'不动产比较法-商业'!$B$100:$M$100</definedName>
    <definedName name="商业临街状况" localSheetId="22">'[1]不动产比较法-商业'!$B$86:$M$86</definedName>
    <definedName name="商业临街状况">'不动产比较法-商业'!$B$86:$M$86</definedName>
    <definedName name="商业楼层" localSheetId="22">'[1]不动产比较法-商业'!$B$92:$M$92</definedName>
    <definedName name="商业楼层">'不动产比较法-商业'!$B$92:$M$92</definedName>
    <definedName name="商业内部装修" localSheetId="22">'[1]不动产比较法-商业'!$B$122:$M$122</definedName>
    <definedName name="商业内部装修">'不动产比较法-商业'!$B$122:$M$122</definedName>
    <definedName name="商业人流量" localSheetId="22">'[1]不动产比较法-商业'!$B$90:$M$90</definedName>
    <definedName name="商业人流量">'不动产比较法-商业'!$B$90:$M$90</definedName>
    <definedName name="商业业态" localSheetId="22">'[1]不动产比较法-商业'!$B$114:$M$114</definedName>
    <definedName name="商业业态">'不动产比较法-商业'!$B$114:$M$114</definedName>
    <definedName name="商业用途" localSheetId="2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'[1]不动产比较法-仓储'!$B$89:$M$89</definedName>
    <definedName name="是否封闭">'不动产比较法-仓储'!$B$89:$M$89</definedName>
    <definedName name="是否直接入户" localSheetId="22">'[1]不动产比较法-车位'!$B$95:$M$95</definedName>
    <definedName name="是否直接入户">'不动产比较法-车位'!$B$95:$M$95</definedName>
    <definedName name="四级">区片价!$M$1:$M$33</definedName>
    <definedName name="套工工程地质条件" localSheetId="22">'[1]比较法-工业'!$B$115:$M$115</definedName>
    <definedName name="套工工程地质条件">'比较法-工业'!$B$115:$M$115</definedName>
    <definedName name="套工交易情况" localSheetId="22">'[1]比较法-住宅、综合'!$A$74:$M$74</definedName>
    <definedName name="套工交易情况">'比较法-住宅、综合'!$A$74:$M$74</definedName>
    <definedName name="套工开发程度" localSheetId="22">'[1]比较法-工业'!$B$113:$M$113</definedName>
    <definedName name="套工开发程度">'比较法-工业'!$B$113:$M$113</definedName>
    <definedName name="套工临街等级" localSheetId="22">'[1]比较法-工业'!$B$98:$M$98</definedName>
    <definedName name="套工临街等级">'比较法-工业'!$B$98:$M$98</definedName>
    <definedName name="套工土地级别" localSheetId="22">'[1]比较法-工业'!$B$100:$M$100</definedName>
    <definedName name="套工土地级别">'比较法-工业'!$B$100:$M$100</definedName>
    <definedName name="套工用途" localSheetId="22">'[1]比较法-工业'!$B$71:$M$71</definedName>
    <definedName name="套工用途">'比较法-工业'!$B$71:$M$71</definedName>
    <definedName name="套工宗地形状" localSheetId="22">'[1]比较法-工业'!$B$111:$M$111</definedName>
    <definedName name="套工宗地形状">'比较法-工业'!$B$111:$M$111</definedName>
    <definedName name="套综道路等级" localSheetId="22">'[1]比较法-住宅、综合'!$B$107:$M$107</definedName>
    <definedName name="套综道路等级">'比较法-住宅、综合'!$B$107:$M$107</definedName>
    <definedName name="套综工程地质条件" localSheetId="22">'[1]比较法-住宅、综合'!$B$126:$M$126</definedName>
    <definedName name="套综工程地质条件">'比较法-住宅、综合'!$B$126:$M$126</definedName>
    <definedName name="套综交易情况" localSheetId="22">'[1]比较法-住宅、综合'!$A$74:$M$74</definedName>
    <definedName name="套综交易情况">'比较法-住宅、综合'!$A$74:$M$74</definedName>
    <definedName name="套综临街宽度及深度" localSheetId="22">'[1]比较法-住宅、综合'!$B$122:$M$122</definedName>
    <definedName name="套综临街宽度及深度">'比较法-住宅、综合'!$B$122:$M$122</definedName>
    <definedName name="套综土地级别" localSheetId="22">'[1]比较法-住宅、综合'!$B$109:$M$109</definedName>
    <definedName name="套综土地级别">'比较法-住宅、综合'!$B$109:$M$109</definedName>
    <definedName name="套综用途" localSheetId="22">'[1]比较法-住宅、综合'!$B$76:$M$76</definedName>
    <definedName name="套综用途">'比较法-住宅、综合'!$B$76:$M$76</definedName>
    <definedName name="套综宗地内开发程度" localSheetId="22">'[1]比较法-住宅、综合'!$B$124:$M$124</definedName>
    <definedName name="套综宗地内开发程度">'比较法-住宅、综合'!$B$124:$M$124</definedName>
    <definedName name="套综宗地形状" localSheetId="22">'[1]比较法-住宅、综合'!$B$120:$M$120</definedName>
    <definedName name="套综宗地形状">'比较法-住宅、综合'!$B$120:$M$120</definedName>
    <definedName name="土地估价师" localSheetId="22">[1]估价师及机构信息!$D$3:$D$17</definedName>
    <definedName name="土地估价师">估价师及机构信息!$D$3:$D$17</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区片价!$N$1:$N$41</definedName>
    <definedName name="项目类型" localSheetId="22">'[1]数据-汇总表'!$C$17:$C$26</definedName>
    <definedName name="项目类型" localSheetId="36">'[2]数据-汇总表'!$C$17:$C$26</definedName>
    <definedName name="项目类型">'数据-汇总表'!$C$17:$C$26</definedName>
    <definedName name="写字楼等级" localSheetId="22">'[1]不动产比较法-办公'!$B$113:$M$113</definedName>
    <definedName name="写字楼等级">'不动产比较法-办公'!$B$113:$M$113</definedName>
    <definedName name="一级">区片价!$J$1:$J$6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 localSheetId="22">[1]定义!$A$1:$A$50</definedName>
    <definedName name="用途类型">定义!$A$1:$A$50</definedName>
    <definedName name="有无电梯" localSheetId="22">'[1]不动产比较法-仓储'!$B$84:$M$84</definedName>
    <definedName name="有无电梯">'不动产比较法-仓储'!$B$84:$M$84</definedName>
    <definedName name="主用途" localSheetId="22">[1]定义!$F$1:$F$12</definedName>
    <definedName name="主用途">定义!$F$1:$F$12</definedName>
    <definedName name="住宅">定义!$AA$2</definedName>
    <definedName name="住宅朝向" localSheetId="22">'[1]不动产比较法-住宅'!$B$88:$M$88</definedName>
    <definedName name="住宅朝向">'不动产比较法-住宅'!$B$88:$M$88</definedName>
    <definedName name="住宅房型" localSheetId="22">'[1]不动产比较法-住宅'!$B$118:$M$118</definedName>
    <definedName name="住宅房型">'不动产比较法-住宅'!$B$118:$M$118</definedName>
    <definedName name="住宅公共部分装修" localSheetId="22">'[1]不动产比较法-住宅'!$B$109:$M$109</definedName>
    <definedName name="住宅公共部分装修">'不动产比较法-住宅'!$B$109:$M$109</definedName>
    <definedName name="住宅基础设施水平" localSheetId="22">'[1]不动产比较法-住宅'!$B$116:$M$116</definedName>
    <definedName name="住宅基础设施水平">'不动产比较法-住宅'!$B$116:$M$116</definedName>
    <definedName name="住宅建筑结构" localSheetId="22">'[1]不动产比较法-住宅'!$B$105:$M$105</definedName>
    <definedName name="住宅建筑结构">'不动产比较法-住宅'!$B$105:$M$105</definedName>
    <definedName name="住宅建筑类型" localSheetId="22">'[1]不动产比较法-住宅'!$B$100:$M$100</definedName>
    <definedName name="住宅建筑类型">'不动产比较法-住宅'!$B$100:$M$100</definedName>
    <definedName name="住宅建筑品质" localSheetId="22">'[1]不动产比较法-住宅'!$B$107:$M$107</definedName>
    <definedName name="住宅建筑品质">'不动产比较法-住宅'!$B$107:$M$107</definedName>
    <definedName name="住宅交易情况" localSheetId="22">'[1]不动产比较法-住宅'!$A$61:$M$61</definedName>
    <definedName name="住宅交易情况">'不动产比较法-住宅'!$A$61:$M$61</definedName>
    <definedName name="住宅楼层" localSheetId="22">'[1]不动产比较法-住宅'!$B$86:$M$86</definedName>
    <definedName name="住宅楼层">'不动产比较法-住宅'!$B$86:$M$86</definedName>
    <definedName name="住宅内部装修" localSheetId="22">'[1]不动产比较法-住宅'!$B$122:$M$122</definedName>
    <definedName name="住宅内部装修">'不动产比较法-住宅'!$B$122:$M$122</definedName>
    <definedName name="住宅物业管理" localSheetId="22">'[1]不动产比较法-住宅'!$B$114:$M$114</definedName>
    <definedName name="住宅物业管理">'不动产比较法-住宅'!$B$114:$M$114</definedName>
    <definedName name="住宅用途" localSheetId="2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48" i="39" l="1"/>
  <c r="I40" i="39"/>
  <c r="I9" i="39"/>
  <c r="I7" i="39"/>
  <c r="G48" i="39"/>
  <c r="E48" i="39"/>
  <c r="G40" i="39"/>
  <c r="E40" i="39"/>
  <c r="G7" i="39"/>
  <c r="E7" i="39"/>
  <c r="BB13" i="75"/>
  <c r="BB4" i="75"/>
  <c r="BB5" i="75"/>
  <c r="BB6" i="75"/>
  <c r="BB7" i="75"/>
  <c r="BB8" i="75"/>
  <c r="BB9" i="75"/>
  <c r="BB10" i="75"/>
  <c r="BB11" i="75"/>
  <c r="BB12" i="75"/>
  <c r="BB3" i="75"/>
  <c r="B3" i="74" l="1"/>
  <c r="B6" i="74"/>
  <c r="C14" i="66"/>
  <c r="C4" i="74"/>
  <c r="B2"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I7"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2" i="67"/>
  <c r="C20" i="9"/>
  <c r="E9" i="67"/>
  <c r="E11" i="67"/>
  <c r="B13" i="67"/>
  <c r="F10" i="67"/>
  <c r="E10" i="67"/>
  <c r="B11" i="67"/>
  <c r="C21" i="9"/>
  <c r="N5" i="65"/>
  <c r="C19" i="9"/>
  <c r="E8" i="67"/>
  <c r="B9" i="67"/>
  <c r="F13" i="67"/>
  <c r="F9" i="67"/>
  <c r="F11" i="67"/>
  <c r="N6" i="65"/>
  <c r="N4" i="65"/>
  <c r="E14" i="67"/>
  <c r="B10" i="67"/>
  <c r="E13" i="67"/>
  <c r="B8" i="67"/>
  <c r="F14" i="67"/>
  <c r="B14" i="67"/>
  <c r="N3" i="65"/>
  <c r="F8" i="67"/>
  <c r="B12" i="67"/>
  <c r="F12" i="67"/>
  <c r="N7" i="65"/>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L43" i="9"/>
  <c r="I54" i="15"/>
  <c r="C4" i="65"/>
  <c r="B39" i="1" s="1"/>
  <c r="M9" i="15"/>
  <c r="L49" i="44"/>
  <c r="M28" i="44"/>
  <c r="J3" i="65"/>
  <c r="M31" i="44"/>
  <c r="F26" i="15"/>
  <c r="L48" i="44"/>
  <c r="I4" i="65"/>
  <c r="M26" i="15"/>
  <c r="F28" i="44"/>
  <c r="J7" i="65"/>
  <c r="M23" i="15"/>
  <c r="F40" i="44"/>
  <c r="J36" i="15"/>
  <c r="F45" i="44"/>
  <c r="L47" i="15"/>
  <c r="M25" i="44"/>
  <c r="I3" i="65"/>
  <c r="F42" i="15"/>
  <c r="J17" i="44"/>
  <c r="M29" i="15"/>
  <c r="M11" i="44"/>
  <c r="M6" i="15"/>
  <c r="F18" i="44"/>
  <c r="F39" i="44"/>
  <c r="J15" i="15"/>
  <c r="F36" i="15"/>
  <c r="I6" i="65"/>
  <c r="F13" i="15"/>
  <c r="J5" i="65"/>
  <c r="L48" i="15"/>
  <c r="M8" i="44"/>
  <c r="F37" i="15"/>
  <c r="F9" i="15"/>
  <c r="F11" i="44"/>
  <c r="F38" i="15"/>
  <c r="F43" i="44"/>
  <c r="F43" i="15"/>
  <c r="F15" i="44"/>
  <c r="M24" i="44"/>
  <c r="F8" i="15"/>
  <c r="M8" i="15"/>
  <c r="M22" i="15"/>
  <c r="F10" i="44"/>
  <c r="F16" i="15"/>
  <c r="M28" i="15"/>
  <c r="M10" i="44"/>
  <c r="F9" i="44"/>
  <c r="J4" i="65"/>
  <c r="F38" i="44"/>
  <c r="J6" i="65"/>
  <c r="M24" i="15"/>
  <c r="I7" i="65"/>
  <c r="F40" i="15"/>
  <c r="F8" i="44"/>
  <c r="I5" i="65"/>
  <c r="F7" i="15"/>
  <c r="M26" i="44"/>
  <c r="F6" i="15"/>
  <c r="M30" i="44"/>
  <c r="AB23" i="39" l="1"/>
  <c r="S23" i="39"/>
  <c r="Q73" i="44"/>
  <c r="M9" i="44"/>
  <c r="J8"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F1" i="44"/>
  <c r="J20" i="44"/>
  <c r="AE6" i="1"/>
  <c r="AE12" i="1"/>
  <c r="AE7" i="1"/>
  <c r="AE8" i="1"/>
  <c r="AE9" i="1"/>
  <c r="AE10" i="1"/>
  <c r="AE11" i="1"/>
  <c r="F41" i="15"/>
  <c r="C18" i="44"/>
  <c r="F46" i="44"/>
  <c r="E2" i="65"/>
  <c r="C16" i="15"/>
  <c r="E3" i="65"/>
  <c r="J7" i="44" l="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59" i="15" l="1"/>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M27" i="6" l="1"/>
  <c r="H25"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M21" i="15"/>
  <c r="M23" i="44"/>
  <c r="F35" i="15"/>
  <c r="C16" i="44"/>
  <c r="C14"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D14" i="66" s="1"/>
  <c r="C20" i="43"/>
  <c r="C24" i="15"/>
  <c r="C23" i="15"/>
  <c r="C27" i="12"/>
  <c r="D26" i="12" s="1"/>
  <c r="C32" i="12" s="1"/>
  <c r="D30" i="12" s="1"/>
  <c r="C28" i="12"/>
  <c r="C26" i="12" s="1"/>
  <c r="C31" i="12" s="1"/>
  <c r="C30" i="12" s="1"/>
  <c r="C26" i="44"/>
  <c r="C25" i="44"/>
  <c r="D21" i="9"/>
  <c r="D20" i="9"/>
  <c r="E14" i="66" l="1"/>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<sst xmlns="http://schemas.openxmlformats.org/spreadsheetml/2006/main" count="7760" uniqueCount="3564">
  <si>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</si>
  <si>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</si>
  <si>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</si>
  <si>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</si>
  <si>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</si>
  <si>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</si>
  <si>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</si>
  <si>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</si>
  <si>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</si>
  <si>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</si>
  <si>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</si>
  <si>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</si>
  <si>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</si>
  <si>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</si>
  <si>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</si>
  <si>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</si>
  <si>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</si>
  <si>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</si>
  <si>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</si>
  <si>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</si>
  <si>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</si>
  <si>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</si>
  <si>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</si>
  <si>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</si>
  <si>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</si>
  <si>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</si>
  <si>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</si>
  <si>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</si>
  <si>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</si>
  <si>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</si>
  <si>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</si>
  <si>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</si>
  <si>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</si>
  <si>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</si>
  <si>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</si>
  <si>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</si>
  <si>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</si>
  <si>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</si>
  <si>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</si>
  <si>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</si>
  <si>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</si>
  <si>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</si>
  <si>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</si>
  <si>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</si>
  <si>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</si>
  <si>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</si>
  <si>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</si>
  <si>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</si>
  <si>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</si>
  <si>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</si>
  <si>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</si>
  <si>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</si>
  <si>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</si>
  <si>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</si>
  <si>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</si>
  <si>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</si>
  <si>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</si>
  <si>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</si>
  <si>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</si>
  <si>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</si>
  <si>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</si>
  <si>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</si>
  <si>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</si>
  <si>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</si>
  <si>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</si>
  <si>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</si>
  <si>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</si>
  <si>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</si>
  <si>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</si>
  <si>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</si>
  <si>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</si>
  <si>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</si>
  <si>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</si>
  <si>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</si>
  <si>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</si>
  <si>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</si>
  <si>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</si>
  <si>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</si>
  <si>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</si>
  <si>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</si>
  <si>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</si>
  <si>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</si>
  <si>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</si>
  <si>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</si>
  <si>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</si>
  <si>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</si>
  <si>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</si>
  <si>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</si>
  <si>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</si>
  <si>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</si>
  <si>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</si>
  <si>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</si>
  <si>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</si>
  <si>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</si>
  <si>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</si>
  <si>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</si>
  <si>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</si>
  <si>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</si>
  <si>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</si>
  <si>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</si>
  <si>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</si>
  <si>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</si>
  <si>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</si>
  <si>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</si>
  <si>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</si>
  <si>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</si>
  <si>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</si>
  <si>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</si>
  <si>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</si>
  <si>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</si>
  <si>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</si>
  <si>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</si>
  <si>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</si>
  <si>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</si>
  <si>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</si>
  <si>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</si>
  <si>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</si>
  <si>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</si>
  <si>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</si>
  <si>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</si>
  <si>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</si>
  <si>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</si>
  <si>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</si>
  <si>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</si>
  <si>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</si>
  <si>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</si>
  <si>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</si>
  <si>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</si>
  <si>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</si>
  <si>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</si>
  <si>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</si>
  <si>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</si>
  <si>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</si>
  <si>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</si>
  <si>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</si>
  <si>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</si>
  <si>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</si>
  <si>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</si>
  <si>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</si>
  <si>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</si>
  <si>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</si>
  <si>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</si>
  <si>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</si>
  <si>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</si>
  <si>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</si>
  <si>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</si>
  <si>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</si>
  <si>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</si>
  <si>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</si>
  <si>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</si>
  <si>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</si>
  <si>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</si>
  <si>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</si>
  <si>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</si>
  <si>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</si>
  <si>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</si>
  <si>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</si>
  <si>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</si>
  <si>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</si>
  <si>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</si>
  <si>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</si>
  <si>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</si>
  <si>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</si>
  <si>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</si>
  <si>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</si>
  <si>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</si>
  <si>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</si>
  <si>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</si>
  <si>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</si>
  <si>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</si>
  <si>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</si>
  <si>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</si>
  <si>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</si>
  <si>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</si>
  <si>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</si>
  <si>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</si>
  <si>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</si>
  <si>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</si>
  <si>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</si>
  <si>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</si>
  <si>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</si>
  <si>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</si>
  <si>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</si>
  <si>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</si>
  <si>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</si>
  <si>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</si>
  <si>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</si>
  <si>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</si>
  <si>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</si>
  <si>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</si>
  <si>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</si>
  <si>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</si>
  <si>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</si>
  <si>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</si>
  <si>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</si>
  <si>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</si>
  <si>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</si>
  <si>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</si>
  <si>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</si>
  <si>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</si>
  <si>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</si>
  <si>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</si>
  <si>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</si>
  <si>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</si>
  <si>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</si>
  <si>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</si>
  <si>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</si>
  <si>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</si>
  <si>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</si>
  <si>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</si>
  <si>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</si>
  <si>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</si>
  <si>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</si>
  <si>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</si>
  <si>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</si>
  <si>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</si>
  <si>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</si>
  <si>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</si>
  <si>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</si>
  <si>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</si>
  <si>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</si>
  <si>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</si>
  <si>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</si>
  <si>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</si>
  <si>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</si>
  <si>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</si>
  <si>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</si>
  <si>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</si>
  <si>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</si>
  <si>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</si>
  <si>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</si>
  <si>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</si>
  <si>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</si>
  <si>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</si>
  <si>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</si>
  <si>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</si>
  <si>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</si>
  <si>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</si>
  <si>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</si>
  <si>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</si>
  <si>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</si>
  <si>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</si>
  <si>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</si>
  <si>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</si>
  <si>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</si>
  <si>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</si>
  <si>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</si>
  <si>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</si>
  <si>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</si>
  <si>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</si>
  <si>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</si>
  <si>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</si>
  <si>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</si>
  <si>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</si>
  <si>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</si>
  <si>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</si>
  <si>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</si>
  <si>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</si>
  <si>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</si>
  <si>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</si>
  <si>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</si>
  <si>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</si>
  <si>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</si>
  <si>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</si>
  <si>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</si>
  <si>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</si>
  <si>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</si>
  <si>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</si>
  <si>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</si>
  <si>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</si>
  <si>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</si>
  <si>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</si>
  <si>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</si>
  <si>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</si>
  <si>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</si>
  <si>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</si>
  <si>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</si>
  <si>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</si>
  <si>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</si>
  <si>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</si>
  <si>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</si>
  <si>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</si>
  <si>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</si>
  <si>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</si>
  <si>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</si>
  <si>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</si>
  <si>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</si>
  <si>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</si>
  <si>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</si>
  <si>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</si>
  <si>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</si>
  <si>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</si>
  <si>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</si>
  <si>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</si>
  <si>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</si>
  <si>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</si>
  <si>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</si>
  <si>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</si>
  <si>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</si>
  <si>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</si>
  <si>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</si>
  <si>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</si>
  <si>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</si>
  <si>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</si>
  <si>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</si>
  <si>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</si>
  <si>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</si>
  <si>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</si>
  <si>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</si>
  <si>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</si>
  <si>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</si>
  <si>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</si>
  <si>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</si>
  <si>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</si>
  <si>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</si>
  <si>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</si>
  <si>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</si>
  <si>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</si>
  <si>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</si>
  <si>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</si>
  <si>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</si>
  <si>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</si>
  <si>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</si>
  <si>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</si>
  <si>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</si>
  <si>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</si>
  <si>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</si>
  <si>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</si>
  <si>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</si>
  <si>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</si>
  <si>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</si>
  <si>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</si>
  <si>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</si>
  <si>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</si>
  <si>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</si>
  <si>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</si>
  <si>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</si>
  <si>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</si>
  <si>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</si>
  <si>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</si>
  <si>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</si>
  <si>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</si>
  <si>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</si>
  <si>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</si>
  <si>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</si>
  <si>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</si>
  <si>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</si>
  <si>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</si>
  <si>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</si>
  <si>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</si>
  <si>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</si>
  <si>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</si>
  <si>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</si>
  <si>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</si>
  <si>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</si>
  <si>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</si>
  <si>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</si>
  <si>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</si>
  <si>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</si>
  <si>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</si>
  <si>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</si>
  <si>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</si>
  <si>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</si>
  <si>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</si>
  <si>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</si>
  <si>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</si>
  <si>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</si>
  <si>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</si>
  <si>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</si>
  <si>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</si>
  <si>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</si>
  <si>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</si>
  <si>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</si>
  <si>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</si>
  <si>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</si>
  <si>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</si>
  <si>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</si>
  <si>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</si>
  <si>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</si>
  <si>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</si>
  <si>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</si>
  <si>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</si>
  <si>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</si>
  <si>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</si>
  <si>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</si>
  <si>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</si>
  <si>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</si>
  <si>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</si>
  <si>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</si>
  <si>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</si>
  <si>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</si>
  <si>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</si>
  <si>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</si>
  <si>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</si>
  <si>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</si>
  <si>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</si>
  <si>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</si>
  <si>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</si>
  <si>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</si>
  <si>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</si>
  <si>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</si>
  <si>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</si>
  <si>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</si>
  <si>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</si>
  <si>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</si>
  <si>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</si>
  <si>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</si>
  <si>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</si>
  <si>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</si>
  <si>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</si>
  <si>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</si>
  <si>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</si>
  <si>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</si>
  <si>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</si>
  <si>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</si>
  <si>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</si>
  <si>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</si>
  <si>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</si>
  <si>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</si>
  <si>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</si>
  <si>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</si>
  <si>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</si>
  <si>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</si>
  <si>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</si>
  <si>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</si>
  <si>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</si>
  <si>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</si>
  <si>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</si>
  <si>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</si>
  <si>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</si>
  <si>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</si>
  <si>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</si>
  <si>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</si>
  <si>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</si>
  <si>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</si>
  <si>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</si>
  <si>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</si>
  <si>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</si>
  <si>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</si>
  <si>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</si>
  <si>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</si>
  <si>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</si>
  <si>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</si>
  <si>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</si>
  <si>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</si>
  <si>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</si>
  <si>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</si>
  <si>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</si>
  <si>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</si>
  <si>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</si>
  <si>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</si>
  <si>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</si>
  <si>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</si>
  <si>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</si>
  <si>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</si>
  <si>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</si>
  <si>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</si>
  <si>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</si>
  <si>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</si>
  <si>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</si>
  <si>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</si>
  <si>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</si>
  <si>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</si>
  <si>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</si>
  <si>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</si>
  <si>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</si>
  <si>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</si>
  <si>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</si>
  <si>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</si>
  <si>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</si>
  <si>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</si>
  <si>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</si>
  <si>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</si>
  <si>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</si>
  <si>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</si>
  <si>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</si>
  <si>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</si>
  <si>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</si>
  <si>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</si>
  <si>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</si>
  <si>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</si>
  <si>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</si>
  <si>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</si>
  <si>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</si>
  <si>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</si>
  <si>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</si>
  <si>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</si>
  <si>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</si>
  <si>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</si>
  <si>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</si>
  <si>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</si>
  <si>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</si>
  <si>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</si>
  <si>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</si>
  <si>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</si>
  <si>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</si>
  <si>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</si>
  <si>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</si>
  <si>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</si>
  <si>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</si>
  <si>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</si>
  <si>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</si>
  <si>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</si>
  <si>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</si>
  <si>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</si>
  <si>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</si>
  <si>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</si>
  <si>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</si>
  <si>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</si>
  <si>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</si>
  <si>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</si>
  <si>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</si>
  <si>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</si>
  <si>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</si>
  <si>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</si>
  <si>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</si>
  <si>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</si>
  <si>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</si>
  <si>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</si>
  <si>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</si>
  <si>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</si>
  <si>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</si>
  <si>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</si>
  <si>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</si>
  <si>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</si>
  <si>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</si>
  <si>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</si>
  <si>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</si>
  <si>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</si>
  <si>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</si>
  <si>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</si>
  <si>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</si>
  <si>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</si>
  <si>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</si>
  <si>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</si>
  <si>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</si>
  <si>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</si>
  <si>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</si>
  <si>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</si>
  <si>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</si>
  <si>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</si>
  <si>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</si>
  <si>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</si>
  <si>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</si>
  <si>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</si>
  <si>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</si>
  <si>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</si>
  <si>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</si>
  <si>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</si>
  <si>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</si>
  <si>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</si>
  <si>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</si>
  <si>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</si>
  <si>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</si>
  <si>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</si>
  <si>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</si>
  <si>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</si>
  <si>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</si>
  <si>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</si>
  <si>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</si>
  <si>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</si>
  <si>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</si>
  <si>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</si>
  <si>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</si>
  <si>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</si>
  <si>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</si>
  <si>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</si>
  <si>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</si>
  <si>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</si>
  <si>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</si>
  <si>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</si>
  <si>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</si>
  <si>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</si>
  <si>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</si>
  <si>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</si>
  <si>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</si>
  <si>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</si>
  <si>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</si>
  <si>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</si>
  <si>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</si>
  <si>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</si>
  <si>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</si>
  <si>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</si>
  <si>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</si>
  <si>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</si>
  <si>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</si>
  <si>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</si>
  <si>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</si>
  <si>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</si>
  <si>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</si>
  <si>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</si>
  <si>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</si>
  <si>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</si>
  <si>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</si>
  <si>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</si>
  <si>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</si>
  <si>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</si>
  <si>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</si>
  <si>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</si>
  <si>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</si>
  <si>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</si>
  <si>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</si>
  <si>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</si>
  <si>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</si>
  <si>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</si>
  <si>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</si>
  <si>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</si>
  <si>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</si>
  <si>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</si>
  <si>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</si>
  <si>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</si>
  <si>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</si>
  <si>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</si>
  <si>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</si>
  <si>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</si>
  <si>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</si>
  <si>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</si>
  <si>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</si>
  <si>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</si>
  <si>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</si>
  <si>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</si>
  <si>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</si>
  <si>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</si>
  <si>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</si>
  <si>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</si>
  <si>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</si>
  <si>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</si>
  <si>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</si>
  <si>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</si>
  <si>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</si>
  <si>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</si>
  <si>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</si>
  <si>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</si>
  <si>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</si>
  <si>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</si>
  <si>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</si>
  <si>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</si>
  <si>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</si>
  <si>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</si>
  <si>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</si>
  <si>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</si>
  <si>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</si>
  <si>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</si>
  <si>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</si>
  <si>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</si>
  <si>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</si>
  <si>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</si>
  <si>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</si>
  <si>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</si>
  <si>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</si>
  <si>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</si>
  <si>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</si>
  <si>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</si>
  <si>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</si>
  <si>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</si>
  <si>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</si>
  <si>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</si>
  <si>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</si>
  <si>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</si>
  <si>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</si>
  <si>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</si>
  <si>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</si>
  <si>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</si>
  <si>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</si>
  <si>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</si>
  <si>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</si>
  <si>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</si>
  <si>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</si>
  <si>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</si>
  <si>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</si>
  <si>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</si>
  <si>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</si>
  <si>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</si>
  <si>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</si>
  <si>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</si>
  <si>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</si>
  <si>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</si>
  <si>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</si>
  <si>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</si>
  <si>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</si>
  <si>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</si>
  <si>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</si>
  <si>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</si>
  <si>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</si>
  <si>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</si>
  <si>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</si>
  <si>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</si>
  <si>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</si>
  <si>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</si>
  <si>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</si>
  <si>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</si>
  <si>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</si>
  <si>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</si>
  <si>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</si>
  <si>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</si>
  <si>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</si>
  <si>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</si>
  <si>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</si>
  <si>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</si>
  <si>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</si>
  <si>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</si>
  <si>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</si>
  <si>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</si>
  <si>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</si>
  <si>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</si>
  <si>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</si>
  <si>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</si>
  <si>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</si>
  <si>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</si>
  <si>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</si>
  <si>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</si>
  <si>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</si>
  <si>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</si>
  <si>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</si>
  <si>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</si>
  <si>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</si>
  <si>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</si>
  <si>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</si>
  <si>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</si>
  <si>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</si>
  <si>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</si>
  <si>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</si>
  <si>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</si>
  <si>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</si>
  <si>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</si>
  <si>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</si>
  <si>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</si>
  <si>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</si>
  <si>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</si>
  <si>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</si>
  <si>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</si>
  <si>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</si>
  <si>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</si>
  <si>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</si>
  <si>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</si>
  <si>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</si>
  <si>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</si>
  <si>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</si>
  <si>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</si>
  <si>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</si>
  <si>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</si>
  <si>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</si>
  <si>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</si>
  <si>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</si>
  <si>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</si>
  <si>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</si>
  <si>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</si>
  <si>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</si>
  <si>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</si>
  <si>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</si>
  <si>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</si>
  <si>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</si>
  <si>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</si>
  <si>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</si>
  <si>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</si>
  <si>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</si>
  <si>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</si>
  <si>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</si>
  <si>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</si>
  <si>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</si>
  <si>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</si>
  <si>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</si>
  <si>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</si>
  <si>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</si>
  <si>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</si>
  <si>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</si>
  <si>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</si>
  <si>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</si>
  <si>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</si>
  <si>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</si>
  <si>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</si>
  <si>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</si>
  <si>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</si>
  <si>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</si>
  <si>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</si>
  <si>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</si>
  <si>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</si>
  <si>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</si>
  <si>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</si>
  <si>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</si>
  <si>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</si>
  <si>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</si>
  <si>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</si>
  <si>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</si>
  <si>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</si>
  <si>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</si>
  <si>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</si>
  <si>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</si>
  <si>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</si>
  <si>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</si>
  <si>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</si>
  <si>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</si>
  <si>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</si>
  <si>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</si>
  <si>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</si>
  <si>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</si>
  <si>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</si>
  <si>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</si>
  <si>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</si>
  <si>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</si>
  <si>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</si>
  <si>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</si>
  <si>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</si>
  <si>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</si>
  <si>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</si>
  <si>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</si>
  <si>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</si>
  <si>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</si>
  <si>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</si>
  <si>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</si>
  <si>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</si>
  <si>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</si>
  <si>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</si>
  <si>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</si>
  <si>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</si>
  <si>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</si>
  <si>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</si>
  <si>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</si>
  <si>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</si>
  <si>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</si>
  <si>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</si>
  <si>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</si>
  <si>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</si>
  <si>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</si>
  <si>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</si>
  <si>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</si>
  <si>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</si>
  <si>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</si>
  <si>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</si>
  <si>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</si>
  <si>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</si>
  <si>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</si>
  <si>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</si>
  <si>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</si>
  <si>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</si>
  <si>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</si>
  <si>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</si>
  <si>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</si>
  <si>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</si>
  <si>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</si>
  <si>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</si>
  <si>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</si>
  <si>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</si>
  <si>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</si>
  <si>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</si>
  <si>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</si>
  <si>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</si>
  <si>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</si>
  <si>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</si>
  <si>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</si>
  <si>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</si>
  <si>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</si>
  <si>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</si>
  <si>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</si>
  <si>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</si>
  <si>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</si>
  <si>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</si>
  <si>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</si>
  <si>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</si>
  <si>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</si>
  <si>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</si>
  <si>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</si>
  <si>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</si>
  <si>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</si>
  <si>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</si>
  <si>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</si>
  <si>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</si>
  <si>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</si>
  <si>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</si>
  <si>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</si>
  <si>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</si>
  <si>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</si>
  <si>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</si>
  <si>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</si>
  <si>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</si>
  <si>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</si>
  <si>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</si>
  <si>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</si>
  <si>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</si>
  <si>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</si>
  <si>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</si>
  <si>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</si>
  <si>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</si>
  <si>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</si>
  <si>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</si>
  <si>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</si>
  <si>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</si>
  <si>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</si>
  <si>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</si>
  <si>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</si>
  <si>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</si>
  <si>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</si>
  <si>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</si>
  <si>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</si>
  <si>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</si>
  <si>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</si>
  <si>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</si>
  <si>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</si>
  <si>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</si>
  <si>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</si>
  <si>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</si>
  <si>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</si>
  <si>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</si>
  <si>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</si>
  <si>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</si>
  <si>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</si>
  <si>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</si>
  <si>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</si>
  <si>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</si>
  <si>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</si>
  <si>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</si>
  <si>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</si>
  <si>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</si>
  <si>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</si>
  <si>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</si>
  <si>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</si>
  <si>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</si>
  <si>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</si>
  <si>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</si>
  <si>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</si>
  <si>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</si>
  <si>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</si>
  <si>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</si>
  <si>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</si>
  <si>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</si>
  <si>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</si>
  <si>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</si>
  <si>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</si>
  <si>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</si>
  <si>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</si>
  <si>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</si>
  <si>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</si>
  <si>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</si>
  <si>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</si>
  <si>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</si>
  <si>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</si>
  <si>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</si>
  <si>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</si>
  <si>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</si>
  <si>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</si>
  <si>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</si>
  <si>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</si>
  <si>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</si>
  <si>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</si>
  <si>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</si>
  <si>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</si>
  <si>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</si>
  <si>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</si>
  <si>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</si>
  <si>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</si>
  <si>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</si>
  <si>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</si>
  <si>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</si>
  <si>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</si>
  <si>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</si>
  <si>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</si>
  <si>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</si>
  <si>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</si>
  <si>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</si>
  <si>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</si>
  <si>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</si>
  <si>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</si>
  <si>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</si>
  <si>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</si>
  <si>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</si>
  <si>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</si>
  <si>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</si>
  <si>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</si>
  <si>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</si>
  <si>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</si>
  <si>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</si>
  <si>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</si>
  <si>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</si>
  <si>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</si>
  <si>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</si>
  <si>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</si>
  <si>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</si>
  <si>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</si>
  <si>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</si>
  <si>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</si>
  <si>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</si>
  <si>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</si>
  <si>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</si>
  <si>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</si>
  <si>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</si>
  <si>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</si>
  <si>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</si>
  <si>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</si>
  <si>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</si>
  <si>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</si>
  <si>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</si>
  <si>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</si>
  <si>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</si>
  <si>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</si>
  <si>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</si>
  <si>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</si>
  <si>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</si>
  <si>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</si>
  <si>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</si>
  <si>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</si>
  <si>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</si>
  <si>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</si>
  <si>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</si>
  <si>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</si>
  <si>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</si>
  <si>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</si>
  <si>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</si>
  <si>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</si>
  <si>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</si>
  <si>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</si>
  <si>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</si>
  <si>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</si>
  <si>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</si>
  <si>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</si>
  <si>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</si>
  <si>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</si>
  <si>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</si>
  <si>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</si>
  <si>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</si>
  <si>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</si>
  <si>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</si>
  <si>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</si>
  <si>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</si>
  <si>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</si>
  <si>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</si>
  <si>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</si>
  <si>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</si>
  <si>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</si>
  <si>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</si>
  <si>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</si>
  <si>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</si>
  <si>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</si>
  <si>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</si>
  <si>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</si>
  <si>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</si>
  <si>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</si>
  <si>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</si>
  <si>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</si>
  <si>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</si>
  <si>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</si>
  <si>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</si>
  <si>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</si>
  <si>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</si>
  <si>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</si>
  <si>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</si>
  <si>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</si>
  <si>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</si>
  <si>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</si>
  <si>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</si>
  <si>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</si>
  <si>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</si>
  <si>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</si>
  <si>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</si>
  <si>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</si>
  <si>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</si>
  <si>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</si>
  <si>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</si>
  <si>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</si>
  <si>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</si>
  <si>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</si>
  <si>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</si>
  <si>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</si>
  <si>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</si>
  <si>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</si>
  <si>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</si>
  <si>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</si>
  <si>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</si>
  <si>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</si>
  <si>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</si>
  <si>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</si>
  <si>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</si>
  <si>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</si>
  <si>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</si>
  <si>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</si>
  <si>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</si>
  <si>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</si>
  <si>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</si>
  <si>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</si>
  <si>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</si>
  <si>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</si>
  <si>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</si>
  <si>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</si>
  <si>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</si>
  <si>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</si>
  <si>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</si>
  <si>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</si>
  <si>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</si>
  <si>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</si>
  <si>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</si>
  <si>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</si>
  <si>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</si>
  <si>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</si>
  <si>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</si>
  <si>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</si>
  <si>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</si>
  <si>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</si>
  <si>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</si>
  <si>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</si>
  <si>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</si>
  <si>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</si>
  <si>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</si>
  <si>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</si>
  <si>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</si>
  <si>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</si>
  <si>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</si>
  <si>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</si>
  <si>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</si>
  <si>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</si>
  <si>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</si>
  <si>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</si>
  <si>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</si>
  <si>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</si>
  <si>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</si>
  <si>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</si>
  <si>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</si>
  <si>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</si>
  <si>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</si>
  <si>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</si>
  <si>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</si>
  <si>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</si>
  <si>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</si>
  <si>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</si>
  <si>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</si>
  <si>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</si>
  <si>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</si>
  <si>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</si>
  <si>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</si>
  <si>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</si>
  <si>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</si>
  <si>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</si>
  <si>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</si>
  <si>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</si>
  <si>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</si>
  <si>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</si>
  <si>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</si>
  <si>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</si>
  <si>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</si>
  <si>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</si>
  <si>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</si>
  <si>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</si>
  <si>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</si>
  <si>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</si>
  <si>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</si>
  <si>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</si>
  <si>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</si>
  <si>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</si>
  <si>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</si>
  <si>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</si>
  <si>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</si>
  <si>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</si>
  <si>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</si>
  <si>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</si>
  <si>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</si>
  <si>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</si>
  <si>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</si>
  <si>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</si>
  <si>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</si>
  <si>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</si>
  <si>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</si>
  <si>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</si>
  <si>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</si>
  <si>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</si>
  <si>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</si>
  <si>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</si>
  <si>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</si>
  <si>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</si>
  <si>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</si>
  <si>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</si>
  <si>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</si>
  <si>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</si>
  <si>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</si>
  <si>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</si>
  <si>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</si>
  <si>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</si>
  <si>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</si>
  <si>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</si>
  <si>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</si>
  <si>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</si>
  <si>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</si>
  <si>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</si>
  <si>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</si>
  <si>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</si>
  <si>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</si>
  <si>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</si>
  <si>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</si>
  <si>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</si>
  <si>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</si>
  <si>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</si>
  <si>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</si>
  <si>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</si>
  <si>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</si>
  <si>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</si>
  <si>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</si>
  <si>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</si>
  <si>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</si>
  <si>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</si>
  <si>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</si>
  <si>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</si>
  <si>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</si>
  <si>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</si>
  <si>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</si>
  <si>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</si>
  <si>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</si>
  <si>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</si>
  <si>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</si>
  <si>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</si>
  <si>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</si>
  <si>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</si>
  <si>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</si>
  <si>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</si>
  <si>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</si>
  <si>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</si>
  <si>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</si>
  <si>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</si>
  <si>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</si>
  <si>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</si>
  <si>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</si>
  <si>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</si>
  <si>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</si>
  <si>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</si>
  <si>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</si>
  <si>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</si>
  <si>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</si>
  <si>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</si>
  <si>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</si>
  <si>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</si>
  <si>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</si>
  <si>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</si>
  <si>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</si>
  <si>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</si>
  <si>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</si>
  <si>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</si>
  <si>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</si>
  <si>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</si>
  <si>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</si>
  <si>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</si>
  <si>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</si>
  <si>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</si>
  <si>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</si>
  <si>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</si>
  <si>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</si>
  <si>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</si>
  <si>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</si>
  <si>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</si>
  <si>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</si>
  <si>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</si>
  <si>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</si>
  <si>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</si>
  <si>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</si>
  <si>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</si>
  <si>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</si>
  <si>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</si>
  <si>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</si>
  <si>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</si>
  <si>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</si>
  <si>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</si>
  <si>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</si>
  <si>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</si>
  <si>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</si>
  <si>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</si>
  <si>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</si>
  <si>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</si>
  <si>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</si>
  <si>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</si>
  <si>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</si>
  <si>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</si>
  <si>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</si>
  <si>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</si>
  <si>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</si>
  <si>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</si>
  <si>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</si>
  <si>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</si>
  <si>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</si>
  <si>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</si>
  <si>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</si>
  <si>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</si>
  <si>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</si>
  <si>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</si>
  <si>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</si>
  <si>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</si>
  <si>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</si>
  <si>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</si>
  <si>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</si>
  <si>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</si>
  <si>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</si>
  <si>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</si>
  <si>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</si>
  <si>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</si>
  <si>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</si>
  <si>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</si>
  <si>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</si>
  <si>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</si>
  <si>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</si>
  <si>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</si>
  <si>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</si>
  <si>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</si>
  <si>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</si>
  <si>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</si>
  <si>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</si>
  <si>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</si>
  <si>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</si>
  <si>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</si>
  <si>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</si>
  <si>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</si>
  <si>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</si>
  <si>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</si>
  <si>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</si>
  <si>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</si>
  <si>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</si>
  <si>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</si>
  <si>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</si>
  <si>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</si>
  <si>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</si>
  <si>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</si>
  <si>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</si>
  <si>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</si>
  <si>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</si>
  <si>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</si>
  <si>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</si>
  <si>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</si>
  <si>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</si>
  <si>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</si>
  <si>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</si>
  <si>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</si>
  <si>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</si>
  <si>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</si>
  <si>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</si>
  <si>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</si>
  <si>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</si>
  <si>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</si>
  <si>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</si>
  <si>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</si>
  <si>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</si>
  <si>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</si>
  <si>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</si>
  <si>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</si>
  <si>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</si>
  <si>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</si>
  <si>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</si>
  <si>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</si>
  <si>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</si>
  <si>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</si>
  <si>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</si>
  <si>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</si>
  <si>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</si>
  <si>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</si>
  <si>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</si>
  <si>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</si>
  <si>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</si>
  <si>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</si>
  <si>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</si>
  <si>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</si>
  <si>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</si>
  <si>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</si>
  <si>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</si>
  <si>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</si>
  <si>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</si>
  <si>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</si>
  <si>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</si>
  <si>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</si>
  <si>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</si>
  <si>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</si>
  <si>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</si>
  <si>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</si>
  <si>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</si>
  <si>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</si>
  <si>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</si>
  <si>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</si>
  <si>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</si>
  <si>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</si>
  <si>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</si>
  <si>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</si>
  <si>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</si>
  <si>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</si>
  <si>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</si>
  <si>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</si>
  <si>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</si>
  <si>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</si>
  <si>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</si>
  <si>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</si>
  <si>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</si>
  <si>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</si>
  <si>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</si>
  <si>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</si>
  <si>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</si>
  <si>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</si>
  <si>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</si>
  <si>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</si>
  <si>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</si>
  <si>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</si>
  <si>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</si>
  <si>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</si>
  <si>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</si>
  <si>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</si>
  <si>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</si>
  <si>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</si>
  <si>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</si>
  <si>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</si>
  <si>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</si>
  <si>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</si>
  <si>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</si>
  <si>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</si>
  <si>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</si>
  <si>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</si>
  <si>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</si>
  <si>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</si>
  <si>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</si>
  <si>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</si>
  <si>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</si>
  <si>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</si>
  <si>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</si>
  <si>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</si>
  <si>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</si>
  <si>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</si>
  <si>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</si>
  <si>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</si>
  <si>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</si>
  <si>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</si>
  <si>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</si>
  <si>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</si>
  <si>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</si>
  <si>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</si>
  <si>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</si>
  <si>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</si>
  <si>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</si>
  <si>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</si>
  <si>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</si>
  <si>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</si>
  <si>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</si>
  <si>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</si>
  <si>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</si>
  <si>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</si>
  <si>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</si>
  <si>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</si>
  <si>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</si>
  <si>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</si>
  <si>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</si>
  <si>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</si>
  <si>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</si>
  <si>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</si>
  <si>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</si>
  <si>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</si>
  <si>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</si>
  <si>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</si>
  <si>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</si>
  <si>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</si>
  <si>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</si>
  <si>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</si>
  <si>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</si>
  <si>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</si>
  <si>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</si>
  <si>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</si>
  <si>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</si>
  <si>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</si>
  <si>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</si>
  <si>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</si>
  <si>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</si>
  <si>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</si>
  <si>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</si>
  <si>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</si>
  <si>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</si>
  <si>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</si>
  <si>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</si>
  <si>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</si>
  <si>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</si>
  <si>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</si>
  <si>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</si>
  <si>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</si>
  <si>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</si>
  <si>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</si>
  <si>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</si>
  <si>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</si>
  <si>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</si>
  <si>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</si>
  <si>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</si>
  <si>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</si>
  <si>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</si>
  <si>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</si>
  <si>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</si>
  <si>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</si>
  <si>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</si>
  <si>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</si>
  <si>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</si>
  <si>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</si>
  <si>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</si>
  <si>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</si>
  <si>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</si>
  <si>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</si>
  <si>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</si>
  <si>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</si>
  <si>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</si>
  <si>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</si>
  <si>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</si>
  <si>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</si>
  <si>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</si>
  <si>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</si>
  <si>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</si>
  <si>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</si>
  <si>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</si>
  <si>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</si>
  <si>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</si>
  <si>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</si>
  <si>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</si>
  <si>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</si>
  <si>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</si>
  <si>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</si>
  <si>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</si>
  <si>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</si>
  <si>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</si>
  <si>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</si>
  <si>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</si>
  <si>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</si>
  <si>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</si>
  <si>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</si>
  <si>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</si>
  <si>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</si>
  <si>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</si>
  <si>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</si>
  <si>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</si>
  <si>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</si>
  <si>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</si>
  <si>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</si>
  <si>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</si>
  <si>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</si>
  <si>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</si>
  <si>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</si>
  <si>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</si>
  <si>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</si>
  <si>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</si>
  <si>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</si>
  <si>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</si>
  <si>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</si>
  <si>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</si>
  <si>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</si>
  <si>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</si>
  <si>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</si>
  <si>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</si>
  <si>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</si>
  <si>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</si>
  <si>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</si>
  <si>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</si>
  <si>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</si>
  <si>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</si>
  <si>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</si>
  <si>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</si>
  <si>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</si>
  <si>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</si>
  <si>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</si>
  <si>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</si>
  <si>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</si>
  <si>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</si>
  <si>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</si>
  <si>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</si>
  <si>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</si>
  <si>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</si>
  <si>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</si>
  <si>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</si>
  <si>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</si>
  <si>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</si>
  <si>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</si>
  <si>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</si>
  <si>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</si>
  <si>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</si>
  <si>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</si>
  <si>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</si>
  <si>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</si>
  <si>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</si>
  <si>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</si>
  <si>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</si>
  <si>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</si>
  <si>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</si>
  <si>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</si>
  <si>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</si>
  <si>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</si>
  <si>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</si>
  <si>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</si>
  <si>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</si>
  <si>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</si>
  <si>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</si>
  <si>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</si>
  <si>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</si>
  <si>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</si>
  <si>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</si>
  <si>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</si>
  <si>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</si>
  <si>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</si>
  <si>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</si>
  <si>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</si>
  <si>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</si>
  <si>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</si>
  <si>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</si>
  <si>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</si>
  <si>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</si>
  <si>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</si>
  <si>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</si>
  <si>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</si>
  <si>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</si>
  <si>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</si>
  <si>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</si>
  <si>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</si>
  <si>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</si>
  <si>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</si>
  <si>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</si>
  <si>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</si>
  <si>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</si>
  <si>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</si>
  <si>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</si>
  <si>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</si>
  <si>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</si>
  <si>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</si>
  <si>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</si>
  <si>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</si>
  <si>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</si>
  <si>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</si>
  <si>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</si>
  <si>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</si>
  <si>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</si>
  <si>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</si>
  <si>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</si>
  <si>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</si>
  <si>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</si>
  <si>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</si>
  <si>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</si>
  <si>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</si>
  <si>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</si>
  <si>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</si>
  <si>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</si>
  <si>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</si>
  <si>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</si>
  <si>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</si>
  <si>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</si>
  <si>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</si>
  <si>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</si>
  <si>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</si>
  <si>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</si>
  <si>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</si>
  <si>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</si>
  <si>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</si>
  <si>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</si>
  <si>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</si>
  <si>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</si>
  <si>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</si>
  <si>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</si>
  <si>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</si>
  <si>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</si>
  <si>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</si>
  <si>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</si>
  <si>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</si>
  <si>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</si>
  <si>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</si>
  <si>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</si>
  <si>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</si>
  <si>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</si>
  <si>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</si>
  <si>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</si>
  <si>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</si>
  <si>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</si>
  <si>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</si>
  <si>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</si>
  <si>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</si>
  <si>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</si>
  <si>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</si>
  <si>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</si>
  <si>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</si>
  <si>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</si>
  <si>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</si>
  <si>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</si>
  <si>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</si>
  <si>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</si>
  <si>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</si>
  <si>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</si>
  <si>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</si>
  <si>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</si>
  <si>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</si>
  <si>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</si>
  <si>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</si>
  <si>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</si>
  <si>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</si>
  <si>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</si>
  <si>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</si>
  <si>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</si>
  <si>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</si>
  <si>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</si>
  <si>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</si>
  <si>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</si>
  <si>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</si>
  <si>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</si>
  <si>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</si>
  <si>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</si>
  <si>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</si>
  <si>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</si>
  <si>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</si>
  <si>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</si>
  <si>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</si>
  <si>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</si>
  <si>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</si>
  <si>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</si>
  <si>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</si>
  <si>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</si>
  <si>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</si>
  <si>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</si>
  <si>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</si>
  <si>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</si>
  <si>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</si>
  <si>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</si>
  <si>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</si>
  <si>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</si>
  <si>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</si>
  <si>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</si>
  <si>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</si>
  <si>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</si>
  <si>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</si>
  <si>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</si>
  <si>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</si>
  <si>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</si>
  <si>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</si>
  <si>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</si>
  <si>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</si>
  <si>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</si>
  <si>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</si>
  <si>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</si>
  <si>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</si>
  <si>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</si>
  <si>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</si>
  <si>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</si>
  <si>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</si>
  <si>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</si>
  <si>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</si>
  <si>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</si>
  <si>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</si>
  <si>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</si>
  <si>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</si>
  <si>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</si>
  <si>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</si>
  <si>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</si>
  <si>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</si>
  <si>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</si>
  <si>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</si>
  <si>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</si>
  <si>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</si>
  <si>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</si>
  <si>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</si>
  <si>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</si>
  <si>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</si>
  <si>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</si>
  <si>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</si>
  <si>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</si>
  <si>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</si>
  <si>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</si>
  <si>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</si>
  <si>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</si>
  <si>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</si>
  <si>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</si>
  <si>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</si>
  <si>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</si>
  <si>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</si>
  <si>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</si>
  <si>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</si>
  <si>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</si>
  <si>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</si>
  <si>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</si>
  <si>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</si>
  <si>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</si>
  <si>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</si>
  <si>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</si>
  <si>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</si>
  <si>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</si>
  <si>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</si>
  <si>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</si>
  <si>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</si>
  <si>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</si>
  <si>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</si>
  <si>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</si>
  <si>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</si>
  <si>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</si>
  <si>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</si>
  <si>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</si>
  <si>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</si>
  <si>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</si>
  <si>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</si>
  <si>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</si>
  <si>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</si>
  <si>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</si>
  <si>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</si>
  <si>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</si>
  <si>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</si>
  <si>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</si>
  <si>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</si>
  <si>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</si>
  <si>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</si>
  <si>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</si>
  <si>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</si>
  <si>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</si>
  <si>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</si>
  <si>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</si>
  <si>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</si>
  <si>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</si>
  <si>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</si>
  <si>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</si>
  <si>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</si>
  <si>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</si>
  <si>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</si>
  <si>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</si>
  <si>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</si>
  <si>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</si>
  <si>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</si>
  <si>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</si>
  <si>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</si>
  <si>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</si>
  <si>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</si>
  <si>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</si>
  <si>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</si>
  <si>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</si>
  <si>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</si>
  <si>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</si>
  <si>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</si>
  <si>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</si>
  <si>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</si>
  <si>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</si>
  <si>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</si>
  <si>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</si>
  <si>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</si>
  <si>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</si>
  <si>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</si>
  <si>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</si>
  <si>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</si>
  <si>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</si>
  <si>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</si>
  <si>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</si>
  <si>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</si>
  <si>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</si>
  <si>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</si>
  <si>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</si>
  <si>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</si>
  <si>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</si>
  <si>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</si>
  <si>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</si>
  <si>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</si>
  <si>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</si>
  <si>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</si>
  <si>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</si>
  <si>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</si>
  <si>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</si>
  <si>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</si>
  <si>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</si>
  <si>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</si>
  <si>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</si>
  <si>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</si>
  <si>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</si>
  <si>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</si>
  <si>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</si>
  <si>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</si>
  <si>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</si>
  <si>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</si>
  <si>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</si>
  <si>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</si>
  <si>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</si>
  <si>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</si>
  <si>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</si>
  <si>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</si>
  <si>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</si>
  <si>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</si>
  <si>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</si>
  <si>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</si>
  <si>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</si>
  <si>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</si>
  <si>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</si>
  <si>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</si>
  <si>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</si>
  <si>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</si>
  <si>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</si>
  <si>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</si>
  <si>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</si>
  <si>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</si>
  <si>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</si>
  <si>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</si>
  <si>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</si>
  <si>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</si>
  <si>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</si>
  <si>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</si>
  <si>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</si>
  <si>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</si>
  <si>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</si>
  <si>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</si>
  <si>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</si>
  <si>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</si>
  <si>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</si>
  <si>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</si>
  <si>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</si>
  <si>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</si>
  <si>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</si>
  <si>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</si>
  <si>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</si>
  <si>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</si>
  <si>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</si>
  <si>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</si>
  <si>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</si>
  <si>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</si>
  <si>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</si>
  <si>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</si>
  <si>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</si>
  <si>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</si>
  <si>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</si>
  <si>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</si>
  <si>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</si>
  <si>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</si>
  <si>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</si>
  <si>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</si>
  <si>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</si>
  <si>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</si>
  <si>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</si>
  <si>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</si>
  <si>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</si>
  <si>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</si>
  <si>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</si>
  <si>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</si>
  <si>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</si>
  <si>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</si>
  <si>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</si>
  <si>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</si>
  <si>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</si>
  <si>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</si>
  <si>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</si>
  <si>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</si>
  <si>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</si>
  <si>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</si>
  <si>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</si>
  <si>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</si>
  <si>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</si>
  <si>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</si>
  <si>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</si>
  <si>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</si>
  <si>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</si>
  <si>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</si>
  <si>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</si>
  <si>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</si>
  <si>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</si>
  <si>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</si>
  <si>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</si>
  <si>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</si>
  <si>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</si>
  <si>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</si>
  <si>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</si>
  <si>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</si>
  <si>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</si>
  <si>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</si>
  <si>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</si>
  <si>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</si>
  <si>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</si>
  <si>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</si>
  <si>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</si>
  <si>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</si>
  <si>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</si>
  <si>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</si>
  <si>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</si>
  <si>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</si>
  <si>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</si>
  <si>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</si>
  <si>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</si>
  <si>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</si>
  <si>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</si>
  <si>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</si>
  <si>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</si>
  <si>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</si>
  <si>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</si>
  <si>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</si>
  <si>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</si>
  <si>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</si>
  <si>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</si>
  <si>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</si>
  <si>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</si>
  <si>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</si>
  <si>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</si>
  <si>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</si>
  <si>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</si>
  <si>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</si>
  <si>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</si>
  <si>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</si>
  <si>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</si>
  <si>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</si>
  <si>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</si>
  <si>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</si>
  <si>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</si>
  <si>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</si>
  <si>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</si>
  <si>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</si>
  <si>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</si>
  <si>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</si>
  <si>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</si>
  <si>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</si>
  <si>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</si>
  <si>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</si>
  <si>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</si>
  <si>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</si>
  <si>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</si>
  <si>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</si>
  <si>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</si>
  <si>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</si>
  <si>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</si>
  <si>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</si>
  <si>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</si>
  <si>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</si>
  <si>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</si>
  <si>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</si>
  <si>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</si>
  <si>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</si>
  <si>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</si>
  <si>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</si>
  <si>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</si>
  <si>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</si>
  <si>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</si>
  <si>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</si>
  <si>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</si>
  <si>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</si>
  <si>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</si>
  <si>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</si>
  <si>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</si>
  <si>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</si>
  <si>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</si>
  <si>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</si>
  <si>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</si>
  <si>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</si>
  <si>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</si>
  <si>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</si>
  <si>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</si>
  <si>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</si>
  <si>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</si>
  <si>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</si>
  <si>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</si>
  <si>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</si>
  <si>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</si>
  <si>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</si>
  <si>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</si>
  <si>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</si>
  <si>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</si>
  <si>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</si>
  <si>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</si>
  <si>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</si>
  <si>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</si>
  <si>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</si>
  <si>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</si>
  <si>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</si>
  <si>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</si>
  <si>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</si>
  <si>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</si>
  <si>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</si>
  <si>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</si>
  <si>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</si>
  <si>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</si>
  <si>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</si>
  <si>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</si>
  <si>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</si>
  <si>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</si>
  <si>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</si>
  <si>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</si>
  <si>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</si>
  <si>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</si>
  <si>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</si>
  <si>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</si>
  <si>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</si>
  <si>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</si>
  <si>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</si>
  <si>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</si>
  <si>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</si>
  <si>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</si>
  <si>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</si>
  <si>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</si>
  <si>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</si>
  <si>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</si>
  <si>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</si>
  <si>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</si>
  <si>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</si>
  <si>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</si>
  <si>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</si>
  <si>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</si>
  <si>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</si>
  <si>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</si>
  <si>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</si>
  <si>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</si>
  <si>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</si>
  <si>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</si>
  <si>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</si>
  <si>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</si>
  <si>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</si>
  <si>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</si>
  <si>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</si>
  <si>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</si>
  <si>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</si>
  <si>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</si>
  <si>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</si>
  <si>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</si>
  <si>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</si>
  <si>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</si>
  <si>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</si>
  <si>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</si>
  <si>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</si>
  <si>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</si>
  <si>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</si>
  <si>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</si>
  <si>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</si>
  <si>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</si>
  <si>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</si>
  <si>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</si>
  <si>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</si>
  <si>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</si>
  <si>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</si>
  <si>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</si>
  <si>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</si>
  <si>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</si>
  <si>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</si>
  <si>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</si>
  <si>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</si>
  <si>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</si>
  <si>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</si>
  <si>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</si>
  <si>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</si>
  <si>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</si>
  <si>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</si>
  <si>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</si>
  <si>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</si>
  <si>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</si>
  <si>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</si>
  <si>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</si>
  <si>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</si>
  <si>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</si>
  <si>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</si>
  <si>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</si>
  <si>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</si>
  <si>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</si>
  <si>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</si>
  <si>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</si>
  <si>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</si>
  <si>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</si>
  <si>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</si>
  <si>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</si>
  <si>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</si>
  <si>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</si>
  <si>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</si>
  <si>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</si>
  <si>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</si>
  <si>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</si>
  <si>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</si>
  <si>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</si>
  <si>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</si>
  <si>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</si>
  <si>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</si>
  <si>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</si>
  <si>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</si>
  <si>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</si>
  <si>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</si>
  <si>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</si>
  <si>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</si>
  <si>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</si>
  <si>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</si>
  <si>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</si>
  <si>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</si>
  <si>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</si>
  <si>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</si>
  <si>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</si>
  <si>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</si>
  <si>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</si>
  <si>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</si>
  <si>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</si>
  <si>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</si>
  <si>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</si>
  <si>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</si>
  <si>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</si>
  <si>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</si>
  <si>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</si>
  <si>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</si>
  <si>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</si>
  <si>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</si>
  <si>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</si>
  <si>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</si>
  <si>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</si>
  <si>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</si>
  <si>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</si>
  <si>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</si>
  <si>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</si>
  <si>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</si>
  <si>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</si>
  <si>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</si>
  <si>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</si>
  <si>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</si>
  <si>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</si>
  <si>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</si>
  <si>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</si>
  <si>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</si>
  <si>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</si>
  <si>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</si>
  <si>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</si>
  <si>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</si>
  <si>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</si>
  <si>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</si>
  <si>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</si>
  <si>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</si>
  <si>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</si>
  <si>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</si>
  <si>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</si>
  <si>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</si>
  <si>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</si>
  <si>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</si>
  <si>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</si>
  <si>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</si>
  <si>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</si>
  <si>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</si>
  <si>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</si>
  <si>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</si>
  <si>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</si>
  <si>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</si>
  <si>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</si>
  <si>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</si>
  <si>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</si>
  <si>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</si>
  <si>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</si>
  <si>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</si>
  <si>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</si>
  <si>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</si>
  <si>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</si>
  <si>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</si>
  <si>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</si>
  <si>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</si>
  <si>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</si>
  <si>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</si>
  <si>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</si>
  <si>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</si>
  <si>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</si>
  <si>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</si>
  <si>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</si>
  <si>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</si>
  <si>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</si>
  <si>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</si>
  <si>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</si>
  <si>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</si>
  <si>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</si>
  <si>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</si>
  <si>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</si>
  <si>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</si>
  <si>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</si>
  <si>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</si>
  <si>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</si>
  <si>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</si>
  <si>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</si>
  <si>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</si>
  <si>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</si>
  <si>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</si>
  <si>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</si>
  <si>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</si>
  <si>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</si>
  <si>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</si>
  <si>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</si>
  <si>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</si>
  <si>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</si>
  <si>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</si>
  <si>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</si>
  <si>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</si>
  <si>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</si>
  <si>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</si>
  <si>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</si>
  <si>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</si>
  <si>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</si>
  <si>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</si>
  <si>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</si>
  <si>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</si>
  <si>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</si>
  <si>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</si>
  <si>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</si>
  <si>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</si>
  <si>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</si>
  <si>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</si>
  <si>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</si>
  <si>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</si>
  <si>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</si>
  <si>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</si>
  <si>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</si>
  <si>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</si>
  <si>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</si>
  <si>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</si>
  <si>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</si>
  <si>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</si>
  <si>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</si>
  <si>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</si>
  <si>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</si>
  <si>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</si>
  <si>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</si>
  <si>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</si>
  <si>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</si>
  <si>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</si>
  <si>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</si>
  <si>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</si>
  <si>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</si>
  <si>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</si>
  <si>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</si>
  <si>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</si>
  <si>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</si>
  <si>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</si>
  <si>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</si>
  <si>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</si>
  <si>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</si>
  <si>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</si>
  <si>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</si>
  <si>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</si>
  <si>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</si>
  <si>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</si>
  <si>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</si>
  <si>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</si>
  <si>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</si>
  <si>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</si>
  <si>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</si>
  <si>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</si>
  <si>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</si>
  <si>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</si>
  <si>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</si>
  <si>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</si>
  <si>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</si>
  <si>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</si>
  <si>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</si>
  <si>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</si>
  <si>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</si>
  <si>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</si>
  <si>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</si>
  <si>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</si>
  <si>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</si>
  <si>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</si>
  <si>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</si>
  <si>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</si>
  <si>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</si>
  <si>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</si>
  <si>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</si>
  <si>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</si>
  <si>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</si>
  <si>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</si>
  <si>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</si>
  <si>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</si>
  <si>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</si>
  <si>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</si>
  <si>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</si>
  <si>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</si>
  <si>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</si>
  <si>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</si>
  <si>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</si>
  <si>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</si>
  <si>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</si>
  <si>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</si>
  <si>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</si>
  <si>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</si>
  <si>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</si>
  <si>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</si>
  <si>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</si>
  <si>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</si>
  <si>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</si>
  <si>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</si>
  <si>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</si>
  <si>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</si>
  <si>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</si>
  <si>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</si>
  <si>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</si>
  <si>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</si>
  <si>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</si>
  <si>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</si>
  <si>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</si>
  <si>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</si>
  <si>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</si>
  <si>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</si>
  <si>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</si>
  <si>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</si>
  <si>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</si>
  <si>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</si>
  <si>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</si>
  <si>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</si>
  <si>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</si>
  <si>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</si>
  <si>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</si>
  <si>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</si>
  <si>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</si>
  <si>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</si>
  <si>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</si>
  <si>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</si>
  <si>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</si>
  <si>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</si>
  <si>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</si>
  <si>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</si>
  <si>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</si>
  <si>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</si>
  <si>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</si>
  <si>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</si>
  <si>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</si>
  <si>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</si>
  <si>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</si>
  <si>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</si>
  <si>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</si>
  <si>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</si>
  <si>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</si>
  <si>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</si>
  <si>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</si>
  <si>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</si>
  <si>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</si>
  <si>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</si>
  <si>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</si>
  <si>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</si>
  <si>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</si>
  <si>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</si>
  <si>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</si>
  <si>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</si>
  <si>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</si>
  <si>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</si>
  <si>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</si>
  <si>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</si>
  <si>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</si>
  <si>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</si>
  <si>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</si>
  <si>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</si>
  <si>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</si>
  <si>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</si>
  <si>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</si>
  <si>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</si>
  <si>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</si>
  <si>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</si>
  <si>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</si>
  <si>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</si>
  <si>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</si>
  <si>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</si>
  <si>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</si>
  <si>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</si>
  <si>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</si>
  <si>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</si>
  <si>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</si>
  <si>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</si>
  <si>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</si>
  <si>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</si>
  <si>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</si>
  <si>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</si>
  <si>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</si>
  <si>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</si>
  <si>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</si>
  <si>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</si>
  <si>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</si>
  <si>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</si>
  <si>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</si>
  <si>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</si>
  <si>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</si>
  <si>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</si>
  <si>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</si>
  <si>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</si>
  <si>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</si>
  <si>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</si>
  <si>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</si>
  <si>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</si>
  <si>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</si>
  <si>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</si>
  <si>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</si>
  <si>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</si>
  <si>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</si>
  <si>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</si>
  <si>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</si>
  <si>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</si>
  <si>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</si>
  <si>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</si>
  <si>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</si>
  <si>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</si>
  <si>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</si>
  <si>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</si>
  <si>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</si>
  <si>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</si>
  <si>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</si>
  <si>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</si>
  <si>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</si>
  <si>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</si>
  <si>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</si>
  <si>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</si>
  <si>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</si>
  <si>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</si>
  <si>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</si>
  <si>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</si>
  <si>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</si>
  <si>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</si>
  <si>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</si>
  <si>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</si>
  <si>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</si>
  <si>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</si>
  <si>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</si>
  <si>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</si>
  <si>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</si>
  <si>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</si>
  <si>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</si>
  <si>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</si>
  <si>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</si>
  <si>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</si>
  <si>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</si>
  <si>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</si>
  <si>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</si>
  <si>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</si>
  <si>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</si>
  <si>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</si>
  <si>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</si>
  <si>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</si>
  <si>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</si>
  <si>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</si>
  <si>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</si>
  <si>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</si>
  <si>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</si>
  <si>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</si>
  <si>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</si>
  <si>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</si>
  <si>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</si>
  <si>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</si>
  <si>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</si>
  <si>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</si>
  <si>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</si>
  <si>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</si>
  <si>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</si>
  <si>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</si>
  <si>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</si>
  <si>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</si>
  <si>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</si>
  <si>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</si>
  <si>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</si>
  <si>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</si>
  <si>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</si>
  <si>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</si>
  <si>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</si>
  <si>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</si>
  <si>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</si>
  <si>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</si>
  <si>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</si>
  <si>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</si>
  <si>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</si>
  <si>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</si>
  <si>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</si>
  <si>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</si>
  <si>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</si>
  <si>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</si>
  <si>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</si>
  <si>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</si>
  <si>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</si>
  <si>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</si>
  <si>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</si>
  <si>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</si>
  <si>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</si>
  <si>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</si>
  <si>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</si>
  <si>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</si>
  <si>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</si>
  <si>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</si>
  <si>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</si>
  <si>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</si>
  <si>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</si>
  <si>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</si>
  <si>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</si>
  <si>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</si>
  <si>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</si>
  <si>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</si>
  <si>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</si>
  <si>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</si>
  <si>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</si>
  <si>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</si>
  <si>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</si>
  <si>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</si>
  <si>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</si>
  <si>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</si>
  <si>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</si>
  <si>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</si>
  <si>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</si>
  <si>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</si>
  <si>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</si>
  <si>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</si>
  <si>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</si>
  <si>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</si>
  <si>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</si>
  <si>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</si>
  <si>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</si>
  <si>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</si>
  <si>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</si>
  <si>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</si>
  <si>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</si>
  <si>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</si>
  <si>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</si>
  <si>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</si>
  <si>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</si>
  <si>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</si>
  <si>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</si>
  <si>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</si>
  <si>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</si>
  <si>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</si>
  <si>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</si>
  <si>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</si>
  <si>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</si>
  <si>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</si>
  <si>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</si>
  <si>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</si>
  <si>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</si>
  <si>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</si>
  <si>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</si>
  <si>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</si>
  <si>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</si>
  <si>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</si>
  <si>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</si>
  <si>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</si>
  <si>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</si>
  <si>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</si>
  <si>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</si>
  <si>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</si>
  <si>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</si>
  <si>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</si>
  <si>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</si>
  <si>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</si>
  <si>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</si>
  <si>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</si>
  <si>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</si>
  <si>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</si>
  <si>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</si>
  <si>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</si>
  <si>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</si>
  <si>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</si>
  <si>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</si>
  <si>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</si>
  <si>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</si>
  <si>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</si>
  <si>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</si>
  <si>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</si>
  <si>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</si>
  <si>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</si>
  <si>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</si>
  <si>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</si>
  <si>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</si>
  <si>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</si>
  <si>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</si>
  <si>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</si>
  <si>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</si>
  <si>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</si>
  <si>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</si>
  <si>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</si>
  <si>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</si>
  <si>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</si>
  <si>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</si>
  <si>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</si>
  <si>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</si>
  <si>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</si>
  <si>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</si>
  <si>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</si>
  <si>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</si>
  <si>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</si>
  <si>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</si>
  <si>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</si>
  <si>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</si>
  <si>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</si>
  <si>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</si>
  <si>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</si>
  <si>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</si>
  <si>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</si>
  <si>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</si>
  <si>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</si>
  <si>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</si>
  <si>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</si>
  <si>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</si>
  <si>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</si>
  <si>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</si>
  <si>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</si>
  <si>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</si>
  <si>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</si>
  <si>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</si>
  <si>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</si>
  <si>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</si>
  <si>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</si>
  <si>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</si>
  <si>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</si>
  <si>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</si>
  <si>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</si>
  <si>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</si>
  <si>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</si>
  <si>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</si>
  <si>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</si>
  <si>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</si>
  <si>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</si>
  <si>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</si>
  <si>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</si>
  <si>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</si>
  <si>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</si>
  <si>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</si>
  <si>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</si>
  <si>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</si>
  <si>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</si>
  <si>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</si>
  <si>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</si>
  <si>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</si>
  <si>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</si>
  <si>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</si>
  <si>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</si>
  <si>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</si>
  <si>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</si>
  <si>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</si>
  <si>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</si>
  <si>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</si>
  <si>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</si>
  <si>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</si>
  <si>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</si>
  <si>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</si>
  <si>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</si>
  <si>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</si>
  <si>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</si>
  <si>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</si>
  <si>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</si>
  <si>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</si>
  <si>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</si>
  <si>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</si>
  <si>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</si>
  <si>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</si>
  <si>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</si>
  <si>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</si>
  <si>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</si>
  <si>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</si>
  <si>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</si>
  <si>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</si>
  <si>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</si>
  <si>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</si>
  <si>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</si>
  <si>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</si>
  <si>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</si>
  <si>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</si>
  <si>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</si>
  <si>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</si>
  <si>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</si>
  <si>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</si>
  <si>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</si>
  <si>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</si>
  <si>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</si>
  <si>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</si>
  <si>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</si>
  <si>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</si>
  <si>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</si>
  <si>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</si>
  <si>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</si>
  <si>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</si>
  <si>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</si>
  <si>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</si>
  <si>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</si>
  <si>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</si>
  <si>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</si>
  <si>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</si>
  <si>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</si>
  <si>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</si>
  <si>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</si>
  <si>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</si>
  <si>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</si>
  <si>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</si>
  <si>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</si>
  <si>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</si>
  <si>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</si>
  <si>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</si>
  <si>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</si>
  <si>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</si>
  <si>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</si>
  <si>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</si>
  <si>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</si>
  <si>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</si>
  <si>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</si>
  <si>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</si>
  <si>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</si>
  <si>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</si>
  <si>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</si>
  <si>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</si>
  <si>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</si>
  <si>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</si>
  <si>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</si>
  <si>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</si>
  <si>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</si>
  <si>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</si>
  <si>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</si>
  <si>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</si>
  <si>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</si>
  <si>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</si>
  <si>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</si>
  <si>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</si>
  <si>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</si>
  <si>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</si>
  <si>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</si>
  <si>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</si>
  <si>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</si>
  <si>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</si>
  <si>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</si>
  <si>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</si>
  <si>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</si>
  <si>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</si>
  <si>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</si>
  <si>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</si>
  <si>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</si>
  <si>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</si>
  <si>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</si>
  <si>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</si>
  <si>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</si>
  <si>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</si>
  <si>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</si>
  <si>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</si>
  <si>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</si>
  <si>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</si>
  <si>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</si>
  <si>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</si>
  <si>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</si>
  <si>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</si>
  <si>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</si>
  <si>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</si>
  <si>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</si>
  <si>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</si>
  <si>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</si>
  <si>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</si>
  <si>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</si>
  <si>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</si>
  <si>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</si>
  <si>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</si>
  <si>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</si>
  <si>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</si>
  <si>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</si>
  <si>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</si>
  <si>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</si>
  <si>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</si>
  <si>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</si>
  <si>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</si>
  <si>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</si>
  <si>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</si>
  <si>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</si>
  <si>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</si>
  <si>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</si>
  <si>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</si>
  <si>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</si>
  <si>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</si>
  <si>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</si>
  <si>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</si>
  <si>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</si>
  <si>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</si>
  <si>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</si>
  <si>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</si>
  <si>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</si>
  <si>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</si>
  <si>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</si>
  <si>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</si>
  <si>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</si>
  <si>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</si>
  <si>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</si>
  <si>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</si>
  <si>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</si>
  <si>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</si>
  <si>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</si>
  <si>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</si>
  <si>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</si>
  <si>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</si>
  <si>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</si>
  <si>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</si>
  <si>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</si>
  <si>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</si>
  <si>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</si>
  <si>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</si>
  <si>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</si>
  <si>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</si>
  <si>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</si>
  <si>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</si>
  <si>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</si>
  <si>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</si>
  <si>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</si>
  <si>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</si>
  <si>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</si>
  <si>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</si>
  <si>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</si>
  <si>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</si>
  <si>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</si>
  <si>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</si>
  <si>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</si>
  <si>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</si>
  <si>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</si>
  <si>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</si>
  <si>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</si>
  <si>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</si>
  <si>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</si>
  <si>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</si>
  <si>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</si>
  <si>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</si>
  <si>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</si>
  <si>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</si>
  <si>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</si>
  <si>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</si>
  <si>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</si>
  <si>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</si>
  <si>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</si>
  <si>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</si>
  <si>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</si>
  <si>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</si>
  <si>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</si>
  <si>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</si>
  <si>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</si>
  <si>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</si>
  <si>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</si>
  <si>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</si>
  <si>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</si>
  <si>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</si>
  <si>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</si>
  <si>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</si>
  <si>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</si>
  <si>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</si>
  <si>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</si>
  <si>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</si>
  <si>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</si>
  <si>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</si>
  <si>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</si>
  <si>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</si>
  <si>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</si>
  <si>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</si>
  <si>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</si>
  <si>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</si>
  <si>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</si>
  <si>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</si>
  <si>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</si>
  <si>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</si>
  <si>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</si>
  <si>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</si>
  <si>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</si>
  <si>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</si>
  <si>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</si>
  <si>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</si>
  <si>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</si>
  <si>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</si>
  <si>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</si>
  <si>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</si>
  <si>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</si>
  <si>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</si>
  <si>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</si>
  <si>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</si>
  <si>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</si>
  <si>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</si>
  <si>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</si>
  <si>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</si>
  <si>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</si>
  <si>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</si>
  <si>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</si>
  <si>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</si>
  <si>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</si>
  <si>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</si>
  <si>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</si>
  <si>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</si>
  <si>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</si>
  <si>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</si>
  <si>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</si>
  <si>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</si>
  <si>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</si>
  <si>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</si>
  <si>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</si>
  <si>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</si>
  <si>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</si>
  <si>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</si>
  <si>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</si>
  <si>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</si>
  <si>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</si>
  <si>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</si>
  <si>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</si>
  <si>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</si>
  <si>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</si>
  <si>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</si>
  <si>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</si>
  <si>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</si>
  <si>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</si>
  <si>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</si>
  <si>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</si>
  <si>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</si>
  <si>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</si>
  <si>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</si>
  <si>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</si>
  <si>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</si>
  <si>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</si>
  <si>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</si>
  <si>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</si>
  <si>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</si>
  <si>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</si>
  <si>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</si>
  <si>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</si>
  <si>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</si>
  <si>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</si>
  <si>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</si>
  <si>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</si>
  <si>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</si>
  <si>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</si>
  <si>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</si>
  <si>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</si>
  <si>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</si>
  <si>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</si>
  <si>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</si>
  <si>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</si>
  <si>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</si>
  <si>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</si>
  <si>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</si>
  <si>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</si>
  <si>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</si>
  <si>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</si>
  <si>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</si>
  <si>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</si>
  <si>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</si>
  <si>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</si>
  <si>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</si>
  <si>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</si>
  <si>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</si>
  <si>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</si>
  <si>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</si>
  <si>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</si>
  <si>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</si>
  <si>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</si>
  <si>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</si>
  <si>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</si>
  <si>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</si>
  <si>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</si>
  <si>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</si>
  <si>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</si>
  <si>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</si>
  <si>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</si>
  <si>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</si>
  <si>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</si>
  <si>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</si>
  <si>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</si>
  <si>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</si>
  <si>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</si>
  <si>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</si>
  <si>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</si>
  <si>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</si>
  <si>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</si>
  <si>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</si>
  <si>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</si>
  <si>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</si>
  <si>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</si>
  <si>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</si>
  <si>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</si>
  <si>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</si>
  <si>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</si>
  <si>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</si>
  <si>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</si>
  <si>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</si>
  <si>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</si>
  <si>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</si>
  <si>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</si>
  <si>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</si>
  <si>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</si>
  <si>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</si>
  <si>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</si>
  <si>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</si>
  <si>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</si>
  <si>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</si>
  <si>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</si>
  <si>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</si>
  <si>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</si>
  <si>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</si>
  <si>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</si>
  <si>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</si>
  <si>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</si>
  <si>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</si>
  <si>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</si>
  <si>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</si>
  <si>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</si>
  <si>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</si>
  <si>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</si>
  <si>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</si>
  <si>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</si>
  <si>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</si>
  <si>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</si>
  <si>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</si>
  <si>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</si>
  <si>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</si>
  <si>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</si>
  <si>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</si>
  <si>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</si>
  <si>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</si>
  <si>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</si>
  <si>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</si>
  <si>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</si>
  <si>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</si>
  <si>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</si>
  <si>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</si>
  <si>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</si>
  <si>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</si>
  <si>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</si>
  <si>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</si>
  <si>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</si>
  <si>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</si>
  <si>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</si>
  <si>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</si>
  <si>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</si>
  <si>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</si>
  <si>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</si>
  <si>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</si>
  <si>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</si>
  <si>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</si>
  <si>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</si>
  <si>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</si>
  <si>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</si>
  <si>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</si>
  <si>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</si>
  <si>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</si>
  <si>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</si>
  <si>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</si>
  <si>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</si>
  <si>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</si>
  <si>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</si>
  <si>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</si>
  <si>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</si>
  <si>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</si>
  <si>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</si>
  <si>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</si>
  <si>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</si>
  <si>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</si>
  <si>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</si>
  <si>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</si>
  <si>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</si>
  <si>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</si>
  <si>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</si>
  <si>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</si>
  <si>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</si>
  <si>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</si>
  <si>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</si>
  <si>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</si>
  <si>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</si>
  <si>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</si>
  <si>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</si>
  <si>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</si>
  <si>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</si>
  <si>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</si>
  <si>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</si>
  <si>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</si>
  <si>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</si>
  <si>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</si>
  <si>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</si>
  <si>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</si>
  <si>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</si>
  <si>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</si>
  <si>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</si>
  <si>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</si>
  <si>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</si>
  <si>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</si>
  <si>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</si>
  <si>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</si>
  <si>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</si>
  <si>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</si>
  <si>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</si>
  <si>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</si>
  <si>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</si>
  <si>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</si>
  <si>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</si>
  <si>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</si>
  <si>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</si>
  <si>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</si>
  <si>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</si>
  <si>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</si>
  <si>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</si>
  <si>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</si>
  <si>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</si>
  <si>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</si>
  <si>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</si>
  <si>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</si>
  <si>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</si>
  <si>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</si>
  <si>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</si>
  <si>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</si>
  <si>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</si>
  <si>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</si>
  <si>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</si>
  <si>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</si>
  <si>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</si>
  <si>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</si>
  <si>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</si>
  <si>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</si>
  <si>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</si>
  <si>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</si>
  <si>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</si>
  <si>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</si>
  <si>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</si>
  <si>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</si>
  <si>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</si>
  <si>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</si>
  <si>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</si>
  <si>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</si>
  <si>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</si>
  <si>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</si>
  <si>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</si>
  <si>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</si>
  <si>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</si>
  <si>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</si>
  <si>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</si>
  <si>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</si>
  <si>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</si>
  <si>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</si>
  <si>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</si>
  <si>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</si>
  <si>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</si>
  <si>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</si>
  <si>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</si>
  <si>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</si>
  <si>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</si>
  <si>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</si>
  <si>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</si>
  <si>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</si>
  <si>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</si>
  <si>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</si>
  <si>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</si>
  <si>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</si>
  <si>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</si>
  <si>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</si>
  <si>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</si>
  <si>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</si>
  <si>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</si>
  <si>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</si>
  <si>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</si>
  <si>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</si>
  <si>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</si>
  <si>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</si>
  <si>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</si>
  <si>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</si>
  <si>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</si>
  <si>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</si>
  <si>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</si>
  <si>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</si>
  <si>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</si>
  <si>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</si>
  <si>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</si>
  <si>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</si>
  <si>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</si>
  <si>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</si>
  <si>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</si>
  <si>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</si>
  <si>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</si>
  <si>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</si>
  <si>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</si>
  <si>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</si>
  <si>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</si>
  <si>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</si>
  <si>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</si>
  <si>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</si>
  <si>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</si>
  <si>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</si>
  <si>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</si>
  <si>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</si>
  <si>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</si>
  <si>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</si>
  <si>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</si>
  <si>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</si>
  <si>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</si>
  <si>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</si>
  <si>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</si>
  <si>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</si>
  <si>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</si>
  <si>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</si>
  <si>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</si>
  <si>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</si>
  <si>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</si>
  <si>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</si>
  <si>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</si>
  <si>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</si>
  <si>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</si>
  <si>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</si>
  <si>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</si>
  <si>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</si>
  <si>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</si>
  <si>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</si>
  <si>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</si>
  <si>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</si>
  <si>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</si>
  <si>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</si>
  <si>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</si>
  <si>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</si>
  <si>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</si>
  <si>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</si>
  <si>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</si>
  <si>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</si>
  <si>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</si>
  <si>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</si>
  <si>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</si>
  <si>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</si>
  <si>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</si>
  <si>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</si>
  <si>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</si>
  <si>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</si>
  <si>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</si>
  <si>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</si>
  <si>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</si>
  <si>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</si>
  <si>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</si>
  <si>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</si>
  <si>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</si>
  <si>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</si>
  <si>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</si>
  <si>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</si>
  <si>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</si>
  <si>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</si>
  <si>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</si>
  <si>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</si>
  <si>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</si>
  <si>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</si>
  <si>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</si>
  <si>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</si>
  <si>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</si>
  <si>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</si>
  <si>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</si>
  <si>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</si>
  <si>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</si>
  <si>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</si>
  <si>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</si>
  <si>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</si>
  <si>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</si>
  <si>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</si>
  <si>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</si>
  <si>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</si>
  <si>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</si>
  <si>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</si>
  <si>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</si>
  <si>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</si>
  <si>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</si>
  <si>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</si>
  <si>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</si>
  <si>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</si>
  <si>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</si>
  <si>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</si>
  <si>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</si>
  <si>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</si>
  <si>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</si>
  <si>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</si>
  <si>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</si>
  <si>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</si>
  <si>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</si>
  <si>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</si>
  <si>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</si>
  <si>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</si>
  <si>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</si>
  <si>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</si>
  <si>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</si>
  <si>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</si>
  <si>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</si>
  <si>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</si>
  <si>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</si>
  <si>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</si>
  <si>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</si>
  <si>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</si>
  <si>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</si>
  <si>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</si>
  <si>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</si>
  <si>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</si>
  <si>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</si>
  <si>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</si>
  <si>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</si>
  <si>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</si>
  <si>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</si>
  <si>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</si>
  <si>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</si>
  <si>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</si>
  <si>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</si>
  <si>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</si>
  <si>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</si>
  <si>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</si>
  <si>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</si>
  <si>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</si>
  <si>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</si>
  <si>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</si>
  <si>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</si>
  <si>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</si>
  <si>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</si>
  <si>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</si>
  <si>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</si>
  <si>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</si>
  <si>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</si>
  <si>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</si>
  <si>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</si>
  <si>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</si>
  <si>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</si>
  <si>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</si>
  <si>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</si>
  <si>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</si>
  <si>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</si>
  <si>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</si>
  <si>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</si>
  <si>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</si>
  <si>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</si>
  <si>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</si>
  <si>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</si>
  <si>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</si>
  <si>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</si>
  <si>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</si>
  <si>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</si>
  <si>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</si>
  <si>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</si>
  <si>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</si>
  <si>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</si>
  <si>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</si>
  <si>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</si>
  <si>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</si>
  <si>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</si>
  <si>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</si>
  <si>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</si>
  <si>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</si>
  <si>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</si>
  <si>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</si>
  <si>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</si>
  <si>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</si>
  <si>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</si>
  <si>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</si>
  <si>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</si>
  <si>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</si>
  <si>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</si>
  <si>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</si>
  <si>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</si>
  <si>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</si>
  <si>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</si>
  <si>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</si>
  <si>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</si>
  <si>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</si>
  <si>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</si>
  <si>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</si>
  <si>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</si>
  <si>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</si>
  <si>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</si>
  <si>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</si>
  <si>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</si>
  <si>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</si>
  <si>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</si>
  <si>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</si>
  <si>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</si>
  <si>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</si>
  <si>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</si>
  <si>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</si>
  <si>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</si>
  <si>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</si>
  <si>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</si>
  <si>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</si>
  <si>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</si>
  <si>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</si>
  <si>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</si>
  <si>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</si>
  <si>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</si>
  <si>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</si>
  <si>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</si>
  <si>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</si>
  <si>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</si>
  <si>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</si>
  <si>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</si>
  <si>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</si>
  <si>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</si>
  <si>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</si>
  <si>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</si>
  <si>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</si>
  <si>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</si>
  <si>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</si>
  <si>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</si>
  <si>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</si>
  <si>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</si>
  <si>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</si>
  <si>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</si>
  <si>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</si>
  <si>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</si>
  <si>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</si>
  <si>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</si>
  <si>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</si>
  <si>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</si>
  <si>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</si>
  <si>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</si>
  <si>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</si>
  <si>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</si>
  <si>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</si>
  <si>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</si>
  <si>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</si>
  <si>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</si>
  <si>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</si>
  <si>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</si>
  <si>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</si>
  <si>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</si>
  <si>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</si>
  <si>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</si>
  <si>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</si>
  <si>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</si>
  <si>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</si>
  <si>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</si>
  <si>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</si>
  <si>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</si>
  <si>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</si>
  <si>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</si>
  <si>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</si>
  <si>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</si>
  <si>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</si>
  <si>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</si>
  <si>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</si>
  <si>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</si>
  <si>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</si>
  <si>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</si>
  <si>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</si>
  <si>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</si>
  <si>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</si>
  <si>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</si>
  <si>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</si>
  <si>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</si>
  <si>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</si>
  <si>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</si>
  <si>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</si>
  <si>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</si>
  <si>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</si>
  <si>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</si>
  <si>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</si>
  <si>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</si>
  <si>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</si>
  <si>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</si>
  <si>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</si>
  <si>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</si>
  <si>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</si>
  <si>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</si>
  <si>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</si>
  <si>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</si>
  <si>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</si>
  <si>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</si>
  <si>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</si>
  <si>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</si>
  <si>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</si>
  <si>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</si>
  <si>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</si>
  <si>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</si>
  <si>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</si>
  <si>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</si>
  <si>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</si>
  <si>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</si>
  <si>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</si>
  <si>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</si>
  <si>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</si>
  <si>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</si>
  <si>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</si>
  <si>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</si>
  <si>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</si>
  <si>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</si>
  <si>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</si>
  <si>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</si>
  <si>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</si>
  <si>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</si>
  <si>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</si>
  <si>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</si>
  <si>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</si>
  <si>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</si>
  <si>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</si>
  <si>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</si>
  <si>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</si>
  <si>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</si>
  <si>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</si>
  <si>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</si>
  <si>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</si>
  <si>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</si>
  <si>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</si>
  <si>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</si>
  <si>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</si>
  <si>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</si>
  <si>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</si>
  <si>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</si>
  <si>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</si>
  <si>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丰台区大瓦窑馨城土地一级开发项目</t>
    <phoneticPr fontId="224" type="noConversion"/>
  </si>
  <si>
    <t>石景山区</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</si>
  <si>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</si>
  <si>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</si>
  <si>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</si>
  <si>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</si>
  <si>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</si>
  <si>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</si>
  <si>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</si>
  <si>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</si>
  <si>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</si>
  <si>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北京市石景山区苹果园交通枢纽商务区土地一级开发项目</t>
    <phoneticPr fontId="224" type="noConversion"/>
  </si>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</sst>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192" formatCode="0_ ;[Red]\-0\ "/>
    <numFmt numFmtId="193" formatCode="yyyy/m/d;@"/>
    <numFmt numFmtId="194" formatCode="0.0000_);[Red]\(0.0000\)"/>
    <numFmt numFmtId="0" formatCode="[DBNum1][$-804]yyyy&quot;年&quot;m&quot;月&quot;d&quot;日&quot;;@"/>
    <numFmt numFmtId="196" formatCode="0.00_);\(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0" fontId="141" fillId="0" borderId="0">
      <alignment vertical="center"/>
    </xf>
    <xf numFmtId="0" fontId="250" fillId="0" borderId="0"/>
    <xf numFmtId="0" fontId="1" fillId="0" borderId="0">
      <alignment vertical="center"/>
    </xf>
  </cellStyleXfs>
  <cellXfs count="41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0"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250" fillId="0" borderId="0" xfId="18" applyNumberFormat="1"/>
    <xf numFmtId="0" fontId="250" fillId="0" borderId="0" xfId="18"/>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0" fontId="250" fillId="0" borderId="2" xfId="18" applyNumberFormat="1" applyFont="1" applyBorder="1" applyAlignment="1">
      <alignment horizontal="center"/>
    </xf>
    <xf numFmtId="14" fontId="250" fillId="0" borderId="2" xfId="18" applyNumberFormat="1" applyBorder="1" applyAlignment="1">
      <alignment horizontal="center"/>
    </xf>
    <xf numFmtId="0" fontId="250" fillId="0" borderId="0" xfId="18" applyNumberFormat="1" applyAlignment="1">
      <alignment horizontal="center"/>
    </xf>
    <xf numFmtId="0" fontId="250" fillId="0" borderId="0" xfId="18" applyNumberFormat="1" applyAlignment="1">
      <alignment vertical="center"/>
    </xf>
    <xf numFmtId="0"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0" fontId="140" fillId="0" borderId="74"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180" fontId="67" fillId="5" borderId="0" xfId="0" applyNumberFormat="1" applyFont="1" applyFill="1" applyBorder="1" applyAlignment="1" applyProtection="1">
      <alignment horizontal="center" vertical="center" wrapText="1"/>
      <protection locked="0"/>
    </xf>
    <xf numFmtId="180" fontId="67" fillId="5" borderId="0" xfId="0" applyNumberFormat="1" applyFont="1" applyFill="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91" fillId="24" borderId="5" xfId="2" applyNumberFormat="1" applyFont="1" applyFill="1" applyBorder="1" applyAlignment="1" applyProtection="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0" fillId="0" borderId="0" xfId="0" applyAlignment="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10" xfId="18" applyNumberFormat="1" applyFont="1" applyBorder="1" applyAlignment="1">
      <alignment horizontal="center" vertical="center"/>
    </xf>
    <xf numFmtId="0" fontId="141" fillId="0" borderId="21"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0" borderId="2" xfId="3" applyFont="1" applyFill="1" applyBorder="1" applyAlignment="1">
      <alignment horizontal="center" vertical="center" wrapText="1"/>
    </xf>
    <xf numFmtId="196" fontId="302" fillId="0" borderId="2" xfId="3" applyNumberFormat="1" applyFont="1" applyFill="1" applyBorder="1" applyAlignment="1">
      <alignment horizontal="center" vertical="center" wrapText="1"/>
    </xf>
    <xf numFmtId="0" fontId="32" fillId="0" borderId="2" xfId="3" applyFont="1" applyFill="1" applyBorder="1" applyAlignment="1">
      <alignment horizontal="center" vertical="center" wrapText="1"/>
    </xf>
    <xf numFmtId="177" fontId="302" fillId="0" borderId="2" xfId="3" applyNumberFormat="1" applyFont="1" applyFill="1" applyBorder="1" applyAlignment="1">
      <alignment horizontal="center" vertical="center" wrapText="1"/>
    </xf>
    <xf numFmtId="0"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0" fontId="302" fillId="0" borderId="2" xfId="0" applyFont="1" applyFill="1" applyBorder="1" applyAlignment="1">
      <alignment horizontal="center" vertical="center" wrapText="1"/>
    </xf>
    <xf numFmtId="0" fontId="302" fillId="0" borderId="10" xfId="3" applyFont="1" applyFill="1" applyBorder="1" applyAlignment="1">
      <alignment horizontal="center" vertical="center" wrapText="1"/>
    </xf>
    <xf numFmtId="0" fontId="302" fillId="0" borderId="2" xfId="0" applyFont="1" applyFill="1" applyBorder="1" applyAlignment="1">
      <alignment horizontal="center" vertical="center"/>
    </xf>
    <xf numFmtId="0"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0" fontId="302" fillId="0" borderId="2" xfId="3" applyFont="1" applyFill="1" applyBorder="1" applyAlignment="1">
      <alignment horizontal="center" vertical="center" wrapText="1"/>
    </xf>
    <xf numFmtId="0" fontId="302" fillId="0" borderId="21" xfId="3" applyFont="1" applyFill="1" applyBorder="1" applyAlignment="1">
      <alignment horizontal="center" vertical="center" wrapText="1"/>
    </xf>
    <xf numFmtId="0" fontId="32" fillId="0" borderId="2" xfId="2" applyFont="1" applyFill="1" applyBorder="1" applyAlignment="1">
      <alignment horizontal="center" vertical="center" wrapText="1"/>
    </xf>
    <xf numFmtId="0"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0" fontId="305" fillId="0" borderId="2" xfId="0" applyFont="1" applyFill="1" applyBorder="1" applyAlignment="1">
      <alignment horizontal="center" vertical="center" wrapText="1" readingOrder="1"/>
    </xf>
    <xf numFmtId="0" fontId="302" fillId="0" borderId="2" xfId="0" applyFont="1" applyFill="1" applyBorder="1" applyAlignment="1">
      <alignment horizontal="center" vertical="center"/>
    </xf>
    <xf numFmtId="0" fontId="176" fillId="0" borderId="2" xfId="0" applyFont="1" applyFill="1" applyBorder="1" applyAlignment="1">
      <alignment vertical="center"/>
    </xf>
    <xf numFmtId="0"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0" fontId="32" fillId="0" borderId="2" xfId="0" applyNumberFormat="1" applyFont="1" applyFill="1" applyBorder="1" applyAlignment="1">
      <alignment horizontal="center" vertical="center" wrapText="1"/>
    </xf>
    <xf numFmtId="0" fontId="307" fillId="0" borderId="2" xfId="3" applyFont="1" applyFill="1" applyBorder="1" applyAlignment="1">
      <alignment horizontal="justify" vertical="center" wrapText="1"/>
    </xf>
    <xf numFmtId="0" fontId="78" fillId="0" borderId="2" xfId="3" applyFont="1" applyFill="1" applyBorder="1" applyAlignment="1">
      <alignment horizontal="center" vertical="center" wrapText="1"/>
    </xf>
    <xf numFmtId="0" fontId="305" fillId="8" borderId="2" xfId="3" applyFont="1" applyFill="1" applyBorder="1" applyAlignment="1">
      <alignment horizontal="center" vertical="center" wrapText="1"/>
    </xf>
    <xf numFmtId="0" fontId="302" fillId="0" borderId="2" xfId="3" applyFont="1" applyFill="1" applyBorder="1" applyAlignment="1">
      <alignment horizontal="justify" vertical="center" wrapText="1"/>
    </xf>
    <xf numFmtId="0" fontId="302" fillId="0" borderId="2" xfId="0" applyFont="1" applyFill="1" applyBorder="1" applyAlignment="1">
      <alignment vertical="center" wrapText="1"/>
    </xf>
    <xf numFmtId="0"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0" fontId="77" fillId="0" borderId="2" xfId="0" applyFont="1" applyFill="1" applyBorder="1" applyAlignment="1">
      <alignment vertical="center"/>
    </xf>
    <xf numFmtId="0" fontId="302" fillId="0" borderId="2" xfId="0" applyFont="1" applyFill="1" applyBorder="1" applyAlignment="1">
      <alignment vertical="center"/>
    </xf>
    <xf numFmtId="0" fontId="176" fillId="0" borderId="2" xfId="0" applyFont="1" applyFill="1" applyBorder="1" applyAlignment="1">
      <alignment vertical="center" wrapText="1"/>
    </xf>
    <xf numFmtId="0"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0" fontId="308" fillId="8" borderId="2" xfId="3" applyFont="1" applyFill="1" applyBorder="1" applyAlignment="1">
      <alignment horizontal="justify" vertical="center" wrapText="1"/>
    </xf>
    <xf numFmtId="0" fontId="305" fillId="0" borderId="2" xfId="3" applyFont="1" applyFill="1" applyBorder="1" applyAlignment="1">
      <alignment horizontal="center" vertical="center" wrapText="1"/>
    </xf>
    <xf numFmtId="0" fontId="305" fillId="8" borderId="2" xfId="3" applyFont="1" applyFill="1" applyBorder="1" applyAlignment="1">
      <alignment horizontal="justify" vertical="center" wrapText="1"/>
    </xf>
    <xf numFmtId="0" fontId="0" fillId="0" borderId="2" xfId="0" applyBorder="1">
      <alignment vertical="center"/>
    </xf>
    <xf numFmtId="0" fontId="0" fillId="0" borderId="2" xfId="0" applyFill="1" applyBorder="1" applyAlignment="1">
      <alignment vertical="center"/>
    </xf>
    <xf numFmtId="0" fontId="0" fillId="0" borderId="2" xfId="0" applyFill="1" applyBorder="1" applyAlignment="1">
      <alignment vertical="center" wrapText="1"/>
    </xf>
    <xf numFmtId="0"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0" fontId="32" fillId="0" borderId="2" xfId="3" applyFont="1" applyFill="1" applyBorder="1" applyAlignment="1">
      <alignment horizontal="justify" vertical="center" wrapText="1"/>
    </xf>
    <xf numFmtId="0" fontId="32" fillId="0" borderId="2" xfId="0" applyFont="1" applyFill="1" applyBorder="1" applyAlignment="1">
      <alignment vertical="center" wrapText="1"/>
    </xf>
    <xf numFmtId="0" fontId="77" fillId="0" borderId="2" xfId="0" applyFont="1" applyFill="1" applyBorder="1" applyAlignment="1">
      <alignment vertical="center" wrapText="1"/>
    </xf>
    <xf numFmtId="0"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0" fontId="304" fillId="8" borderId="5" xfId="3" applyFont="1" applyFill="1" applyBorder="1" applyAlignment="1">
      <alignment horizontal="left" vertical="center" wrapText="1"/>
    </xf>
    <xf numFmtId="0"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0" fontId="302" fillId="0" borderId="2" xfId="0" applyFont="1" applyBorder="1">
      <alignment vertical="center"/>
    </xf>
    <xf numFmtId="180" fontId="302"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Fill="1" applyBorder="1" applyAlignment="1">
      <alignment vertical="center"/>
    </xf>
    <xf numFmtId="0" fontId="176" fillId="0" borderId="2" xfId="0" applyFont="1" applyFill="1" applyBorder="1" applyAlignment="1">
      <alignment horizontal="center" vertical="center" wrapText="1"/>
    </xf>
    <xf numFmtId="0" fontId="304" fillId="8" borderId="2" xfId="3" applyFont="1" applyFill="1" applyBorder="1" applyAlignment="1">
      <alignment horizontal="center" vertical="center" wrapText="1"/>
    </xf>
    <xf numFmtId="0" fontId="32" fillId="0" borderId="2" xfId="3" applyFont="1" applyFill="1" applyBorder="1" applyAlignment="1">
      <alignment horizontal="left" vertical="center" wrapText="1"/>
    </xf>
    <xf numFmtId="0"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0" fontId="77" fillId="0" borderId="2" xfId="0" applyFont="1" applyBorder="1" applyAlignment="1">
      <alignment horizontal="center" vertical="center"/>
    </xf>
    <xf numFmtId="0" fontId="143" fillId="0" borderId="0" xfId="0" applyFont="1">
      <alignment vertical="center"/>
    </xf>
    <xf numFmtId="0" fontId="268" fillId="0" borderId="10" xfId="0" applyFont="1" applyFill="1" applyBorder="1" applyAlignment="1">
      <alignment vertical="center"/>
    </xf>
    <xf numFmtId="0" fontId="268" fillId="0" borderId="2" xfId="0" applyFont="1" applyFill="1" applyBorder="1" applyAlignment="1">
      <alignment horizontal="center" vertical="center"/>
    </xf>
    <xf numFmtId="0" fontId="268" fillId="0" borderId="2" xfId="0" applyFont="1" applyFill="1" applyBorder="1" applyAlignment="1">
      <alignment vertical="center" wrapText="1"/>
    </xf>
    <xf numFmtId="0" fontId="268" fillId="0" borderId="2" xfId="0" applyFont="1" applyFill="1" applyBorder="1" applyAlignment="1">
      <alignment horizontal="center" vertical="center" wrapText="1"/>
    </xf>
    <xf numFmtId="0" fontId="249" fillId="8" borderId="2" xfId="3" applyFont="1" applyFill="1" applyBorder="1" applyAlignment="1">
      <alignment horizontal="center" vertical="center" wrapText="1"/>
    </xf>
    <xf numFmtId="0" fontId="249" fillId="0" borderId="2" xfId="3" applyFont="1" applyFill="1" applyBorder="1" applyAlignment="1">
      <alignment horizontal="left" vertical="center" wrapText="1"/>
    </xf>
    <xf numFmtId="0" fontId="249" fillId="0" borderId="2" xfId="0" applyFont="1" applyFill="1" applyBorder="1" applyAlignment="1">
      <alignment horizontal="center" vertical="center" wrapText="1"/>
    </xf>
    <xf numFmtId="9" fontId="249" fillId="0" borderId="2" xfId="0" applyNumberFormat="1" applyFont="1" applyFill="1" applyBorder="1" applyAlignment="1">
      <alignment horizontal="center" vertical="center"/>
    </xf>
    <xf numFmtId="4" fontId="249" fillId="0" borderId="10" xfId="0" applyNumberFormat="1" applyFont="1" applyFill="1" applyBorder="1" applyAlignment="1">
      <alignment horizontal="center" vertical="center" wrapText="1"/>
    </xf>
    <xf numFmtId="4" fontId="249" fillId="0" borderId="10" xfId="0" applyNumberFormat="1" applyFont="1" applyFill="1" applyBorder="1" applyAlignment="1">
      <alignment horizontal="center" vertical="center"/>
    </xf>
    <xf numFmtId="177" fontId="249" fillId="0" borderId="2" xfId="0" applyNumberFormat="1" applyFont="1" applyBorder="1" applyAlignment="1">
      <alignment horizontal="center" vertical="center" wrapText="1"/>
    </xf>
    <xf numFmtId="0" fontId="198" fillId="0" borderId="2" xfId="0" applyFont="1" applyFill="1" applyBorder="1" applyAlignment="1">
      <alignment horizontal="center" vertical="center"/>
    </xf>
    <xf numFmtId="0" fontId="198" fillId="0" borderId="2" xfId="0" applyFont="1" applyBorder="1" applyAlignment="1">
      <alignment horizontal="center" vertical="center"/>
    </xf>
    <xf numFmtId="180" fontId="198" fillId="0" borderId="2" xfId="0" applyNumberFormat="1" applyFont="1" applyBorder="1" applyAlignment="1">
      <alignment horizontal="center" vertical="center"/>
    </xf>
    <xf numFmtId="0" fontId="268" fillId="0" borderId="2" xfId="0" applyFont="1" applyBorder="1" applyAlignment="1">
      <alignment horizontal="center" vertical="center"/>
    </xf>
    <xf numFmtId="0" fontId="268" fillId="0" borderId="0" xfId="0" applyFont="1" applyBorder="1">
      <alignment vertical="center"/>
    </xf>
    <xf numFmtId="0" fontId="268" fillId="0" borderId="0" xfId="0" applyFont="1" applyFill="1" applyAlignment="1">
      <alignment vertical="center"/>
    </xf>
    <xf numFmtId="0" fontId="268" fillId="0" borderId="2" xfId="0" applyFont="1" applyFill="1" applyBorder="1" applyAlignment="1">
      <alignment vertical="center"/>
    </xf>
    <xf numFmtId="185" fontId="249" fillId="0" borderId="2" xfId="0" applyNumberFormat="1" applyFont="1" applyFill="1" applyBorder="1" applyAlignment="1">
      <alignment horizontal="center" vertical="center" wrapText="1"/>
    </xf>
    <xf numFmtId="177" fontId="249" fillId="0" borderId="2" xfId="0" applyNumberFormat="1" applyFont="1" applyFill="1" applyBorder="1" applyAlignment="1">
      <alignment horizontal="center" vertical="center" wrapText="1"/>
    </xf>
    <xf numFmtId="177" fontId="311" fillId="0" borderId="2" xfId="0" applyNumberFormat="1" applyFont="1" applyFill="1" applyBorder="1" applyAlignment="1">
      <alignment horizontal="left" vertical="center" wrapText="1"/>
    </xf>
    <xf numFmtId="0" fontId="312" fillId="8" borderId="2" xfId="3" applyFont="1" applyFill="1" applyBorder="1" applyAlignment="1">
      <alignment horizontal="justify" vertical="center" wrapText="1"/>
    </xf>
    <xf numFmtId="0" fontId="206" fillId="0" borderId="2" xfId="3" applyFont="1" applyFill="1" applyBorder="1" applyAlignment="1">
      <alignment horizontal="center" vertical="center" wrapText="1"/>
    </xf>
    <xf numFmtId="0" fontId="249" fillId="0" borderId="2" xfId="3" applyFont="1" applyFill="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Fill="1" applyBorder="1" applyAlignment="1">
      <alignment horizontal="justify" vertical="center" wrapText="1"/>
    </xf>
    <xf numFmtId="0" fontId="249" fillId="0" borderId="2" xfId="0" applyFont="1" applyFill="1" applyBorder="1" applyAlignment="1">
      <alignment vertical="center" wrapText="1"/>
    </xf>
    <xf numFmtId="0" fontId="249" fillId="0" borderId="2" xfId="0" applyFont="1" applyFill="1" applyBorder="1" applyAlignment="1">
      <alignment horizontal="center" vertical="center"/>
    </xf>
    <xf numFmtId="0" fontId="198" fillId="0" borderId="2" xfId="0" applyFont="1" applyFill="1" applyBorder="1" applyAlignment="1">
      <alignment vertical="center"/>
    </xf>
    <xf numFmtId="0" fontId="198" fillId="0" borderId="2" xfId="0" applyFont="1" applyFill="1" applyBorder="1" applyAlignment="1">
      <alignment vertical="center" wrapText="1"/>
    </xf>
    <xf numFmtId="0" fontId="198" fillId="0" borderId="0" xfId="0" applyFont="1" applyFill="1" applyAlignment="1">
      <alignment vertical="center"/>
    </xf>
    <xf numFmtId="0" fontId="143" fillId="0" borderId="0" xfId="0" applyFont="1" applyFill="1" applyAlignment="1">
      <alignment vertical="center"/>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100965</xdr:rowOff>
    </xdr:from>
    <xdr:to>
      <xdr:col>4</xdr:col>
      <xdr:colOff>342164</xdr:colOff>
      <xdr:row>54</xdr:row>
      <xdr:rowOff>157744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7576185"/>
          <a:ext cx="5333264" cy="3165739"/>
        </a:xfrm>
        <a:prstGeom prst="rect">
          <a:avLst/>
        </a:prstGeom>
      </xdr:spPr>
    </xdr:pic>
    <xdr:clientData/>
  </xdr:twoCellAnchor>
  <xdr:twoCellAnchor editAs="oneCell">
    <xdr:from>
      <xdr:col>0</xdr:col>
      <xdr:colOff>0</xdr:colOff>
      <xdr:row>56</xdr:row>
      <xdr:rowOff>45720</xdr:rowOff>
    </xdr:from>
    <xdr:to>
      <xdr:col>4</xdr:col>
      <xdr:colOff>351688</xdr:colOff>
      <xdr:row>77</xdr:row>
      <xdr:rowOff>64318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1099566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11</xdr:col>
      <xdr:colOff>10751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13</xdr:col>
      <xdr:colOff>195359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3" customWidth="1"/>
    <col min="2" max="2" width="78.21875" style="2364" customWidth="1"/>
    <col min="3" max="18" width="9" style="2358"/>
    <col min="19" max="19" width="17.88671875" style="2358" customWidth="1"/>
    <col min="20" max="51" width="9" style="2358"/>
    <col min="52" max="52" width="13.21875" style="2358" customWidth="1"/>
    <col min="53" max="53" width="13.44140625" style="2358" bestFit="1" customWidth="1"/>
    <col min="54" max="54" width="11.6640625" style="2358" bestFit="1" customWidth="1"/>
    <col min="55" max="55" width="13.44140625" style="2358" bestFit="1" customWidth="1"/>
    <col min="56" max="16384" width="9" style="2358"/>
  </cols>
  <sheetData>
    <row r="1" spans="1:55" s="2369" customFormat="1" ht="16.2" thickBot="1">
      <c r="A1" s="2367" t="s">
        <v>1938</v>
      </c>
      <c r="B1" s="2368" t="s">
        <v>2035</v>
      </c>
    </row>
    <row r="2" spans="1:55" s="2372" customFormat="1" ht="16.2" thickTop="1">
      <c r="A2" s="2370" t="s">
        <v>1942</v>
      </c>
      <c r="B2" s="2371" t="str">
        <f>'预评函-封皮'!B37</f>
        <v>北京市出让国有建设用地使用权市场价格预评估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v>
      </c>
    </row>
    <row r="5" spans="1:55" s="2369" customFormat="1" ht="16.2" thickBot="1">
      <c r="A5" s="2376" t="s">
        <v>1945</v>
      </c>
      <c r="B5" s="2377" t="str">
        <f>'预评函-封皮'!B49</f>
        <v>康正预评字号</v>
      </c>
    </row>
    <row r="6" spans="1:55" s="2378" customFormat="1" ht="16.2" thickTop="1">
      <c r="A6" s="2370" t="s">
        <v>1987</v>
      </c>
      <c r="B6" s="2371" t="str">
        <f>'预评函-1'!A4</f>
        <v>受贵公司委托，我公司对北京市出让国有建设用地使用权市场价格进行了预评估。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2025年7月1日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根据《国有土地使用证》[]，估价对象（分摊）出让国有建设用地使用权面积为271.94平方米。根据《建设工程规划许可证》[]、《出让合同》[]，估价对象规划建筑面积为543.88平方米。</v>
      </c>
    </row>
    <row r="16" spans="1:55" s="2353" customFormat="1">
      <c r="A16" s="2354" t="s">
        <v>1951</v>
      </c>
      <c r="B16" s="2355" t="str">
        <f>'预评函-1'!A22</f>
        <v>本次估价对象为出让国有建设用地使用权，《国有土地使用证》[]证载土地终止日期为公共服务2075年6月30日。截至估价期日，出让国有建设用地使用权剩余土地使用年限为。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6.2" thickBot="1">
      <c r="A21" s="2376" t="s">
        <v>1956</v>
      </c>
      <c r="B21" s="2377" t="str">
        <f>'预评函-1'!A28</f>
        <v>——</v>
      </c>
    </row>
    <row r="22" spans="1:48" ht="16.2" thickTop="1">
      <c r="A22" s="2365" t="s">
        <v>1957</v>
      </c>
      <c r="B22" s="236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估价期日：2025年7月1日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271.94</v>
      </c>
    </row>
    <row r="44" spans="1:2">
      <c r="A44" s="2354" t="s">
        <v>2022</v>
      </c>
      <c r="B44" s="2355" t="str">
        <f>'预评函-2'!O3</f>
        <v>规划建筑面积/㎡</v>
      </c>
    </row>
    <row r="45" spans="1:2">
      <c r="A45" s="2354" t="s">
        <v>2004</v>
      </c>
      <c r="B45" s="2355">
        <f>'预评函-2'!O5</f>
        <v>543.88</v>
      </c>
    </row>
    <row r="46" spans="1:2">
      <c r="A46" s="2354" t="s">
        <v>2005</v>
      </c>
      <c r="B46" s="2355">
        <f ca="1">'预评函-2'!P5</f>
        <v>16952</v>
      </c>
    </row>
    <row r="47" spans="1:2">
      <c r="A47" s="2354" t="s">
        <v>2006</v>
      </c>
      <c r="B47" s="2355">
        <f ca="1">'预评函-2'!Q5</f>
        <v>8476</v>
      </c>
    </row>
    <row r="48" spans="1:2">
      <c r="A48" s="2354" t="s">
        <v>2007</v>
      </c>
      <c r="B48" s="2355">
        <f ca="1">'预评函-2'!R5</f>
        <v>461</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6.2" thickBot="1">
      <c r="A54" s="2376" t="s">
        <v>2010</v>
      </c>
      <c r="B54" s="2377" t="str">
        <f>'预评函-2'!R8</f>
        <v>——</v>
      </c>
    </row>
    <row r="55" spans="1:2" ht="16.2"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6.2" thickBot="1">
      <c r="A58" s="2376" t="s">
        <v>2011</v>
      </c>
      <c r="B58" s="2377" t="str">
        <f>'预评函-3'!A5</f>
        <v>4.影响价格的其他限定条件：无。</v>
      </c>
    </row>
    <row r="59" spans="1:2" ht="16.2"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6.2" thickBot="1">
      <c r="A68" s="2376" t="s">
        <v>1974</v>
      </c>
      <c r="B68" s="2380">
        <f>'预评函-3'!D30</f>
        <v>42558</v>
      </c>
    </row>
    <row r="69" spans="1:2" ht="16.2"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6.2" thickBot="1">
      <c r="A72" s="2376" t="s">
        <v>1973</v>
      </c>
      <c r="B72" s="2382">
        <f>'预评函-3'!B21</f>
        <v>0</v>
      </c>
    </row>
    <row r="73" spans="1:2" ht="16.2"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6.2"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1"/>
    <col min="9" max="18" width="9.6640625" style="3281" customWidth="1"/>
    <col min="19" max="16384" width="15.21875" style="3281"/>
  </cols>
  <sheetData>
    <row r="1" spans="1:18">
      <c r="A1" s="3278" t="s">
        <v>2673</v>
      </c>
      <c r="B1" s="3279"/>
      <c r="C1" s="3279"/>
      <c r="D1" s="3279"/>
      <c r="E1" s="3279"/>
      <c r="F1" s="3280"/>
      <c r="I1" s="3300" t="s">
        <v>3284</v>
      </c>
      <c r="J1" s="3667"/>
      <c r="K1" s="3667"/>
      <c r="L1" s="3667"/>
      <c r="M1" s="3667"/>
      <c r="N1" s="3668"/>
      <c r="O1" s="3668"/>
      <c r="P1" s="3668"/>
      <c r="Q1" s="3668"/>
      <c r="R1" s="3668"/>
    </row>
    <row r="2" spans="1:18">
      <c r="A2" s="3282"/>
      <c r="B2" s="3283"/>
      <c r="C2" s="3283"/>
      <c r="D2" s="3283"/>
      <c r="E2" s="3283"/>
      <c r="F2" s="3284"/>
      <c r="I2" s="3743" t="s">
        <v>3285</v>
      </c>
      <c r="J2" s="3743"/>
      <c r="K2" s="3743"/>
      <c r="L2" s="3743"/>
      <c r="M2" s="3743"/>
      <c r="N2" s="3743"/>
      <c r="O2" s="3743"/>
      <c r="P2" s="3743"/>
      <c r="Q2" s="3743"/>
      <c r="R2" s="3743"/>
    </row>
    <row r="3" spans="1:18">
      <c r="A3" s="3285" t="s">
        <v>2674</v>
      </c>
      <c r="B3" s="3286">
        <f>项目基本情况!D3</f>
        <v>45839</v>
      </c>
      <c r="C3" s="3287"/>
      <c r="D3" s="3287"/>
      <c r="E3" s="3287"/>
      <c r="F3" s="3284"/>
      <c r="I3" s="3669"/>
      <c r="J3" s="3669" t="s">
        <v>3286</v>
      </c>
      <c r="K3" s="3669" t="s">
        <v>3287</v>
      </c>
      <c r="L3" s="3669" t="s">
        <v>3288</v>
      </c>
      <c r="M3" s="3669" t="s">
        <v>3289</v>
      </c>
      <c r="N3" s="3662" t="s">
        <v>3290</v>
      </c>
      <c r="O3" s="3662" t="s">
        <v>3291</v>
      </c>
      <c r="P3" s="3662" t="s">
        <v>3292</v>
      </c>
      <c r="Q3" s="3662" t="s">
        <v>3293</v>
      </c>
      <c r="R3" s="3662" t="s">
        <v>3282</v>
      </c>
    </row>
    <row r="4" spans="1:18">
      <c r="A4" s="3285" t="s">
        <v>2675</v>
      </c>
      <c r="B4" s="3288" t="s">
        <v>2676</v>
      </c>
      <c r="C4" s="3288" t="s">
        <v>2677</v>
      </c>
      <c r="D4" s="3288" t="s">
        <v>2678</v>
      </c>
      <c r="E4" s="3288" t="s">
        <v>2679</v>
      </c>
      <c r="F4" s="3284"/>
      <c r="I4" s="3669" t="s">
        <v>3294</v>
      </c>
      <c r="J4" s="3669">
        <v>80</v>
      </c>
      <c r="K4" s="3669">
        <v>70</v>
      </c>
      <c r="L4" s="3669">
        <v>20</v>
      </c>
      <c r="M4" s="3669">
        <v>30</v>
      </c>
      <c r="N4" s="3288">
        <v>45</v>
      </c>
      <c r="O4" s="3288">
        <v>60</v>
      </c>
      <c r="P4" s="3288">
        <v>50</v>
      </c>
      <c r="Q4" s="3288">
        <v>20</v>
      </c>
      <c r="R4" s="3288">
        <v>375</v>
      </c>
    </row>
    <row r="5" spans="1:18">
      <c r="A5" s="3289"/>
      <c r="B5" s="3286"/>
      <c r="C5" s="3288">
        <f>ROUNDDOWN(MIN((B5-B3)/365,A5),2)</f>
        <v>-125.58</v>
      </c>
      <c r="D5" s="3290">
        <f>IF(ISERROR(ROUND(POWER(1+E5,A5-C5)*(POWER(1+E5,C5)-1)/(POWER(1+E5,A5)-1),3)),0,ROUND(POWER(1+E5,A5-C5)*(POWER(1+E5,C5)-1)/(POWER(1+E5,A5)-1),4))</f>
        <v>0</v>
      </c>
      <c r="E5" s="3291"/>
      <c r="F5" s="3284"/>
      <c r="I5" s="3669" t="s">
        <v>3295</v>
      </c>
      <c r="J5" s="3669">
        <v>70</v>
      </c>
      <c r="K5" s="3669">
        <v>60</v>
      </c>
      <c r="L5" s="3669">
        <v>15</v>
      </c>
      <c r="M5" s="3669">
        <v>25</v>
      </c>
      <c r="N5" s="3288">
        <v>40</v>
      </c>
      <c r="O5" s="3288">
        <v>50</v>
      </c>
      <c r="P5" s="3288">
        <v>40</v>
      </c>
      <c r="Q5" s="3288">
        <v>15</v>
      </c>
      <c r="R5" s="3288">
        <v>315</v>
      </c>
    </row>
    <row r="6" spans="1:18">
      <c r="A6" s="3289"/>
      <c r="B6" s="3286"/>
      <c r="C6" s="3288">
        <f>ROUNDDOWN(MIN((B6-B3)/365,A6),2)</f>
        <v>-125.58</v>
      </c>
      <c r="D6" s="3290">
        <f>IF(ISERROR(ROUND(POWER(1+E6,A6-C6)*(POWER(1+E6,C6)-1)/(POWER(1+E6,A6)-1),3)),0,ROUND(POWER(1+E6,A6-C6)*(POWER(1+E6,C6)-1)/(POWER(1+E6,A6)-1),4))</f>
        <v>0</v>
      </c>
      <c r="E6" s="3291"/>
      <c r="F6" s="3284"/>
      <c r="I6" s="3669" t="s">
        <v>3296</v>
      </c>
      <c r="J6" s="3669">
        <v>60</v>
      </c>
      <c r="K6" s="3669">
        <v>50</v>
      </c>
      <c r="L6" s="3669">
        <v>10</v>
      </c>
      <c r="M6" s="3669">
        <v>20</v>
      </c>
      <c r="N6" s="3288">
        <v>35</v>
      </c>
      <c r="O6" s="3288">
        <v>40</v>
      </c>
      <c r="P6" s="3288">
        <v>30</v>
      </c>
      <c r="Q6" s="3288">
        <v>10</v>
      </c>
      <c r="R6" s="3288">
        <v>255</v>
      </c>
    </row>
    <row r="7" spans="1:18">
      <c r="A7" s="3289"/>
      <c r="B7" s="3286"/>
      <c r="C7" s="3288">
        <f>ROUNDDOWN(MIN((B7-B3)/365,A7),2)</f>
        <v>-125.58</v>
      </c>
      <c r="D7" s="3290">
        <f>IF(ISERROR(ROUND(POWER(1+E7,A7-C7)*(POWER(1+E7,C7)-1)/(POWER(1+E7,A7)-1),3)),0,ROUND(POWER(1+E7,A7-C7)*(POWER(1+E7,C7)-1)/(POWER(1+E7,A7)-1),4))</f>
        <v>0</v>
      </c>
      <c r="E7" s="3291"/>
      <c r="F7" s="3284"/>
    </row>
    <row r="8" spans="1:18">
      <c r="A8" s="3282"/>
      <c r="B8" s="3283"/>
      <c r="C8" s="3283"/>
      <c r="D8" s="3283"/>
      <c r="E8" s="3283"/>
      <c r="F8" s="3284"/>
    </row>
    <row r="9" spans="1:18">
      <c r="A9" s="3285" t="s">
        <v>2680</v>
      </c>
      <c r="B9" s="3288"/>
      <c r="C9" s="3288"/>
      <c r="D9" s="3288"/>
      <c r="E9" s="3288"/>
      <c r="F9" s="3292"/>
    </row>
    <row r="10" spans="1:18">
      <c r="A10" s="3285" t="s">
        <v>2681</v>
      </c>
      <c r="B10" s="3288"/>
      <c r="C10" s="3288"/>
      <c r="D10" s="3288" t="s">
        <v>2679</v>
      </c>
      <c r="E10" s="3288"/>
      <c r="F10" s="3292" t="s">
        <v>2678</v>
      </c>
    </row>
    <row r="11" spans="1:18">
      <c r="A11" s="3285" t="s">
        <v>2682</v>
      </c>
      <c r="B11" s="3293"/>
      <c r="C11" s="3288" t="s">
        <v>2683</v>
      </c>
      <c r="D11" s="3294"/>
      <c r="E11" s="3288" t="s">
        <v>2684</v>
      </c>
      <c r="F11" s="3295">
        <f>ROUND(1-(1/(POWER(1+D11,B11))),4)</f>
        <v>0</v>
      </c>
    </row>
    <row r="12" spans="1:18">
      <c r="A12" s="3285" t="s">
        <v>2685</v>
      </c>
      <c r="B12" s="3293"/>
      <c r="C12" s="3288" t="s">
        <v>2686</v>
      </c>
      <c r="D12" s="3294"/>
      <c r="E12" s="3288" t="s">
        <v>2687</v>
      </c>
      <c r="F12" s="3295">
        <f>ROUND(1-(1/(POWER(1+D12,B12))),4)</f>
        <v>0</v>
      </c>
    </row>
    <row r="13" spans="1:18">
      <c r="A13" s="3285" t="s">
        <v>2688</v>
      </c>
      <c r="B13" s="3288"/>
      <c r="C13" s="3287"/>
      <c r="D13" s="3283"/>
      <c r="E13" s="3283"/>
      <c r="F13" s="3284"/>
    </row>
    <row r="14" spans="1:18">
      <c r="A14" s="3285" t="s">
        <v>2689</v>
      </c>
      <c r="B14" s="3293"/>
      <c r="C14" s="3287"/>
      <c r="D14" s="3283"/>
      <c r="E14" s="3283"/>
      <c r="F14" s="3284"/>
    </row>
    <row r="15" spans="1:18">
      <c r="A15" s="3285" t="s">
        <v>2690</v>
      </c>
      <c r="B15" s="3288" t="e">
        <f>ROUND(B14*F12/F11,2)</f>
        <v>#DIV/0!</v>
      </c>
      <c r="C15" s="3288" t="e">
        <f>ROUND(F12/F11,4)</f>
        <v>#DIV/0!</v>
      </c>
      <c r="D15" s="3283"/>
      <c r="E15" s="3283"/>
      <c r="F15" s="3284"/>
    </row>
    <row r="16" spans="1:18">
      <c r="A16" s="3285" t="s">
        <v>2691</v>
      </c>
      <c r="B16" s="3288"/>
      <c r="C16" s="3287"/>
      <c r="D16" s="3283"/>
      <c r="E16" s="3283"/>
      <c r="F16" s="3284"/>
    </row>
    <row r="17" spans="1:14">
      <c r="A17" s="3285" t="s">
        <v>2690</v>
      </c>
      <c r="B17" s="3294"/>
      <c r="C17" s="3287"/>
      <c r="D17" s="3283"/>
      <c r="E17" s="3283"/>
      <c r="F17" s="3284"/>
    </row>
    <row r="18" spans="1:14" ht="15" thickBot="1">
      <c r="A18" s="3296" t="s">
        <v>2689</v>
      </c>
      <c r="B18" s="3297" t="e">
        <f>ROUND(B17*F11/F12,2)</f>
        <v>#DIV/0!</v>
      </c>
      <c r="C18" s="3297" t="e">
        <f>ROUND(F11/F12,4)</f>
        <v>#DIV/0!</v>
      </c>
      <c r="D18" s="3298"/>
      <c r="E18" s="3298"/>
      <c r="F18" s="3299"/>
    </row>
    <row r="19" spans="1:14" ht="15" thickBot="1"/>
    <row r="20" spans="1:14" ht="15" thickTop="1">
      <c r="A20" s="3300" t="s">
        <v>2692</v>
      </c>
      <c r="B20" s="3301"/>
      <c r="C20" s="3301"/>
      <c r="D20" s="3301"/>
      <c r="E20" s="3301"/>
      <c r="F20" s="3301"/>
      <c r="G20" s="3302"/>
      <c r="I20" s="3670" t="s">
        <v>3297</v>
      </c>
      <c r="J20" s="3670" t="s">
        <v>3298</v>
      </c>
      <c r="K20" s="3670"/>
      <c r="L20" s="3670"/>
      <c r="M20" s="3670"/>
      <c r="N20" s="3671"/>
    </row>
    <row r="21" spans="1:14">
      <c r="A21" s="3303"/>
      <c r="B21" s="3304" t="s">
        <v>2693</v>
      </c>
      <c r="C21" s="3304" t="s">
        <v>2694</v>
      </c>
      <c r="D21" s="3304" t="s">
        <v>2695</v>
      </c>
      <c r="E21" s="3304" t="s">
        <v>2696</v>
      </c>
      <c r="F21" s="3304" t="s">
        <v>2697</v>
      </c>
      <c r="G21" s="3305" t="s">
        <v>2698</v>
      </c>
      <c r="I21" s="3672">
        <v>5</v>
      </c>
      <c r="J21" s="3672">
        <v>54.2</v>
      </c>
      <c r="K21" s="3672"/>
      <c r="L21" s="3672"/>
      <c r="M21" s="3672"/>
    </row>
    <row r="22" spans="1:14">
      <c r="A22" s="3303" t="s">
        <v>2699</v>
      </c>
      <c r="B22" s="3306">
        <v>50</v>
      </c>
      <c r="C22" s="3306">
        <v>32</v>
      </c>
      <c r="D22" s="3307">
        <v>0.05</v>
      </c>
      <c r="E22" s="3304">
        <f>ROUND(POWER(1+D22,B22-C22)*(POWER(1+D22,C22)-1)/(POWER(1+D22,B22)-1),3)</f>
        <v>0.86599999999999999</v>
      </c>
      <c r="F22" s="3307">
        <v>0.6</v>
      </c>
      <c r="G22" s="3305">
        <f>ROUND(100*(1-(1-E22)*F22),1)</f>
        <v>92</v>
      </c>
      <c r="I22" s="3672">
        <v>10</v>
      </c>
      <c r="J22" s="3672">
        <v>65.400000000000006</v>
      </c>
      <c r="K22" s="3672">
        <f>J22-J21</f>
        <v>11.200000000000003</v>
      </c>
      <c r="L22" s="3672"/>
      <c r="M22" s="3672"/>
    </row>
    <row r="23" spans="1:14">
      <c r="A23" s="3308" t="s">
        <v>2700</v>
      </c>
      <c r="B23" s="3306">
        <v>50</v>
      </c>
      <c r="C23" s="3306">
        <v>35</v>
      </c>
      <c r="D23" s="3307">
        <v>0.05</v>
      </c>
      <c r="E23" s="3304">
        <f>ROUND(POWER(1+D23,B23-C23)*(POWER(1+D23,C23)-1)/(POWER(1+D23,B23)-1),3)</f>
        <v>0.89700000000000002</v>
      </c>
      <c r="F23" s="3307">
        <f>F22</f>
        <v>0.6</v>
      </c>
      <c r="G23" s="3305">
        <f>ROUND(100*(1-(1-E23)*F23),1)</f>
        <v>93.8</v>
      </c>
      <c r="I23" s="3672">
        <v>15</v>
      </c>
      <c r="J23" s="3672">
        <v>74.099999999999994</v>
      </c>
      <c r="K23" s="3672">
        <f t="shared" ref="K23:K30" si="0">J23-J22</f>
        <v>8.6999999999999886</v>
      </c>
      <c r="L23" s="3672" t="s">
        <v>3299</v>
      </c>
      <c r="M23" s="3672"/>
      <c r="N23" s="3673" t="s">
        <v>3300</v>
      </c>
    </row>
    <row r="24" spans="1:14">
      <c r="A24" s="3308" t="s">
        <v>2701</v>
      </c>
      <c r="B24" s="3306">
        <v>50</v>
      </c>
      <c r="C24" s="3306">
        <v>25</v>
      </c>
      <c r="D24" s="3307">
        <v>0.05</v>
      </c>
      <c r="E24" s="3304">
        <f>ROUND(POWER(1+D24,B24-C24)*(POWER(1+D24,C24)-1)/(POWER(1+D24,B24)-1),3)</f>
        <v>0.77200000000000002</v>
      </c>
      <c r="F24" s="3307">
        <f>F23</f>
        <v>0.6</v>
      </c>
      <c r="G24" s="3305">
        <f>ROUND(100*(1-(1-E24)*F24),1)</f>
        <v>86.3</v>
      </c>
      <c r="I24" s="3672">
        <v>20</v>
      </c>
      <c r="J24" s="3672">
        <v>81</v>
      </c>
      <c r="K24" s="3672">
        <f t="shared" si="0"/>
        <v>6.9000000000000057</v>
      </c>
      <c r="L24" s="3672" t="s">
        <v>3301</v>
      </c>
      <c r="M24" s="3672"/>
      <c r="N24" s="3673">
        <v>10</v>
      </c>
    </row>
    <row r="25" spans="1:14">
      <c r="A25" s="3308" t="s">
        <v>2702</v>
      </c>
      <c r="B25" s="3306">
        <v>50</v>
      </c>
      <c r="C25" s="3306">
        <v>40</v>
      </c>
      <c r="D25" s="3307">
        <v>0.05</v>
      </c>
      <c r="E25" s="3304">
        <f>ROUND(POWER(1+D25,B25-C25)*(POWER(1+D25,C25)-1)/(POWER(1+D25,B25)-1),3)</f>
        <v>0.94</v>
      </c>
      <c r="F25" s="3307">
        <f>F24</f>
        <v>0.6</v>
      </c>
      <c r="G25" s="3305">
        <f>ROUND(100*(1-(1-E25)*F25),1)</f>
        <v>96.4</v>
      </c>
      <c r="I25" s="3672">
        <v>25</v>
      </c>
      <c r="J25" s="3672">
        <v>86.3</v>
      </c>
      <c r="K25" s="3672">
        <f t="shared" si="0"/>
        <v>5.2999999999999972</v>
      </c>
      <c r="L25" s="3672" t="s">
        <v>3302</v>
      </c>
      <c r="M25" s="3672"/>
      <c r="N25" s="3673">
        <v>8</v>
      </c>
    </row>
    <row r="26" spans="1:14">
      <c r="A26" s="3309"/>
      <c r="B26" s="3310"/>
      <c r="C26" s="3310"/>
      <c r="D26" s="3310"/>
      <c r="E26" s="3310"/>
      <c r="F26" s="3310"/>
      <c r="G26" s="3311"/>
      <c r="I26" s="3672">
        <v>30</v>
      </c>
      <c r="J26" s="3672">
        <v>90.5</v>
      </c>
      <c r="K26" s="3672">
        <f t="shared" si="0"/>
        <v>4.2000000000000028</v>
      </c>
      <c r="L26" s="3672" t="s">
        <v>3303</v>
      </c>
      <c r="M26" s="3672"/>
      <c r="N26" s="3673">
        <v>5</v>
      </c>
    </row>
    <row r="27" spans="1:14">
      <c r="A27" s="3312" t="s">
        <v>2703</v>
      </c>
      <c r="B27" s="3313"/>
      <c r="C27" s="3313"/>
      <c r="D27" s="3313"/>
      <c r="E27" s="3313"/>
      <c r="F27" s="3313"/>
      <c r="G27" s="3314"/>
      <c r="I27" s="3672">
        <v>35</v>
      </c>
      <c r="J27" s="3672">
        <v>93.8</v>
      </c>
      <c r="K27" s="3672">
        <f t="shared" si="0"/>
        <v>3.2999999999999972</v>
      </c>
      <c r="L27" s="3672" t="s">
        <v>3304</v>
      </c>
      <c r="M27" s="3672"/>
      <c r="N27" s="3673">
        <v>3</v>
      </c>
    </row>
    <row r="28" spans="1:14">
      <c r="A28" s="3312" t="s">
        <v>2704</v>
      </c>
      <c r="B28" s="3313"/>
      <c r="C28" s="3313"/>
      <c r="D28" s="3313"/>
      <c r="E28" s="3313"/>
      <c r="F28" s="3313"/>
      <c r="G28" s="3314"/>
      <c r="I28" s="3672">
        <v>40</v>
      </c>
      <c r="J28" s="3672">
        <v>96.4</v>
      </c>
      <c r="K28" s="3672">
        <f t="shared" si="0"/>
        <v>2.6000000000000085</v>
      </c>
      <c r="L28" s="3672" t="s">
        <v>3305</v>
      </c>
      <c r="M28" s="3672"/>
      <c r="N28" s="3673">
        <v>2</v>
      </c>
    </row>
    <row r="29" spans="1:14">
      <c r="A29" s="3312" t="s">
        <v>2705</v>
      </c>
      <c r="B29" s="3313"/>
      <c r="C29" s="3313"/>
      <c r="D29" s="3313"/>
      <c r="E29" s="3313"/>
      <c r="F29" s="3313"/>
      <c r="G29" s="3314"/>
      <c r="I29" s="3672">
        <v>45</v>
      </c>
      <c r="J29" s="3672">
        <v>98.4</v>
      </c>
      <c r="K29" s="3672">
        <f t="shared" si="0"/>
        <v>2</v>
      </c>
      <c r="L29" s="3672"/>
      <c r="M29" s="3672"/>
    </row>
    <row r="30" spans="1:14">
      <c r="A30" s="3312" t="s">
        <v>2706</v>
      </c>
      <c r="B30" s="3313"/>
      <c r="C30" s="3313"/>
      <c r="D30" s="3313"/>
      <c r="E30" s="3313"/>
      <c r="F30" s="3313"/>
      <c r="G30" s="3314"/>
      <c r="I30" s="3672">
        <v>50</v>
      </c>
      <c r="J30" s="3672">
        <v>100</v>
      </c>
      <c r="K30" s="3672">
        <f t="shared" si="0"/>
        <v>1.5999999999999943</v>
      </c>
      <c r="L30" s="3672"/>
      <c r="M30" s="3672"/>
    </row>
    <row r="31" spans="1:14">
      <c r="A31" s="3312" t="s">
        <v>2707</v>
      </c>
      <c r="B31" s="3313"/>
      <c r="C31" s="3313"/>
      <c r="D31" s="3313"/>
      <c r="E31" s="3313"/>
      <c r="F31" s="3313"/>
      <c r="G31" s="3314"/>
      <c r="I31" s="3672" t="s">
        <v>3306</v>
      </c>
      <c r="J31" s="3672"/>
      <c r="K31" s="3672"/>
      <c r="L31" s="3672"/>
      <c r="M31" s="3672"/>
    </row>
    <row r="32" spans="1:14">
      <c r="A32" s="3312" t="s">
        <v>2708</v>
      </c>
      <c r="B32" s="3313"/>
      <c r="C32" s="3313"/>
      <c r="D32" s="3313"/>
      <c r="E32" s="3313"/>
      <c r="F32" s="3313"/>
      <c r="G32" s="3314"/>
      <c r="I32" s="3672"/>
      <c r="J32" s="3672"/>
      <c r="K32" s="3672"/>
      <c r="L32" s="3672"/>
      <c r="M32" s="3672"/>
    </row>
    <row r="33" spans="1:14">
      <c r="A33" s="3312" t="s">
        <v>2709</v>
      </c>
      <c r="B33" s="3313"/>
      <c r="C33" s="3313"/>
      <c r="D33" s="3313"/>
      <c r="E33" s="3313"/>
      <c r="F33" s="3313"/>
      <c r="G33" s="3314"/>
      <c r="I33" s="3672" t="s">
        <v>3297</v>
      </c>
      <c r="J33" s="3672" t="s">
        <v>3307</v>
      </c>
      <c r="K33" s="3672"/>
      <c r="L33" s="3672"/>
      <c r="M33" s="3672"/>
    </row>
    <row r="34" spans="1:14">
      <c r="A34" s="3312" t="s">
        <v>2710</v>
      </c>
      <c r="B34" s="3313"/>
      <c r="C34" s="3313"/>
      <c r="D34" s="3313"/>
      <c r="E34" s="3313"/>
      <c r="F34" s="3313"/>
      <c r="G34" s="3314"/>
      <c r="I34" s="3672">
        <v>5</v>
      </c>
      <c r="J34" s="3672">
        <v>55.1</v>
      </c>
      <c r="K34" s="3672"/>
      <c r="L34" s="3672"/>
      <c r="M34" s="3672"/>
    </row>
    <row r="35" spans="1:14">
      <c r="A35" s="3312" t="s">
        <v>2711</v>
      </c>
      <c r="B35" s="3313"/>
      <c r="C35" s="3313"/>
      <c r="D35" s="3313"/>
      <c r="E35" s="3313"/>
      <c r="F35" s="3313"/>
      <c r="G35" s="3314"/>
      <c r="I35" s="3672">
        <v>10</v>
      </c>
      <c r="J35" s="3672">
        <v>67</v>
      </c>
      <c r="K35" s="3672">
        <f>J35-J34</f>
        <v>11.899999999999999</v>
      </c>
      <c r="L35" s="3672"/>
      <c r="M35" s="3672"/>
    </row>
    <row r="36" spans="1:14">
      <c r="A36" s="3312" t="s">
        <v>2712</v>
      </c>
      <c r="B36" s="3313"/>
      <c r="C36" s="3313"/>
      <c r="D36" s="3313"/>
      <c r="E36" s="3313"/>
      <c r="F36" s="3313"/>
      <c r="G36" s="3314"/>
      <c r="I36" s="3672">
        <v>15</v>
      </c>
      <c r="J36" s="3672">
        <v>76.3</v>
      </c>
      <c r="K36" s="3672">
        <f t="shared" ref="K36:K41" si="1">J36-J35</f>
        <v>9.2999999999999972</v>
      </c>
      <c r="L36" s="3672" t="s">
        <v>3299</v>
      </c>
      <c r="M36" s="3672"/>
      <c r="N36" s="3673" t="s">
        <v>3300</v>
      </c>
    </row>
    <row r="37" spans="1:14">
      <c r="A37" s="3312" t="s">
        <v>2713</v>
      </c>
      <c r="B37" s="3313"/>
      <c r="C37" s="3313"/>
      <c r="D37" s="3313"/>
      <c r="E37" s="3313"/>
      <c r="F37" s="3313"/>
      <c r="G37" s="3314"/>
      <c r="I37" s="3672">
        <v>20</v>
      </c>
      <c r="J37" s="3672">
        <v>83.6</v>
      </c>
      <c r="K37" s="3672">
        <f t="shared" si="1"/>
        <v>7.2999999999999972</v>
      </c>
      <c r="L37" s="3672" t="s">
        <v>3301</v>
      </c>
      <c r="M37" s="3672"/>
      <c r="N37" s="3673">
        <v>10</v>
      </c>
    </row>
    <row r="38" spans="1:14">
      <c r="A38" s="3312" t="s">
        <v>2714</v>
      </c>
      <c r="B38" s="3313"/>
      <c r="C38" s="3313"/>
      <c r="D38" s="3313"/>
      <c r="E38" s="3313"/>
      <c r="F38" s="3313"/>
      <c r="G38" s="3314"/>
      <c r="I38" s="3672">
        <v>25</v>
      </c>
      <c r="J38" s="3672">
        <v>89.3</v>
      </c>
      <c r="K38" s="3672">
        <f t="shared" si="1"/>
        <v>5.7000000000000028</v>
      </c>
      <c r="L38" s="3672" t="s">
        <v>3302</v>
      </c>
      <c r="M38" s="3672"/>
      <c r="N38" s="3673">
        <v>8</v>
      </c>
    </row>
    <row r="39" spans="1:14">
      <c r="A39" s="3312"/>
      <c r="B39" s="3313"/>
      <c r="C39" s="3313"/>
      <c r="D39" s="3313"/>
      <c r="E39" s="3313"/>
      <c r="F39" s="3313"/>
      <c r="G39" s="3314"/>
      <c r="I39" s="3672">
        <v>30</v>
      </c>
      <c r="J39" s="3672">
        <v>93.8</v>
      </c>
      <c r="K39" s="3672">
        <f t="shared" si="1"/>
        <v>4.5</v>
      </c>
      <c r="L39" s="3672" t="s">
        <v>3303</v>
      </c>
      <c r="M39" s="3672"/>
      <c r="N39" s="3673">
        <v>6</v>
      </c>
    </row>
    <row r="40" spans="1:14">
      <c r="A40" s="3315" t="s">
        <v>2715</v>
      </c>
      <c r="B40" s="3316"/>
      <c r="C40" s="3316"/>
      <c r="D40" s="3316"/>
      <c r="E40" s="3316"/>
      <c r="F40" s="3316"/>
      <c r="G40" s="3317"/>
      <c r="I40" s="3672">
        <v>35</v>
      </c>
      <c r="J40" s="3672">
        <v>97.2</v>
      </c>
      <c r="K40" s="3672">
        <f t="shared" si="1"/>
        <v>3.4000000000000057</v>
      </c>
      <c r="L40" s="3672" t="s">
        <v>3304</v>
      </c>
      <c r="M40" s="3672"/>
      <c r="N40" s="3673">
        <v>3</v>
      </c>
    </row>
    <row r="41" spans="1:14">
      <c r="A41" s="3318" t="s">
        <v>2716</v>
      </c>
      <c r="B41" s="3319" t="s">
        <v>2717</v>
      </c>
      <c r="C41" s="3320" t="s">
        <v>2718</v>
      </c>
      <c r="D41" s="3320" t="s">
        <v>2719</v>
      </c>
      <c r="E41" s="3321"/>
      <c r="F41" s="3322"/>
      <c r="G41" s="3323"/>
      <c r="I41" s="3672">
        <v>40</v>
      </c>
      <c r="J41" s="3672">
        <v>100</v>
      </c>
      <c r="K41" s="3672">
        <f t="shared" si="1"/>
        <v>2.7999999999999972</v>
      </c>
      <c r="L41" s="3672"/>
      <c r="M41" s="3672"/>
    </row>
    <row r="42" spans="1:14">
      <c r="A42" s="3318" t="s">
        <v>2720</v>
      </c>
      <c r="B42" s="3319" t="s">
        <v>2721</v>
      </c>
      <c r="C42" s="3320" t="s">
        <v>2721</v>
      </c>
      <c r="D42" s="3324" t="s">
        <v>2722</v>
      </c>
      <c r="E42" s="3316" t="s">
        <v>2723</v>
      </c>
      <c r="F42" s="3316"/>
      <c r="G42" s="3317"/>
      <c r="I42" s="3672"/>
      <c r="J42" s="3672"/>
      <c r="K42" s="3672"/>
      <c r="L42" s="3672"/>
      <c r="M42" s="3672"/>
    </row>
    <row r="43" spans="1:14">
      <c r="A43" s="3318" t="s">
        <v>2724</v>
      </c>
      <c r="B43" s="3319" t="s">
        <v>2725</v>
      </c>
      <c r="C43" s="3320" t="s">
        <v>2726</v>
      </c>
      <c r="D43" s="3320" t="s">
        <v>2727</v>
      </c>
      <c r="E43" s="3321" t="s">
        <v>2728</v>
      </c>
      <c r="F43" s="3322"/>
      <c r="G43" s="3323"/>
      <c r="I43" s="3672" t="s">
        <v>3297</v>
      </c>
      <c r="J43" s="3672" t="s">
        <v>3308</v>
      </c>
      <c r="K43" s="3672"/>
      <c r="L43" s="3672"/>
      <c r="M43" s="3672"/>
    </row>
    <row r="44" spans="1:14">
      <c r="A44" s="3318" t="s">
        <v>2729</v>
      </c>
      <c r="B44" s="3319" t="s">
        <v>2730</v>
      </c>
      <c r="C44" s="3320" t="s">
        <v>2731</v>
      </c>
      <c r="D44" s="3324">
        <v>0.5</v>
      </c>
      <c r="E44" s="3321" t="s">
        <v>2732</v>
      </c>
      <c r="F44" s="3322"/>
      <c r="G44" s="3323"/>
      <c r="I44" s="3672">
        <v>30</v>
      </c>
      <c r="J44" s="3672">
        <v>81.7</v>
      </c>
      <c r="K44" s="3672"/>
      <c r="L44" s="3672"/>
      <c r="M44" s="3672"/>
    </row>
    <row r="45" spans="1:14" ht="15" thickBot="1">
      <c r="A45" s="3325" t="s">
        <v>2733</v>
      </c>
      <c r="B45" s="3326" t="s">
        <v>2721</v>
      </c>
      <c r="C45" s="3327" t="s">
        <v>2721</v>
      </c>
      <c r="D45" s="3327" t="s">
        <v>2734</v>
      </c>
      <c r="E45" s="3328" t="s">
        <v>2735</v>
      </c>
      <c r="F45" s="3328"/>
      <c r="G45" s="3329"/>
      <c r="I45" s="3672">
        <v>40</v>
      </c>
      <c r="J45" s="3672">
        <v>89.2</v>
      </c>
      <c r="K45" s="3672">
        <f>J45-J44</f>
        <v>7.5</v>
      </c>
      <c r="L45" s="3672"/>
      <c r="M45" s="3672"/>
    </row>
    <row r="46" spans="1:14">
      <c r="I46" s="3672">
        <v>50</v>
      </c>
      <c r="J46" s="3672">
        <v>94.3</v>
      </c>
      <c r="K46" s="3672">
        <f t="shared" ref="K46:K47" si="2">J46-J45</f>
        <v>5.0999999999999943</v>
      </c>
      <c r="L46" s="3672"/>
      <c r="M46" s="3672"/>
    </row>
    <row r="47" spans="1:14">
      <c r="I47" s="3672">
        <v>60</v>
      </c>
      <c r="J47" s="3672">
        <v>97.7</v>
      </c>
      <c r="K47" s="3672">
        <f t="shared" si="2"/>
        <v>3.4000000000000057</v>
      </c>
      <c r="L47" s="3672"/>
      <c r="M47" s="3672"/>
    </row>
    <row r="48" spans="1:14" ht="15" thickBot="1"/>
    <row r="49" spans="1:4">
      <c r="A49" s="3300" t="s">
        <v>3283</v>
      </c>
    </row>
    <row r="50" spans="1:4">
      <c r="A50" s="3662" t="s">
        <v>3273</v>
      </c>
      <c r="B50" s="3662" t="s">
        <v>3270</v>
      </c>
      <c r="C50" s="3662" t="s">
        <v>3271</v>
      </c>
      <c r="D50" s="3662" t="s">
        <v>3272</v>
      </c>
    </row>
    <row r="51" spans="1:4">
      <c r="A51" s="3662" t="s">
        <v>3274</v>
      </c>
      <c r="B51" s="3288">
        <f>B52+B53</f>
        <v>15000</v>
      </c>
      <c r="C51" s="3664">
        <f>D51/B51</f>
        <v>2666.6666666666665</v>
      </c>
      <c r="D51" s="3288">
        <f>D52+D53</f>
        <v>40000000</v>
      </c>
    </row>
    <row r="52" spans="1:4">
      <c r="A52" s="3663" t="s">
        <v>3275</v>
      </c>
      <c r="B52" s="3659">
        <v>10000</v>
      </c>
      <c r="C52" s="3659">
        <v>1500</v>
      </c>
      <c r="D52" s="3665">
        <f>C52*B52</f>
        <v>15000000</v>
      </c>
    </row>
    <row r="53" spans="1:4">
      <c r="A53" s="3663" t="s">
        <v>3276</v>
      </c>
      <c r="B53" s="3659">
        <v>5000</v>
      </c>
      <c r="C53" s="3659">
        <v>5000</v>
      </c>
      <c r="D53" s="3665">
        <f>C53*B53</f>
        <v>25000000</v>
      </c>
    </row>
    <row r="54" spans="1:4">
      <c r="A54" s="3662" t="s">
        <v>3277</v>
      </c>
      <c r="B54" s="3288">
        <f>B51</f>
        <v>15000</v>
      </c>
      <c r="C54" s="3294">
        <v>700</v>
      </c>
      <c r="D54" s="3288">
        <f t="shared" ref="D54:D55" si="3">C54*B54</f>
        <v>10500000</v>
      </c>
    </row>
    <row r="55" spans="1:4">
      <c r="A55" s="3662" t="s">
        <v>3278</v>
      </c>
      <c r="B55" s="3288">
        <f>B51</f>
        <v>15000</v>
      </c>
      <c r="C55" s="3294">
        <v>1500</v>
      </c>
      <c r="D55" s="3288">
        <f t="shared" si="3"/>
        <v>22500000</v>
      </c>
    </row>
    <row r="56" spans="1:4">
      <c r="A56" s="3662" t="s">
        <v>3279</v>
      </c>
      <c r="B56" s="3288">
        <f>B51</f>
        <v>15000</v>
      </c>
      <c r="C56" s="3666">
        <f>C51+C54+C55</f>
        <v>4866.6666666666661</v>
      </c>
      <c r="D56" s="3288">
        <f>D51+D54+D55</f>
        <v>73000000</v>
      </c>
    </row>
    <row r="58" spans="1:4">
      <c r="A58" s="3662" t="s">
        <v>3280</v>
      </c>
      <c r="B58" s="3660">
        <v>0.05</v>
      </c>
      <c r="C58" s="3288">
        <f>C56*(1+B58)</f>
        <v>5110</v>
      </c>
      <c r="D58" s="3288">
        <f>D56*B58</f>
        <v>3650000</v>
      </c>
    </row>
    <row r="60" spans="1:4">
      <c r="A60" s="3662" t="s">
        <v>3281</v>
      </c>
      <c r="B60" s="3294">
        <v>3500</v>
      </c>
      <c r="C60" s="3294">
        <f>C53</f>
        <v>5000</v>
      </c>
      <c r="D60" s="3288">
        <f>C60*B60</f>
        <v>17500000</v>
      </c>
    </row>
    <row r="62" spans="1:4">
      <c r="A62" s="3662" t="s">
        <v>3282</v>
      </c>
      <c r="B62" s="3294">
        <f>B51</f>
        <v>15000</v>
      </c>
      <c r="C62" s="3661">
        <f>D62/B62</f>
        <v>6276.666666666667</v>
      </c>
      <c r="D62" s="32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485" customWidth="1"/>
    <col min="2" max="2" width="11.33203125" style="1485" customWidth="1"/>
    <col min="3" max="8" width="13.109375" style="1485" customWidth="1"/>
    <col min="9" max="9" width="13.10937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6.2" thickBot="1">
      <c r="A1" s="1460" t="s">
        <v>1457</v>
      </c>
      <c r="B1" s="3746" t="str">
        <f>IF(B10="北京市","北京市",C10)&amp;F10&amp;A17&amp;"国有建设用地使用权"&amp;B9&amp;"预评估"</f>
        <v>北京市出让国有建设用地使用权市场价格预评估</v>
      </c>
      <c r="C1" s="3747"/>
      <c r="D1" s="3747"/>
      <c r="E1" s="3747"/>
      <c r="F1" s="3747"/>
      <c r="G1" s="3747"/>
      <c r="H1" s="3747"/>
      <c r="I1" s="3748"/>
      <c r="J1" s="2813"/>
      <c r="K1" s="2105" t="str">
        <f>IF(B10="北京市","北京市",C10)&amp;F10&amp;A17&amp;"国有建设用地使用权"&amp;B9</f>
        <v>北京市出让国有建设用地使用权市场价格</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北京市出让国有建设用地使用权</v>
      </c>
      <c r="L2" s="2792"/>
      <c r="M2" s="2792"/>
      <c r="N2" s="2793"/>
      <c r="O2" s="2794"/>
      <c r="P2" s="2793"/>
      <c r="Q2" s="2793"/>
      <c r="R2" s="2793"/>
      <c r="S2" s="2793"/>
      <c r="T2" s="2793"/>
      <c r="U2" s="2793"/>
    </row>
    <row r="3" spans="1:21">
      <c r="A3" s="1462" t="s">
        <v>1459</v>
      </c>
      <c r="B3" s="1463"/>
      <c r="C3" s="2736" t="s">
        <v>1513</v>
      </c>
      <c r="D3" s="1463">
        <v>45839</v>
      </c>
      <c r="E3" s="2813"/>
      <c r="F3" s="2813"/>
      <c r="G3" s="2813"/>
      <c r="H3" s="2814"/>
      <c r="I3" s="2815"/>
      <c r="J3" s="2813"/>
      <c r="K3" s="2796"/>
      <c r="L3" s="2792"/>
      <c r="M3" s="2792"/>
      <c r="N3" s="2793"/>
      <c r="O3" s="2794"/>
      <c r="P3" s="2793"/>
      <c r="Q3" s="2793"/>
      <c r="R3" s="2793"/>
      <c r="S3" s="2793"/>
      <c r="T3" s="2793"/>
      <c r="U3" s="2793"/>
    </row>
    <row r="4" spans="1:21" ht="31.8"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6.2"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7.6">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3327</v>
      </c>
      <c r="C8" s="1472"/>
      <c r="D8" s="3752" t="s">
        <v>1464</v>
      </c>
      <c r="E8" s="1626"/>
      <c r="F8" s="1473"/>
      <c r="G8" s="2814"/>
      <c r="H8" s="2814"/>
      <c r="I8" s="2817"/>
      <c r="J8" s="2813"/>
      <c r="K8" s="2796"/>
      <c r="L8" s="2792"/>
      <c r="M8" s="2792"/>
      <c r="N8" s="2793"/>
      <c r="O8" s="2794"/>
      <c r="P8" s="2793"/>
      <c r="Q8" s="2793"/>
      <c r="R8" s="2793"/>
      <c r="S8" s="2793"/>
      <c r="T8" s="2793"/>
      <c r="U8" s="2793"/>
    </row>
    <row r="9" spans="1:21" ht="16.2" thickBot="1">
      <c r="A9" s="2738" t="s">
        <v>1463</v>
      </c>
      <c r="B9" s="1474" t="s">
        <v>3328</v>
      </c>
      <c r="C9" s="1475"/>
      <c r="D9" s="3753"/>
      <c r="E9" s="1474"/>
      <c r="F9" s="1534"/>
      <c r="G9" s="2818"/>
      <c r="H9" s="2818"/>
      <c r="I9" s="2819"/>
      <c r="J9" s="2813"/>
      <c r="K9" s="2796"/>
      <c r="L9" s="2792"/>
      <c r="M9" s="2792"/>
      <c r="N9" s="2793"/>
      <c r="O9" s="2794"/>
      <c r="P9" s="2793"/>
      <c r="Q9" s="2793"/>
      <c r="R9" s="2793"/>
      <c r="S9" s="2793"/>
      <c r="T9" s="2793"/>
      <c r="U9" s="2793"/>
    </row>
    <row r="10" spans="1:21" ht="16.2" thickTop="1">
      <c r="A10" s="2739" t="s">
        <v>1517</v>
      </c>
      <c r="B10" s="1511" t="s">
        <v>1465</v>
      </c>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t="s">
        <v>3329</v>
      </c>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749"/>
      <c r="C12" s="3750"/>
      <c r="D12" s="3751"/>
      <c r="E12" s="1492" t="s">
        <v>1579</v>
      </c>
      <c r="F12" s="3767" t="s">
        <v>2163</v>
      </c>
      <c r="G12" s="3768"/>
      <c r="H12" s="3768"/>
      <c r="I12" s="3769"/>
      <c r="J12" s="2813"/>
      <c r="K12" s="2796"/>
      <c r="L12" s="2792"/>
      <c r="M12" s="2792"/>
      <c r="N12" s="2793"/>
      <c r="O12" s="2794"/>
      <c r="P12" s="2793"/>
      <c r="Q12" s="2793"/>
      <c r="R12" s="2793"/>
      <c r="S12" s="2793"/>
      <c r="T12" s="2793"/>
      <c r="U12" s="2793"/>
    </row>
    <row r="13" spans="1:21">
      <c r="A13" s="1483" t="s">
        <v>1577</v>
      </c>
      <c r="B13" s="3749"/>
      <c r="C13" s="3750"/>
      <c r="D13" s="3751"/>
      <c r="E13" s="1492" t="s">
        <v>1579</v>
      </c>
      <c r="F13" s="3767" t="s">
        <v>2164</v>
      </c>
      <c r="G13" s="3768"/>
      <c r="H13" s="3768"/>
      <c r="I13" s="3769"/>
      <c r="J13" s="2813"/>
      <c r="K13" s="2796"/>
      <c r="L13" s="2792"/>
      <c r="M13" s="2792"/>
      <c r="N13" s="2793"/>
      <c r="O13" s="2794"/>
      <c r="P13" s="2793"/>
      <c r="Q13" s="2793"/>
      <c r="R13" s="2793"/>
      <c r="S13" s="2793"/>
      <c r="T13" s="2793"/>
      <c r="U13" s="2793"/>
    </row>
    <row r="14" spans="1:21">
      <c r="A14" s="1462" t="s">
        <v>1580</v>
      </c>
      <c r="B14" s="1492"/>
      <c r="C14" s="1627" t="s">
        <v>3330</v>
      </c>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7" t="s">
        <v>1469</v>
      </c>
      <c r="D15" s="3277" t="s">
        <v>1470</v>
      </c>
      <c r="E15" s="3277" t="s">
        <v>1179</v>
      </c>
      <c r="F15" s="1482" t="s">
        <v>1471</v>
      </c>
      <c r="G15" s="1482" t="s">
        <v>1472</v>
      </c>
      <c r="H15" s="1482" t="s">
        <v>776</v>
      </c>
      <c r="I15" s="1482" t="s">
        <v>2737</v>
      </c>
      <c r="J15" s="2813"/>
      <c r="K15" s="2796"/>
      <c r="L15" s="2792"/>
      <c r="M15" s="2792"/>
      <c r="N15" s="2793"/>
      <c r="O15" s="2794"/>
      <c r="P15" s="2793"/>
      <c r="Q15" s="2793"/>
      <c r="R15" s="2793"/>
      <c r="S15" s="2793"/>
      <c r="T15" s="2793"/>
      <c r="U15" s="2793"/>
    </row>
    <row r="16" spans="1:21" ht="46.8">
      <c r="A16" s="2741" t="s">
        <v>1467</v>
      </c>
      <c r="B16" s="1492" t="s">
        <v>1468</v>
      </c>
      <c r="C16" s="3277" t="s">
        <v>1469</v>
      </c>
      <c r="D16" s="1514" t="s">
        <v>2738</v>
      </c>
      <c r="E16" s="1514" t="s">
        <v>1212</v>
      </c>
      <c r="F16" s="1514" t="s">
        <v>2739</v>
      </c>
      <c r="G16" s="1514" t="s">
        <v>2740</v>
      </c>
      <c r="H16" s="1482" t="s">
        <v>776</v>
      </c>
      <c r="I16" s="1482" t="s">
        <v>2737</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公共服务2075年6月30日</v>
      </c>
    </row>
    <row r="17" spans="1:21">
      <c r="A17" s="3331" t="s">
        <v>2741</v>
      </c>
      <c r="B17" s="2742" t="s">
        <v>1473</v>
      </c>
      <c r="C17" s="3330"/>
      <c r="D17" s="3330"/>
      <c r="E17" s="3330"/>
      <c r="F17" s="3330"/>
      <c r="G17" s="3330"/>
      <c r="H17" s="3330"/>
      <c r="I17" s="3330">
        <v>64100</v>
      </c>
      <c r="J17" s="2813"/>
      <c r="K17" s="2791" t="str">
        <f>CONCATENATE(K16,L16,M16,N16,O16,P16,Q16,R16,S16,T16,,U16)</f>
        <v>公共服务2075年6月30日</v>
      </c>
      <c r="L17" s="2792"/>
      <c r="M17" s="2792"/>
      <c r="N17" s="2793"/>
      <c r="O17" s="2794"/>
      <c r="P17" s="2793"/>
      <c r="Q17" s="2793"/>
      <c r="R17" s="2793"/>
      <c r="S17" s="2793"/>
      <c r="T17" s="2793"/>
      <c r="U17" s="2793"/>
    </row>
    <row r="18" spans="1:21">
      <c r="A18" s="1550"/>
      <c r="B18" s="2742" t="s">
        <v>1474</v>
      </c>
      <c r="C18" s="1480"/>
      <c r="D18" s="1480"/>
      <c r="E18" s="1480"/>
      <c r="F18" s="1480"/>
      <c r="G18" s="1480"/>
      <c r="H18" s="1480"/>
      <c r="I18" s="1480">
        <v>50</v>
      </c>
      <c r="J18" s="2813"/>
      <c r="K18" s="2796"/>
      <c r="L18" s="2792"/>
      <c r="M18" s="2792"/>
      <c r="N18" s="2793"/>
      <c r="O18" s="2794"/>
      <c r="P18" s="2793"/>
      <c r="Q18" s="2793"/>
      <c r="R18" s="2793"/>
      <c r="S18" s="2793"/>
      <c r="T18" s="2793"/>
      <c r="U18" s="2793"/>
    </row>
    <row r="19" spans="1:21">
      <c r="A19" s="1550"/>
      <c r="B19" s="1461" t="s">
        <v>1475</v>
      </c>
      <c r="C19" s="1545" t="str">
        <f>IF(A17="出让",IF(C17="","",ROUNDDOWN(MIN((C17-$D$3)/365,C18),2)),C18)</f>
        <v/>
      </c>
      <c r="D19" s="1545" t="str">
        <f>IF(A17="出让",IF(D17="","",ROUNDDOWN(MIN((D17-$D$3)/365,D18),2)),D18)</f>
        <v/>
      </c>
      <c r="E19" s="1481" t="str">
        <f>IF(A17="出让",IF(E17="","",ROUNDDOWN(MIN((E17-$D$3)/365,E18),2)),E18)</f>
        <v/>
      </c>
      <c r="F19" s="1481" t="str">
        <f>IF(A17="出让",IF(F17="","",ROUNDDOWN(MIN((F17-$D$3)/365,F18),2)),F18)</f>
        <v/>
      </c>
      <c r="G19" s="1481" t="str">
        <f>IF(A17="出让",IF(G17="","",ROUNDDOWN(MIN((G17-$D$3)/365,G18),2)),G18)</f>
        <v/>
      </c>
      <c r="H19" s="1481" t="str">
        <f>IF(A17="出让",IF(H17="","",ROUNDDOWN(MIN((H17-$D$3)/365,H18),2)),H18)</f>
        <v/>
      </c>
      <c r="I19" s="1481">
        <f>IF(A17="出让",IF(I17="","",ROUNDDOWN(MIN((I17-$D$3)/365,I18),2)),I18)</f>
        <v>50</v>
      </c>
      <c r="J19" s="2813"/>
      <c r="K19" s="2796"/>
      <c r="L19" s="2792"/>
      <c r="M19" s="2792"/>
      <c r="N19" s="2793"/>
      <c r="O19" s="2794"/>
      <c r="P19" s="2793"/>
      <c r="Q19" s="2793"/>
      <c r="R19" s="2793"/>
      <c r="S19" s="2793"/>
      <c r="T19" s="2793"/>
      <c r="U19" s="2793"/>
    </row>
    <row r="20" spans="1:21">
      <c r="A20" s="1570"/>
      <c r="B20" s="1571"/>
      <c r="C20" s="1572" t="s">
        <v>1578</v>
      </c>
      <c r="D20" s="3764"/>
      <c r="E20" s="3765"/>
      <c r="F20" s="3765"/>
      <c r="G20" s="3765"/>
      <c r="H20" s="3765"/>
      <c r="I20" s="3766"/>
      <c r="J20" s="2813"/>
      <c r="K20" s="2796"/>
      <c r="L20" s="2792"/>
      <c r="M20" s="2792"/>
      <c r="N20" s="2793"/>
      <c r="O20" s="2794"/>
      <c r="P20" s="2793"/>
      <c r="Q20" s="2793"/>
      <c r="R20" s="2793"/>
      <c r="S20" s="2793"/>
      <c r="T20" s="2793"/>
      <c r="U20" s="2793"/>
    </row>
    <row r="21" spans="1:21">
      <c r="A21" s="1550" t="s">
        <v>1476</v>
      </c>
      <c r="B21" s="1551" t="s">
        <v>1477</v>
      </c>
      <c r="C21" s="1546">
        <f>'数据-汇总表'!E3</f>
        <v>543.88</v>
      </c>
      <c r="D21" s="1547" t="s">
        <v>1478</v>
      </c>
      <c r="E21" s="3754" t="s">
        <v>1516</v>
      </c>
      <c r="F21" s="3755"/>
      <c r="G21" s="3755"/>
      <c r="H21" s="3755"/>
      <c r="I21" s="3756"/>
      <c r="J21" s="2813"/>
      <c r="K21" s="2796"/>
      <c r="L21" s="2792"/>
      <c r="M21" s="2792"/>
      <c r="N21" s="2793"/>
      <c r="O21" s="2794"/>
      <c r="P21" s="2793"/>
      <c r="Q21" s="2793"/>
      <c r="R21" s="2793"/>
      <c r="S21" s="2793"/>
      <c r="T21" s="2793"/>
      <c r="U21" s="2793"/>
    </row>
    <row r="22" spans="1:21">
      <c r="A22" s="2553" t="s">
        <v>877</v>
      </c>
      <c r="B22" s="1462" t="s">
        <v>1479</v>
      </c>
      <c r="C22" s="1482">
        <f>'数据-汇总表'!D3</f>
        <v>271.94</v>
      </c>
      <c r="D22" s="1483" t="s">
        <v>1478</v>
      </c>
      <c r="E22" s="3754" t="s">
        <v>2165</v>
      </c>
      <c r="F22" s="3755"/>
      <c r="G22" s="3755"/>
      <c r="H22" s="3755"/>
      <c r="I22" s="3756"/>
      <c r="J22" s="2813"/>
      <c r="K22" s="2796"/>
      <c r="L22" s="2792"/>
      <c r="M22" s="2792"/>
      <c r="N22" s="2793"/>
      <c r="O22" s="2794"/>
      <c r="P22" s="2793"/>
      <c r="Q22" s="2793"/>
      <c r="R22" s="2793"/>
      <c r="S22" s="2793"/>
      <c r="T22" s="2793"/>
      <c r="U22" s="2793"/>
    </row>
    <row r="23" spans="1:21" ht="47.4"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757" t="s">
        <v>1484</v>
      </c>
      <c r="C24" s="3758"/>
      <c r="D24" s="3759" t="s">
        <v>1485</v>
      </c>
      <c r="E24" s="3760"/>
      <c r="F24" s="1500" t="s">
        <v>1486</v>
      </c>
      <c r="G24" s="2813"/>
      <c r="H24" s="2813"/>
      <c r="I24" s="2817"/>
      <c r="J24" s="2813"/>
      <c r="K24" s="3745"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31.2">
      <c r="A25" s="1538"/>
      <c r="B25" s="1535" t="s">
        <v>1682</v>
      </c>
      <c r="C25" s="1501" t="s">
        <v>1488</v>
      </c>
      <c r="D25" s="1502"/>
      <c r="E25" s="1503" t="s">
        <v>877</v>
      </c>
      <c r="F25" s="1504"/>
      <c r="G25" s="2813"/>
      <c r="H25" s="2813"/>
      <c r="I25" s="2817"/>
      <c r="J25" s="2813"/>
      <c r="K25" s="3745"/>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47.4" thickBot="1">
      <c r="A26" s="1539"/>
      <c r="B26" s="1536" t="s">
        <v>1489</v>
      </c>
      <c r="C26" s="1501" t="s">
        <v>1683</v>
      </c>
      <c r="D26" s="2814"/>
      <c r="E26" s="2814"/>
      <c r="F26" s="2820"/>
      <c r="G26" s="2813"/>
      <c r="H26" s="2813"/>
      <c r="I26" s="2817"/>
      <c r="J26" s="2813"/>
      <c r="K26" s="3745"/>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6.2"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6.2" thickTop="1">
      <c r="A31" s="3772" t="s">
        <v>1519</v>
      </c>
      <c r="B31" s="1551" t="s">
        <v>1520</v>
      </c>
      <c r="C31" s="3770"/>
      <c r="D31" s="3771"/>
      <c r="E31" s="2813"/>
      <c r="F31" s="2813"/>
      <c r="G31" s="2813"/>
      <c r="H31" s="2813"/>
      <c r="I31" s="2817"/>
      <c r="J31" s="2813"/>
      <c r="K31" s="2799"/>
      <c r="L31" s="2793"/>
      <c r="M31" s="2793"/>
      <c r="N31" s="2793"/>
      <c r="O31" s="2793"/>
      <c r="P31" s="2793"/>
      <c r="Q31" s="2793"/>
      <c r="R31" s="2793"/>
      <c r="S31" s="2793"/>
      <c r="T31" s="2793"/>
      <c r="U31" s="2793"/>
    </row>
    <row r="32" spans="1:21">
      <c r="A32" s="3772"/>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772"/>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773"/>
      <c r="B34" s="1462" t="s">
        <v>1523</v>
      </c>
      <c r="C34" s="3774"/>
      <c r="D34" s="3775"/>
      <c r="E34" s="2813"/>
      <c r="F34" s="2813"/>
      <c r="G34" s="2813"/>
      <c r="H34" s="2813"/>
      <c r="I34" s="2817"/>
      <c r="J34" s="2813"/>
      <c r="K34" s="2799"/>
      <c r="L34" s="2793"/>
      <c r="M34" s="2793"/>
      <c r="N34" s="2793"/>
      <c r="O34" s="2793"/>
      <c r="P34" s="2793"/>
      <c r="Q34" s="2793"/>
      <c r="R34" s="2793"/>
      <c r="S34" s="2793"/>
      <c r="T34" s="2793"/>
      <c r="U34" s="2793"/>
    </row>
    <row r="35" spans="1:28">
      <c r="A35" s="3776" t="s">
        <v>785</v>
      </c>
      <c r="B35" s="1514"/>
      <c r="C35" s="1560" t="str">
        <f>IF(B35="场地平整","——","具体情况：")</f>
        <v>具体情况：</v>
      </c>
      <c r="D35" s="3778"/>
      <c r="E35" s="3779"/>
      <c r="F35" s="3779"/>
      <c r="G35" s="3779"/>
      <c r="H35" s="3779"/>
      <c r="I35" s="3780"/>
      <c r="J35" s="2813"/>
      <c r="K35" s="2800"/>
      <c r="L35" s="2792"/>
      <c r="M35" s="2792"/>
      <c r="N35" s="2793"/>
      <c r="O35" s="2794"/>
      <c r="P35" s="2793"/>
      <c r="Q35" s="2793"/>
      <c r="R35" s="2793"/>
      <c r="S35" s="2793"/>
      <c r="T35" s="2793"/>
      <c r="U35" s="2793"/>
    </row>
    <row r="36" spans="1:28">
      <c r="A36" s="3772"/>
      <c r="B36" s="3781" t="s">
        <v>1572</v>
      </c>
      <c r="C36" s="3782"/>
      <c r="D36" s="1576"/>
      <c r="E36" s="3783"/>
      <c r="F36" s="3783"/>
      <c r="G36" s="1483" t="str">
        <f>IF(B35="场地未平整","估价结果处理","")</f>
        <v/>
      </c>
      <c r="H36" s="3784"/>
      <c r="I36" s="3784"/>
      <c r="J36" s="2813"/>
      <c r="K36" s="2800"/>
      <c r="L36" s="2792"/>
      <c r="M36" s="2792"/>
      <c r="N36" s="2793"/>
      <c r="O36" s="2794"/>
      <c r="P36" s="2793"/>
      <c r="Q36" s="2793"/>
      <c r="R36" s="2793"/>
      <c r="S36" s="2793"/>
      <c r="T36" s="2793"/>
      <c r="U36" s="2793"/>
    </row>
    <row r="37" spans="1:28" ht="31.2">
      <c r="A37" s="3772"/>
      <c r="B37" s="3761"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772"/>
      <c r="B38" s="3762"/>
      <c r="C38" s="1470" t="s">
        <v>788</v>
      </c>
      <c r="D38" s="1575">
        <f>ROUNDDOWN(MIN(('数据-取费表'!$B$2-D37)/365,D34),1)</f>
        <v>125.5</v>
      </c>
      <c r="E38" s="1519" t="s">
        <v>789</v>
      </c>
      <c r="F38" s="2813"/>
      <c r="G38" s="2813"/>
      <c r="H38" s="2813"/>
      <c r="I38" s="2817"/>
      <c r="J38" s="2813"/>
      <c r="K38" s="2800"/>
      <c r="L38" s="2793"/>
      <c r="M38" s="2793"/>
      <c r="N38" s="2793"/>
      <c r="O38" s="2793"/>
      <c r="P38" s="2793"/>
      <c r="Q38" s="2793"/>
      <c r="R38" s="2793"/>
      <c r="S38" s="2793"/>
      <c r="T38" s="2793"/>
      <c r="U38" s="2793"/>
    </row>
    <row r="39" spans="1:28">
      <c r="A39" s="3773"/>
      <c r="B39" s="3763"/>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744" t="s">
        <v>1503</v>
      </c>
      <c r="T40" s="1523" t="str">
        <f>NUMBERSTRING(7-K40,1)&amp;"通"</f>
        <v>七通</v>
      </c>
      <c r="U40" s="2793"/>
    </row>
    <row r="41" spans="1:28">
      <c r="A41" s="1464"/>
      <c r="B41" s="3777" t="s">
        <v>1250</v>
      </c>
      <c r="C41" s="3777"/>
      <c r="D41" s="3777"/>
      <c r="E41" s="3777"/>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44"/>
      <c r="T41" s="1525" t="str">
        <f>IF(T40="一通",L41,IF(T40="二通",M41,IF(T40="三通",N41,IF(T40="四通",O41,IF(T40="五通",P41,IF(T40="六通",Q41,R41))))))</f>
        <v>、、、、、、</v>
      </c>
      <c r="U41" s="2793"/>
    </row>
    <row r="42" spans="1:28">
      <c r="A42" s="1527"/>
      <c r="B42" s="1553" t="s">
        <v>1422</v>
      </c>
      <c r="C42" s="1553" t="s">
        <v>1423</v>
      </c>
      <c r="D42" s="1553" t="s">
        <v>1424</v>
      </c>
      <c r="E42" s="3277" t="s">
        <v>2742</v>
      </c>
      <c r="F42" s="3277" t="s">
        <v>2743</v>
      </c>
      <c r="G42" s="2813"/>
      <c r="H42" s="2813"/>
      <c r="I42" s="2817"/>
      <c r="J42" s="2813"/>
      <c r="K42" s="2796"/>
      <c r="L42" s="2792"/>
      <c r="M42" s="2792"/>
      <c r="N42" s="2793"/>
      <c r="O42" s="2794"/>
      <c r="P42" s="2793"/>
      <c r="Q42" s="2793"/>
      <c r="R42" s="2793"/>
      <c r="S42" s="2793"/>
      <c r="T42" s="2793"/>
      <c r="U42" s="2793"/>
    </row>
    <row r="43" spans="1:28">
      <c r="A43" s="2764" t="s">
        <v>1235</v>
      </c>
      <c r="B43" s="1529"/>
      <c r="C43" s="1529" t="s">
        <v>1153</v>
      </c>
      <c r="D43" s="1529"/>
      <c r="E43" s="1529"/>
      <c r="F43" s="1529" t="s">
        <v>1153</v>
      </c>
      <c r="G43" s="2813"/>
      <c r="H43" s="2813"/>
      <c r="I43" s="2817"/>
      <c r="J43" s="2813"/>
      <c r="K43" s="2796"/>
      <c r="L43" s="2792"/>
      <c r="M43" s="2792"/>
      <c r="N43" s="2793"/>
      <c r="O43" s="2794"/>
      <c r="P43" s="2793"/>
      <c r="Q43" s="2793"/>
      <c r="R43" s="2793"/>
      <c r="S43" s="2793"/>
      <c r="T43" s="2793"/>
      <c r="U43" s="2793"/>
    </row>
    <row r="44" spans="1:28">
      <c r="A44" s="2764" t="s">
        <v>1236</v>
      </c>
      <c r="B44" s="1529"/>
      <c r="C44" s="1529" t="s">
        <v>1013</v>
      </c>
      <c r="D44" s="1529"/>
      <c r="E44" s="1576"/>
      <c r="F44" s="1576" t="s">
        <v>1013</v>
      </c>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46.8">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3.2">
      <c r="A3" s="19">
        <f>B3/2</f>
        <v>271.94</v>
      </c>
      <c r="B3" s="20">
        <f>IF(C3="否",G5-AT5,G5)</f>
        <v>543.88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3.2">
      <c r="A5" s="24" t="s">
        <v>134</v>
      </c>
      <c r="B5" s="949"/>
      <c r="C5" s="949"/>
      <c r="D5" s="956"/>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3.2">
      <c r="A9" s="43"/>
      <c r="B9" s="43"/>
      <c r="C9" s="43"/>
      <c r="D9" s="43"/>
      <c r="E9" s="43"/>
      <c r="F9" s="43"/>
      <c r="G9" s="53"/>
      <c r="H9" s="56" t="s">
        <v>154</v>
      </c>
      <c r="I9" s="2488" t="s">
        <v>3334</v>
      </c>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3.2">
      <c r="A10" s="43"/>
      <c r="B10" s="43"/>
      <c r="C10" s="43"/>
      <c r="D10" s="43"/>
      <c r="E10" s="43"/>
      <c r="F10" s="43"/>
      <c r="G10" s="53"/>
      <c r="H10" s="60"/>
      <c r="I10" s="2488" t="s">
        <v>2736</v>
      </c>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3.2">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3.2">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3.2">
      <c r="A13" s="2484"/>
      <c r="B13" s="2484"/>
      <c r="C13" s="2484"/>
      <c r="D13" s="2485" t="s">
        <v>3335</v>
      </c>
      <c r="E13" s="25">
        <f t="shared" ref="E13:E20" si="6">IF($C$3="是",ROUND($A$3*G13/$B$3,2),ROUND($A$3*(G13-AT13)/$B$3,2))</f>
        <v>271.94</v>
      </c>
      <c r="F13" s="78"/>
      <c r="G13" s="79">
        <f t="shared" ref="G13:G20" si="7">H13+AC13+AT13</f>
        <v>543.88</v>
      </c>
      <c r="H13" s="31">
        <f t="shared" ref="H13:H20" si="8">SUMIF(I$12:AB$12,"总值",I13:AB13)</f>
        <v>543.88</v>
      </c>
      <c r="I13" s="2487">
        <v>543.88</v>
      </c>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4"/>
      <c r="B14" s="2484"/>
      <c r="C14" s="2486"/>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4"/>
      <c r="B15" s="2484"/>
      <c r="C15" s="2486"/>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4"/>
      <c r="B16" s="2484"/>
      <c r="C16" s="2486"/>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4"/>
      <c r="B17" s="2484"/>
      <c r="C17" s="2486"/>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5"/>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1"/>
      <c r="C19" s="1247"/>
      <c r="D19" s="2485"/>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1"/>
      <c r="C20" s="1247"/>
      <c r="D20" s="2485"/>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6"/>
      <c r="C21" s="1247"/>
      <c r="D21" s="2485"/>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6"/>
      <c r="C22" s="1247"/>
      <c r="D22" s="2485"/>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6"/>
      <c r="C23" s="1247"/>
      <c r="D23" s="2485"/>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6"/>
      <c r="C24" s="1247"/>
      <c r="D24" s="2485"/>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6"/>
      <c r="C25" s="1247"/>
      <c r="D25" s="2485"/>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6"/>
      <c r="C26" s="1247"/>
      <c r="D26" s="2485"/>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6"/>
      <c r="C27" s="1247"/>
      <c r="D27" s="2485"/>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6"/>
      <c r="C28" s="1247"/>
      <c r="D28" s="2485"/>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8"/>
      <c r="C29" s="1249"/>
      <c r="D29" s="2485"/>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6"/>
      <c r="C30" s="1247"/>
      <c r="D30" s="2485"/>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6"/>
      <c r="C31" s="1247"/>
      <c r="D31" s="2485"/>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6"/>
      <c r="C32" s="1247"/>
      <c r="D32" s="2485"/>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6"/>
      <c r="C33" s="1247"/>
      <c r="D33" s="2485"/>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6"/>
      <c r="C34" s="1247"/>
      <c r="D34" s="2485"/>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6"/>
      <c r="C35" s="1247"/>
      <c r="D35" s="2485"/>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6"/>
      <c r="C36" s="1247"/>
      <c r="D36" s="2485"/>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6"/>
      <c r="C37" s="1247"/>
      <c r="D37" s="2485"/>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6"/>
      <c r="C38" s="1247"/>
      <c r="D38" s="2485"/>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6"/>
      <c r="C39" s="1247"/>
      <c r="D39" s="2485"/>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6"/>
      <c r="C40" s="1247"/>
      <c r="D40" s="2485"/>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6"/>
      <c r="C41" s="1247"/>
      <c r="D41" s="2485"/>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6"/>
      <c r="C42" s="1247"/>
      <c r="D42" s="2485"/>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6"/>
      <c r="C43" s="1247"/>
      <c r="D43" s="2485"/>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6"/>
      <c r="C44" s="1247"/>
      <c r="D44" s="2485"/>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6"/>
      <c r="C45" s="1247"/>
      <c r="D45" s="2485"/>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6"/>
      <c r="C46" s="1247"/>
      <c r="D46" s="2485"/>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6"/>
      <c r="C47" s="1247"/>
      <c r="D47" s="2485"/>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6"/>
      <c r="C48" s="1247"/>
      <c r="D48" s="2485"/>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6"/>
      <c r="C49" s="1247"/>
      <c r="D49" s="2485"/>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6"/>
      <c r="C50" s="1247"/>
      <c r="D50" s="2485"/>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6"/>
      <c r="C51" s="1247"/>
      <c r="D51" s="2485"/>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6"/>
      <c r="C52" s="1247"/>
      <c r="D52" s="2485"/>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6"/>
      <c r="C53" s="1247"/>
      <c r="D53" s="2485"/>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6"/>
      <c r="C54" s="1247"/>
      <c r="D54" s="2485"/>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8"/>
      <c r="C55" s="1249"/>
      <c r="D55" s="2485"/>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6"/>
      <c r="C113" s="1247"/>
      <c r="D113" s="2485"/>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6"/>
      <c r="C114" s="1247"/>
      <c r="D114" s="2485"/>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6"/>
      <c r="C115" s="1247"/>
      <c r="D115" s="2485"/>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6"/>
      <c r="C116" s="1247"/>
      <c r="D116" s="2485"/>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6"/>
      <c r="C117" s="1247"/>
      <c r="D117" s="2485"/>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6"/>
      <c r="C118" s="1247"/>
      <c r="D118" s="2485"/>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6"/>
      <c r="C119" s="1247"/>
      <c r="D119" s="2485"/>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6"/>
      <c r="C120" s="1247"/>
      <c r="D120" s="2485"/>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8"/>
      <c r="C121" s="1249"/>
      <c r="D121" s="2485"/>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6"/>
      <c r="C122" s="1247"/>
      <c r="D122" s="2485"/>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6"/>
      <c r="C123" s="1247"/>
      <c r="D123" s="2485"/>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6"/>
      <c r="C124" s="1247"/>
      <c r="D124" s="2485"/>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6"/>
      <c r="C125" s="1247"/>
      <c r="D125" s="2485"/>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6"/>
      <c r="C126" s="1247"/>
      <c r="D126" s="2485"/>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6"/>
      <c r="C127" s="1247"/>
      <c r="D127" s="2485"/>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6"/>
      <c r="C128" s="1247"/>
      <c r="D128" s="2485"/>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6"/>
      <c r="C129" s="1247"/>
      <c r="D129" s="2485"/>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6"/>
      <c r="C130" s="1247"/>
      <c r="D130" s="2485"/>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6"/>
      <c r="C131" s="1247"/>
      <c r="D131" s="2485"/>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6"/>
      <c r="C132" s="1247"/>
      <c r="D132" s="2485"/>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6"/>
      <c r="C133" s="1247"/>
      <c r="D133" s="2485"/>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6"/>
      <c r="C134" s="1247"/>
      <c r="D134" s="2485"/>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6"/>
      <c r="C135" s="1247"/>
      <c r="D135" s="2485"/>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6"/>
      <c r="C136" s="1247"/>
      <c r="D136" s="2485"/>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6"/>
      <c r="C137" s="1247"/>
      <c r="D137" s="2485"/>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6"/>
      <c r="C138" s="1247"/>
      <c r="D138" s="2485"/>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6"/>
      <c r="C139" s="1247"/>
      <c r="D139" s="2485"/>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6"/>
      <c r="C140" s="1247"/>
      <c r="D140" s="2485"/>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6"/>
      <c r="C141" s="1247"/>
      <c r="D141" s="2485"/>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6"/>
      <c r="C142" s="1247"/>
      <c r="D142" s="2485"/>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6"/>
      <c r="C143" s="1247"/>
      <c r="D143" s="2485"/>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6"/>
      <c r="C144" s="1247"/>
      <c r="D144" s="2485"/>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6"/>
      <c r="C145" s="1247"/>
      <c r="D145" s="2485"/>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6"/>
      <c r="C146" s="1247"/>
      <c r="D146" s="2485"/>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8"/>
      <c r="C147" s="1249"/>
      <c r="D147" s="2485"/>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6"/>
      <c r="C205" s="1247"/>
      <c r="D205" s="2485"/>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6"/>
      <c r="C206" s="1247"/>
      <c r="D206" s="2485"/>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6"/>
      <c r="C207" s="1247"/>
      <c r="D207" s="2485"/>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6"/>
      <c r="C208" s="1247"/>
      <c r="D208" s="2485"/>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6"/>
      <c r="C209" s="1247"/>
      <c r="D209" s="2485"/>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6"/>
      <c r="C210" s="1247"/>
      <c r="D210" s="2485"/>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6"/>
      <c r="C211" s="1247"/>
      <c r="D211" s="2485"/>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6"/>
      <c r="C212" s="1247"/>
      <c r="D212" s="2485"/>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8"/>
      <c r="C213" s="1249"/>
      <c r="D213" s="2485"/>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6"/>
      <c r="C214" s="1247"/>
      <c r="D214" s="2485"/>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6"/>
      <c r="C215" s="1247"/>
      <c r="D215" s="2485"/>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6"/>
      <c r="C216" s="1247"/>
      <c r="D216" s="2485"/>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6"/>
      <c r="C217" s="1247"/>
      <c r="D217" s="2485"/>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6"/>
      <c r="C218" s="1247"/>
      <c r="D218" s="2485"/>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6"/>
      <c r="C219" s="1247"/>
      <c r="D219" s="2485"/>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6"/>
      <c r="C220" s="1247"/>
      <c r="D220" s="2485"/>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6"/>
      <c r="C221" s="1247"/>
      <c r="D221" s="2485"/>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6"/>
      <c r="C222" s="1247"/>
      <c r="D222" s="2485"/>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6"/>
      <c r="C223" s="1247"/>
      <c r="D223" s="2485"/>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6"/>
      <c r="C224" s="1247"/>
      <c r="D224" s="2485"/>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6"/>
      <c r="C225" s="1247"/>
      <c r="D225" s="2485"/>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6"/>
      <c r="C226" s="1247"/>
      <c r="D226" s="2485"/>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6"/>
      <c r="C227" s="1247"/>
      <c r="D227" s="2485"/>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6"/>
      <c r="C228" s="1247"/>
      <c r="D228" s="2485"/>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6"/>
      <c r="C229" s="1247"/>
      <c r="D229" s="2485"/>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6"/>
      <c r="C230" s="1247"/>
      <c r="D230" s="2485"/>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6"/>
      <c r="C231" s="1247"/>
      <c r="D231" s="2485"/>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6"/>
      <c r="C232" s="1247"/>
      <c r="D232" s="2485"/>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6"/>
      <c r="C233" s="1247"/>
      <c r="D233" s="2485"/>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6"/>
      <c r="C234" s="1247"/>
      <c r="D234" s="2485"/>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6"/>
      <c r="C235" s="1247"/>
      <c r="D235" s="2485"/>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6"/>
      <c r="C236" s="1247"/>
      <c r="D236" s="2485"/>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6"/>
      <c r="C237" s="1247"/>
      <c r="D237" s="2485"/>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6"/>
      <c r="C238" s="1247"/>
      <c r="D238" s="2485"/>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8"/>
      <c r="C239" s="1249"/>
      <c r="D239" s="2485"/>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6"/>
      <c r="C297" s="1247"/>
      <c r="D297" s="2485"/>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6"/>
      <c r="C298" s="1247"/>
      <c r="D298" s="2485"/>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6"/>
      <c r="C299" s="1247"/>
      <c r="D299" s="2485"/>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6"/>
      <c r="C300" s="1247"/>
      <c r="D300" s="2485"/>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6"/>
      <c r="C301" s="1247"/>
      <c r="D301" s="2485"/>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6"/>
      <c r="C302" s="1247"/>
      <c r="D302" s="2485"/>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6"/>
      <c r="C303" s="1247"/>
      <c r="D303" s="2485"/>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6"/>
      <c r="C304" s="1247"/>
      <c r="D304" s="2485"/>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8"/>
      <c r="C305" s="1249"/>
      <c r="D305" s="2485"/>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6"/>
      <c r="C306" s="1247"/>
      <c r="D306" s="2485"/>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6"/>
      <c r="C307" s="1247"/>
      <c r="D307" s="2485"/>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6"/>
      <c r="C308" s="1247"/>
      <c r="D308" s="2485"/>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6"/>
      <c r="C309" s="1247"/>
      <c r="D309" s="2485"/>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6"/>
      <c r="C310" s="1247"/>
      <c r="D310" s="2485"/>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6"/>
      <c r="C311" s="1247"/>
      <c r="D311" s="2485"/>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6"/>
      <c r="C312" s="1247"/>
      <c r="D312" s="2485"/>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6"/>
      <c r="C313" s="1247"/>
      <c r="D313" s="2485"/>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6"/>
      <c r="C314" s="1247"/>
      <c r="D314" s="2485"/>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6"/>
      <c r="C315" s="1247"/>
      <c r="D315" s="2485"/>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6"/>
      <c r="C316" s="1247"/>
      <c r="D316" s="2485"/>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6"/>
      <c r="C317" s="1247"/>
      <c r="D317" s="2485"/>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6"/>
      <c r="C318" s="1247"/>
      <c r="D318" s="2485"/>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6"/>
      <c r="C319" s="1247"/>
      <c r="D319" s="2485"/>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6"/>
      <c r="C320" s="1247"/>
      <c r="D320" s="2485"/>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6"/>
      <c r="C321" s="1247"/>
      <c r="D321" s="2485"/>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6"/>
      <c r="C322" s="1247"/>
      <c r="D322" s="2485"/>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6"/>
      <c r="C323" s="1247"/>
      <c r="D323" s="2485"/>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6"/>
      <c r="C324" s="1247"/>
      <c r="D324" s="2485"/>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6"/>
      <c r="C325" s="1247"/>
      <c r="D325" s="2485"/>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6"/>
      <c r="C326" s="1247"/>
      <c r="D326" s="2485"/>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6"/>
      <c r="C327" s="1247"/>
      <c r="D327" s="2485"/>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6"/>
      <c r="C328" s="1247"/>
      <c r="D328" s="2485"/>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6"/>
      <c r="C329" s="1247"/>
      <c r="D329" s="2485"/>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6"/>
      <c r="C330" s="1247"/>
      <c r="D330" s="2485"/>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8"/>
      <c r="C331" s="1249"/>
      <c r="D331" s="2485"/>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6"/>
      <c r="C389" s="1247"/>
      <c r="D389" s="2485"/>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6"/>
      <c r="C390" s="1247"/>
      <c r="D390" s="2485"/>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6"/>
      <c r="C391" s="1247"/>
      <c r="D391" s="2485"/>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6"/>
      <c r="C392" s="1247"/>
      <c r="D392" s="2485"/>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6"/>
      <c r="C393" s="1247"/>
      <c r="D393" s="2485"/>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6"/>
      <c r="C394" s="1247"/>
      <c r="D394" s="2485"/>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6"/>
      <c r="C395" s="1247"/>
      <c r="D395" s="2485"/>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6"/>
      <c r="C396" s="1247"/>
      <c r="D396" s="2485"/>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8"/>
      <c r="C397" s="1249"/>
      <c r="D397" s="2485"/>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6"/>
      <c r="C398" s="1247"/>
      <c r="D398" s="2485"/>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6"/>
      <c r="C399" s="1247"/>
      <c r="D399" s="2485"/>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6"/>
      <c r="C400" s="1247"/>
      <c r="D400" s="2485"/>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6"/>
      <c r="C401" s="1247"/>
      <c r="D401" s="2485"/>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6"/>
      <c r="C402" s="1247"/>
      <c r="D402" s="2485"/>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6"/>
      <c r="C403" s="1247"/>
      <c r="D403" s="2485"/>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6"/>
      <c r="C404" s="1247"/>
      <c r="D404" s="2485"/>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6"/>
      <c r="C405" s="1247"/>
      <c r="D405" s="2485"/>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6"/>
      <c r="C406" s="1247"/>
      <c r="D406" s="2485"/>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6"/>
      <c r="C407" s="1247"/>
      <c r="D407" s="2485"/>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6"/>
      <c r="C408" s="1247"/>
      <c r="D408" s="2485"/>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6"/>
      <c r="C409" s="1247"/>
      <c r="D409" s="2485"/>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6"/>
      <c r="C410" s="1247"/>
      <c r="D410" s="2485"/>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6"/>
      <c r="C411" s="1247"/>
      <c r="D411" s="2485"/>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6"/>
      <c r="C412" s="1247"/>
      <c r="D412" s="2485"/>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6"/>
      <c r="C413" s="1247"/>
      <c r="D413" s="2485"/>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6"/>
      <c r="C414" s="1247"/>
      <c r="D414" s="2485"/>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6"/>
      <c r="C415" s="1247"/>
      <c r="D415" s="2485"/>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6"/>
      <c r="C416" s="1247"/>
      <c r="D416" s="2485"/>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6"/>
      <c r="C417" s="1247"/>
      <c r="D417" s="2485"/>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6"/>
      <c r="C418" s="1247"/>
      <c r="D418" s="2485"/>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6"/>
      <c r="C419" s="1247"/>
      <c r="D419" s="2485"/>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6"/>
      <c r="C420" s="1247"/>
      <c r="D420" s="2485"/>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6"/>
      <c r="C421" s="1247"/>
      <c r="D421" s="2485"/>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6"/>
      <c r="C422" s="1247"/>
      <c r="D422" s="2485"/>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8"/>
      <c r="C423" s="1249"/>
      <c r="D423" s="2485"/>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6"/>
      <c r="C481" s="1247"/>
      <c r="D481" s="2485"/>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6"/>
      <c r="C482" s="1247"/>
      <c r="D482" s="2485"/>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6"/>
      <c r="C483" s="1247"/>
      <c r="D483" s="2485"/>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6"/>
      <c r="C484" s="1247"/>
      <c r="D484" s="2485"/>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6"/>
      <c r="C485" s="1247"/>
      <c r="D485" s="2485"/>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6"/>
      <c r="C486" s="1247"/>
      <c r="D486" s="2485"/>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6"/>
      <c r="C487" s="1247"/>
      <c r="D487" s="2485"/>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6"/>
      <c r="C488" s="1247"/>
      <c r="D488" s="2485"/>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8"/>
      <c r="C489" s="1249"/>
      <c r="D489" s="2485"/>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6"/>
      <c r="C490" s="1247"/>
      <c r="D490" s="2485"/>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6"/>
      <c r="C491" s="1247"/>
      <c r="D491" s="2485"/>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6"/>
      <c r="C492" s="1247"/>
      <c r="D492" s="2485"/>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6"/>
      <c r="C493" s="1247"/>
      <c r="D493" s="2485"/>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6"/>
      <c r="C494" s="1247"/>
      <c r="D494" s="2485"/>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6"/>
      <c r="C495" s="1247"/>
      <c r="D495" s="2485"/>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6"/>
      <c r="C496" s="1247"/>
      <c r="D496" s="2485"/>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6"/>
      <c r="C497" s="1247"/>
      <c r="D497" s="2485"/>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6"/>
      <c r="C498" s="1247"/>
      <c r="D498" s="2485"/>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6"/>
      <c r="C499" s="1247"/>
      <c r="D499" s="2485"/>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6"/>
      <c r="C500" s="1247"/>
      <c r="D500" s="2485"/>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6"/>
      <c r="C501" s="1247"/>
      <c r="D501" s="2485"/>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6"/>
      <c r="C502" s="1247"/>
      <c r="D502" s="2485"/>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6"/>
      <c r="C503" s="1247"/>
      <c r="D503" s="2485"/>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6"/>
      <c r="C504" s="1247"/>
      <c r="D504" s="2485"/>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6"/>
      <c r="C505" s="1247"/>
      <c r="D505" s="2485"/>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6"/>
      <c r="C506" s="1247"/>
      <c r="D506" s="2485"/>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6"/>
      <c r="C507" s="1247"/>
      <c r="D507" s="2485"/>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6"/>
      <c r="C508" s="1247"/>
      <c r="D508" s="2485"/>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6"/>
      <c r="C509" s="1247"/>
      <c r="D509" s="2485"/>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6"/>
      <c r="C510" s="1247"/>
      <c r="D510" s="2485"/>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6"/>
      <c r="C511" s="1247"/>
      <c r="D511" s="2485"/>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6"/>
      <c r="C512" s="1247"/>
      <c r="D512" s="2485"/>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6"/>
      <c r="C513" s="1247"/>
      <c r="D513" s="2485"/>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6"/>
      <c r="C514" s="1247"/>
      <c r="D514" s="2485"/>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8"/>
      <c r="C515" s="1249"/>
      <c r="D515" s="2485"/>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737" customWidth="1"/>
    <col min="2" max="2" width="10.21875" style="1737" customWidth="1"/>
    <col min="3" max="3" width="18.44140625" style="1737" customWidth="1"/>
    <col min="4" max="4" width="11.109375" style="1737" customWidth="1"/>
    <col min="5" max="5" width="13.33203125" style="1737" customWidth="1"/>
    <col min="6" max="8" width="11.44140625" style="1737" customWidth="1"/>
    <col min="9" max="9" width="10.33203125" style="1737" customWidth="1"/>
    <col min="10" max="10" width="3.109375" style="1737" customWidth="1"/>
    <col min="11" max="16" width="11.6640625" style="1737" customWidth="1"/>
    <col min="17" max="17" width="3.33203125" style="1737" customWidth="1"/>
    <col min="18" max="16384" width="9.21875" style="1737"/>
  </cols>
  <sheetData>
    <row r="1" spans="1:16" ht="17.399999999999999">
      <c r="A1" s="100" t="s">
        <v>168</v>
      </c>
      <c r="B1" s="1736"/>
      <c r="C1" s="1736"/>
      <c r="D1" s="1736"/>
      <c r="E1" s="1736"/>
      <c r="F1" s="1736"/>
      <c r="G1" s="1736"/>
      <c r="H1" s="1736"/>
      <c r="I1" s="1736"/>
      <c r="J1" s="1736"/>
      <c r="K1" s="1736"/>
      <c r="L1" s="1736"/>
      <c r="M1" s="1736"/>
      <c r="N1" s="1736"/>
      <c r="O1" s="1736"/>
      <c r="P1" s="1736"/>
    </row>
    <row r="2" spans="1:16" ht="14.4">
      <c r="A2" s="3794" t="s">
        <v>169</v>
      </c>
      <c r="B2" s="3794"/>
      <c r="C2" s="3794"/>
      <c r="D2" s="1727" t="s">
        <v>170</v>
      </c>
      <c r="E2" s="102" t="s">
        <v>171</v>
      </c>
      <c r="F2" s="2822"/>
      <c r="G2" s="1094"/>
      <c r="H2" s="1095"/>
      <c r="I2" s="1096" t="s">
        <v>795</v>
      </c>
      <c r="J2" s="2822"/>
      <c r="K2" s="2822"/>
      <c r="L2" s="2822"/>
      <c r="M2" s="2822"/>
      <c r="N2" s="2822"/>
      <c r="O2" s="2822"/>
      <c r="P2" s="2822"/>
    </row>
    <row r="3" spans="1:16" ht="15" thickBot="1">
      <c r="A3" s="3795" t="s">
        <v>172</v>
      </c>
      <c r="B3" s="3795"/>
      <c r="C3" s="3795"/>
      <c r="D3" s="103">
        <f>'数据-基础表'!AY6</f>
        <v>271.94</v>
      </c>
      <c r="E3" s="103">
        <f>'数据-基础表'!AZ5</f>
        <v>543.88</v>
      </c>
      <c r="F3" s="2822"/>
      <c r="G3" s="271" t="s">
        <v>796</v>
      </c>
      <c r="H3" s="266" t="s">
        <v>797</v>
      </c>
      <c r="I3" s="1728">
        <f>ROUND('数据-基础表'!B3/'数据-基础表'!A3,2)</f>
        <v>2</v>
      </c>
      <c r="J3" s="2822"/>
      <c r="K3" s="2822"/>
      <c r="L3" s="2822"/>
      <c r="M3" s="2822"/>
      <c r="N3" s="2822"/>
      <c r="O3" s="2822"/>
      <c r="P3" s="2822"/>
    </row>
    <row r="4" spans="1:16" ht="14.4">
      <c r="A4" s="3796"/>
      <c r="B4" s="3797"/>
      <c r="C4" s="3798"/>
      <c r="D4" s="104" t="s">
        <v>170</v>
      </c>
      <c r="E4" s="105" t="s">
        <v>171</v>
      </c>
      <c r="F4" s="2822"/>
      <c r="G4" s="1097"/>
      <c r="H4" s="266" t="s">
        <v>798</v>
      </c>
      <c r="I4" s="1728">
        <f>ROUND(SUMIF('数据-基础表'!I9:AS9,"地上",'数据-基础表'!I5:AS5)/'数据-基础表'!A3,2)</f>
        <v>2</v>
      </c>
      <c r="J4" s="2822"/>
      <c r="K4" s="2822"/>
      <c r="L4" s="2822"/>
      <c r="M4" s="2822"/>
      <c r="N4" s="2822"/>
      <c r="O4" s="2822"/>
      <c r="P4" s="2822"/>
    </row>
    <row r="5" spans="1:16" ht="14.4">
      <c r="A5" s="106" t="s">
        <v>173</v>
      </c>
      <c r="B5" s="3799" t="s">
        <v>196</v>
      </c>
      <c r="C5" s="3799"/>
      <c r="D5" s="107">
        <f>ROUND($D$3*E5/$E$3,2)</f>
        <v>0</v>
      </c>
      <c r="E5" s="108">
        <f>SUMIF('数据-基础表'!$11:$11,"住宅",'数据-基础表'!$5:$5)</f>
        <v>0</v>
      </c>
      <c r="F5" s="2822"/>
      <c r="G5" s="271" t="s">
        <v>799</v>
      </c>
      <c r="H5" s="266" t="s">
        <v>797</v>
      </c>
      <c r="I5" s="1728">
        <f>ROUND(E31/D31,2)</f>
        <v>2</v>
      </c>
      <c r="J5" s="2822"/>
      <c r="K5" s="2822"/>
      <c r="L5" s="2822"/>
      <c r="M5" s="2822"/>
      <c r="N5" s="2822"/>
      <c r="O5" s="2822"/>
      <c r="P5" s="2822"/>
    </row>
    <row r="6" spans="1:16" ht="15" thickBot="1">
      <c r="A6" s="109"/>
      <c r="B6" s="3799" t="s">
        <v>174</v>
      </c>
      <c r="C6" s="3799"/>
      <c r="D6" s="107">
        <f>ROUND($D$3*E6/$E$3,2)</f>
        <v>271.94</v>
      </c>
      <c r="E6" s="108">
        <f>E3-E5</f>
        <v>543.88</v>
      </c>
      <c r="F6" s="2822"/>
      <c r="G6" s="1097"/>
      <c r="H6" s="266" t="s">
        <v>798</v>
      </c>
      <c r="I6" s="1728">
        <f>ROUND(F31/D31,2)</f>
        <v>2</v>
      </c>
      <c r="J6" s="2822"/>
      <c r="K6" s="2822"/>
      <c r="L6" s="2822"/>
      <c r="M6" s="2822"/>
      <c r="N6" s="2822"/>
      <c r="O6" s="2822"/>
      <c r="P6" s="2822"/>
    </row>
    <row r="7" spans="1:16" ht="14.4">
      <c r="A7" s="3791"/>
      <c r="B7" s="3792"/>
      <c r="C7" s="3793"/>
      <c r="D7" s="104" t="s">
        <v>170</v>
      </c>
      <c r="E7" s="110" t="s">
        <v>197</v>
      </c>
      <c r="F7" s="2822"/>
      <c r="G7" s="1053" t="s">
        <v>1180</v>
      </c>
      <c r="H7" s="1054"/>
      <c r="I7" s="1629">
        <f>基准地价!C21</f>
        <v>2</v>
      </c>
      <c r="J7" s="2822"/>
      <c r="K7" s="2822"/>
      <c r="L7" s="2822"/>
      <c r="M7" s="2822"/>
      <c r="N7" s="2822"/>
      <c r="O7" s="2822"/>
      <c r="P7" s="2822"/>
    </row>
    <row r="8" spans="1:16" ht="14.4">
      <c r="A8" s="106" t="s">
        <v>175</v>
      </c>
      <c r="B8" s="111" t="s">
        <v>176</v>
      </c>
      <c r="C8" s="107" t="s">
        <v>177</v>
      </c>
      <c r="D8" s="107">
        <f t="shared" ref="D8:D15" si="0">ROUND($D$3*E8/$E$3,2)</f>
        <v>271.94</v>
      </c>
      <c r="E8" s="112">
        <f>SUMIF('数据-基础表'!BB10:BK10,"地上",'数据-基础表'!BB5:BK5)</f>
        <v>543.88</v>
      </c>
      <c r="F8" s="2822"/>
      <c r="G8" s="2823"/>
      <c r="H8" s="2823"/>
      <c r="I8" s="2822"/>
      <c r="J8" s="2822"/>
      <c r="K8" s="2822"/>
      <c r="L8" s="2822"/>
      <c r="M8" s="2822"/>
      <c r="N8" s="2822"/>
      <c r="O8" s="2822"/>
      <c r="P8" s="2822"/>
    </row>
    <row r="9" spans="1:16" ht="14.4">
      <c r="A9" s="113"/>
      <c r="B9" s="114"/>
      <c r="C9" s="107" t="s">
        <v>178</v>
      </c>
      <c r="D9" s="107">
        <f t="shared" si="0"/>
        <v>0</v>
      </c>
      <c r="E9" s="115">
        <v>0</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7"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ht="14.4">
      <c r="A13" s="113"/>
      <c r="B13" s="114"/>
      <c r="C13" s="2047"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271.94</v>
      </c>
      <c r="E16" s="116">
        <f>SUM(E8:E15)</f>
        <v>543.88</v>
      </c>
      <c r="F16" s="2822"/>
      <c r="G16" s="2823"/>
      <c r="H16" s="928" t="s">
        <v>185</v>
      </c>
      <c r="I16" s="929"/>
      <c r="J16" s="1736"/>
      <c r="K16" s="3785" t="s">
        <v>1849</v>
      </c>
      <c r="L16" s="3786"/>
      <c r="M16" s="3786"/>
      <c r="N16" s="3786"/>
      <c r="O16" s="3786"/>
      <c r="P16" s="3787"/>
    </row>
    <row r="17" spans="1:19" ht="14.4">
      <c r="A17" s="117" t="s">
        <v>182</v>
      </c>
      <c r="B17" s="118" t="s">
        <v>183</v>
      </c>
      <c r="C17" s="2014" t="s">
        <v>1670</v>
      </c>
      <c r="D17" s="104" t="s">
        <v>170</v>
      </c>
      <c r="E17" s="120" t="s">
        <v>171</v>
      </c>
      <c r="F17" s="121"/>
      <c r="G17" s="1223"/>
      <c r="H17" s="930" t="s">
        <v>184</v>
      </c>
      <c r="I17" s="931" t="s">
        <v>1669</v>
      </c>
      <c r="J17" s="1736"/>
      <c r="K17" s="3788" t="s">
        <v>1850</v>
      </c>
      <c r="L17" s="3789"/>
      <c r="M17" s="3790"/>
      <c r="N17" s="3788" t="s">
        <v>1851</v>
      </c>
      <c r="O17" s="3789"/>
      <c r="P17" s="3790"/>
      <c r="R17" s="2015" t="s">
        <v>1668</v>
      </c>
      <c r="S17" s="137"/>
    </row>
    <row r="18" spans="1:19" ht="14.4">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ht="14.4">
      <c r="A19" s="129"/>
      <c r="B19" s="111" t="s">
        <v>191</v>
      </c>
      <c r="C19" s="2494" t="str">
        <f>'数据-基础表'!I10</f>
        <v>公共服务</v>
      </c>
      <c r="D19" s="107">
        <f t="shared" ref="D19:D26" si="1">ROUND($D$3*E19/$E$3,2)</f>
        <v>271.94</v>
      </c>
      <c r="E19" s="130">
        <f t="shared" ref="E19:E26" si="2">SUM(F19:G19)</f>
        <v>543.88</v>
      </c>
      <c r="F19" s="2824">
        <f>'数据-基础表'!I13</f>
        <v>543.88</v>
      </c>
      <c r="G19" s="2825"/>
      <c r="H19" s="934">
        <f>ROUND($D$3*I19/$E$3,2)</f>
        <v>0</v>
      </c>
      <c r="I19" s="112">
        <f>IF($I$17="自定义",P19,M19)</f>
        <v>0</v>
      </c>
      <c r="J19" s="1736"/>
      <c r="K19" s="2212">
        <f t="shared" ref="K19:K26" si="3">ROUND(E$28*E19/E$27,2)</f>
        <v>0</v>
      </c>
      <c r="L19" s="266">
        <f t="shared" ref="L19:L26" si="4">ROUND(IF(COUNTIF(C19,"*住宅*")&gt;0,E$29*E19/E$32,0),2)</f>
        <v>0</v>
      </c>
      <c r="M19" s="2213">
        <f>K19+L19</f>
        <v>0</v>
      </c>
      <c r="N19" s="2214"/>
      <c r="O19" s="2215"/>
      <c r="P19" s="2216">
        <f>N19+O19</f>
        <v>0</v>
      </c>
      <c r="R19" s="266">
        <f t="shared" ref="R19:S26" si="5">D19+H19</f>
        <v>271.94</v>
      </c>
      <c r="S19" s="2017">
        <f t="shared" si="5"/>
        <v>543.88</v>
      </c>
    </row>
    <row r="20" spans="1:19" ht="14.4">
      <c r="A20" s="133"/>
      <c r="B20" s="111" t="s">
        <v>192</v>
      </c>
      <c r="C20" s="2494"/>
      <c r="D20" s="107">
        <f t="shared" si="1"/>
        <v>0</v>
      </c>
      <c r="E20" s="130">
        <f t="shared" si="2"/>
        <v>0</v>
      </c>
      <c r="F20" s="2824"/>
      <c r="G20" s="2825"/>
      <c r="H20" s="934">
        <f t="shared" ref="H20:H26" si="6">ROUND($D$3*I20/$E$3,2)</f>
        <v>0</v>
      </c>
      <c r="I20" s="112">
        <f t="shared" ref="I20:I26" si="7">IF($I$17="自定义",P20,M20)</f>
        <v>0</v>
      </c>
      <c r="J20" s="1736"/>
      <c r="K20" s="2212">
        <f t="shared" si="3"/>
        <v>0</v>
      </c>
      <c r="L20" s="266">
        <f t="shared" si="4"/>
        <v>0</v>
      </c>
      <c r="M20" s="2213">
        <f t="shared" ref="M20:M26" si="8">K20+L20</f>
        <v>0</v>
      </c>
      <c r="N20" s="2214"/>
      <c r="O20" s="2215"/>
      <c r="P20" s="2216">
        <f t="shared" ref="P20:P26" si="9">N20+O20</f>
        <v>0</v>
      </c>
      <c r="R20" s="266">
        <f t="shared" si="5"/>
        <v>0</v>
      </c>
      <c r="S20" s="2017">
        <f t="shared" si="5"/>
        <v>0</v>
      </c>
    </row>
    <row r="21" spans="1:19" ht="14.4">
      <c r="A21" s="133"/>
      <c r="B21" s="111" t="s">
        <v>192</v>
      </c>
      <c r="C21" s="2494"/>
      <c r="D21" s="107">
        <f t="shared" si="1"/>
        <v>0</v>
      </c>
      <c r="E21" s="130">
        <f t="shared" si="2"/>
        <v>0</v>
      </c>
      <c r="F21" s="2824"/>
      <c r="G21" s="2825"/>
      <c r="H21" s="934">
        <f t="shared" si="6"/>
        <v>0</v>
      </c>
      <c r="I21" s="112">
        <f t="shared" si="7"/>
        <v>0</v>
      </c>
      <c r="J21" s="1736"/>
      <c r="K21" s="2212">
        <f t="shared" si="3"/>
        <v>0</v>
      </c>
      <c r="L21" s="266">
        <f t="shared" si="4"/>
        <v>0</v>
      </c>
      <c r="M21" s="2213">
        <f t="shared" si="8"/>
        <v>0</v>
      </c>
      <c r="N21" s="2214"/>
      <c r="O21" s="2215"/>
      <c r="P21" s="2216">
        <f t="shared" si="9"/>
        <v>0</v>
      </c>
      <c r="R21" s="266">
        <f t="shared" si="5"/>
        <v>0</v>
      </c>
      <c r="S21" s="2017">
        <f t="shared" si="5"/>
        <v>0</v>
      </c>
    </row>
    <row r="22" spans="1:19" ht="14.4">
      <c r="A22" s="133"/>
      <c r="B22" s="111" t="s">
        <v>192</v>
      </c>
      <c r="C22" s="3333"/>
      <c r="D22" s="107">
        <f t="shared" si="1"/>
        <v>0</v>
      </c>
      <c r="E22" s="130">
        <f t="shared" si="2"/>
        <v>0</v>
      </c>
      <c r="F22" s="2826"/>
      <c r="G22" s="2827"/>
      <c r="H22" s="934">
        <f t="shared" si="6"/>
        <v>0</v>
      </c>
      <c r="I22" s="112">
        <f t="shared" si="7"/>
        <v>0</v>
      </c>
      <c r="J22" s="1736"/>
      <c r="K22" s="2212">
        <f t="shared" si="3"/>
        <v>0</v>
      </c>
      <c r="L22" s="266">
        <f t="shared" si="4"/>
        <v>0</v>
      </c>
      <c r="M22" s="2213">
        <f t="shared" si="8"/>
        <v>0</v>
      </c>
      <c r="N22" s="2214"/>
      <c r="O22" s="2215"/>
      <c r="P22" s="2216">
        <f t="shared" si="9"/>
        <v>0</v>
      </c>
      <c r="R22" s="266">
        <f t="shared" si="5"/>
        <v>0</v>
      </c>
      <c r="S22" s="2017">
        <f t="shared" si="5"/>
        <v>0</v>
      </c>
    </row>
    <row r="23" spans="1:19" ht="14.4">
      <c r="A23" s="133"/>
      <c r="B23" s="111" t="s">
        <v>192</v>
      </c>
      <c r="C23" s="3333"/>
      <c r="D23" s="107">
        <f>ROUND($D$3*E23/$E$3,2)</f>
        <v>0</v>
      </c>
      <c r="E23" s="130">
        <f>SUM(F23:G23)</f>
        <v>0</v>
      </c>
      <c r="F23" s="2826"/>
      <c r="G23" s="2827"/>
      <c r="H23" s="934">
        <f>ROUND($D$3*I23/$E$3,2)</f>
        <v>0</v>
      </c>
      <c r="I23" s="112">
        <f t="shared" si="7"/>
        <v>0</v>
      </c>
      <c r="J23" s="1736"/>
      <c r="K23" s="2212">
        <f t="shared" si="3"/>
        <v>0</v>
      </c>
      <c r="L23" s="266">
        <f t="shared" si="4"/>
        <v>0</v>
      </c>
      <c r="M23" s="2213">
        <f t="shared" si="8"/>
        <v>0</v>
      </c>
      <c r="N23" s="2214"/>
      <c r="O23" s="2215"/>
      <c r="P23" s="2216">
        <f t="shared" si="9"/>
        <v>0</v>
      </c>
      <c r="R23" s="266">
        <f t="shared" si="5"/>
        <v>0</v>
      </c>
      <c r="S23" s="2017">
        <f t="shared" si="5"/>
        <v>0</v>
      </c>
    </row>
    <row r="24" spans="1:19" ht="14.4">
      <c r="A24" s="133"/>
      <c r="B24" s="111" t="s">
        <v>192</v>
      </c>
      <c r="C24" s="3333"/>
      <c r="D24" s="107">
        <f>ROUND($D$3*E24/$E$3,2)</f>
        <v>0</v>
      </c>
      <c r="E24" s="130">
        <f>SUM(F24:G24)</f>
        <v>0</v>
      </c>
      <c r="F24" s="2826"/>
      <c r="G24" s="2827"/>
      <c r="H24" s="934">
        <f>ROUND($D$3*I24/$E$3,2)</f>
        <v>0</v>
      </c>
      <c r="I24" s="112">
        <f t="shared" si="7"/>
        <v>0</v>
      </c>
      <c r="J24" s="1736"/>
      <c r="K24" s="2212">
        <f t="shared" si="3"/>
        <v>0</v>
      </c>
      <c r="L24" s="266">
        <f t="shared" si="4"/>
        <v>0</v>
      </c>
      <c r="M24" s="2213">
        <f t="shared" si="8"/>
        <v>0</v>
      </c>
      <c r="N24" s="2214"/>
      <c r="O24" s="2215"/>
      <c r="P24" s="2216">
        <f t="shared" si="9"/>
        <v>0</v>
      </c>
      <c r="R24" s="266">
        <f t="shared" si="5"/>
        <v>0</v>
      </c>
      <c r="S24" s="2017">
        <f t="shared" si="5"/>
        <v>0</v>
      </c>
    </row>
    <row r="25" spans="1:19" ht="14.4">
      <c r="A25" s="133"/>
      <c r="B25" s="111" t="s">
        <v>192</v>
      </c>
      <c r="C25" s="3333"/>
      <c r="D25" s="107">
        <f t="shared" si="1"/>
        <v>0</v>
      </c>
      <c r="E25" s="130">
        <f t="shared" si="2"/>
        <v>0</v>
      </c>
      <c r="F25" s="2826"/>
      <c r="G25" s="2827"/>
      <c r="H25" s="106">
        <f t="shared" si="6"/>
        <v>0</v>
      </c>
      <c r="I25" s="112">
        <f t="shared" si="7"/>
        <v>0</v>
      </c>
      <c r="J25" s="1736"/>
      <c r="K25" s="2212">
        <f t="shared" si="3"/>
        <v>0</v>
      </c>
      <c r="L25" s="266">
        <f t="shared" si="4"/>
        <v>0</v>
      </c>
      <c r="M25" s="2213">
        <f t="shared" si="8"/>
        <v>0</v>
      </c>
      <c r="N25" s="2214"/>
      <c r="O25" s="2215"/>
      <c r="P25" s="2216">
        <f t="shared" si="9"/>
        <v>0</v>
      </c>
      <c r="R25" s="266">
        <f t="shared" si="5"/>
        <v>0</v>
      </c>
      <c r="S25" s="2017">
        <f t="shared" si="5"/>
        <v>0</v>
      </c>
    </row>
    <row r="26" spans="1:19" ht="14.4">
      <c r="A26" s="133"/>
      <c r="B26" s="111" t="s">
        <v>192</v>
      </c>
      <c r="C26" s="135"/>
      <c r="D26" s="107">
        <f t="shared" si="1"/>
        <v>0</v>
      </c>
      <c r="E26" s="130">
        <f t="shared" si="2"/>
        <v>0</v>
      </c>
      <c r="F26" s="2826"/>
      <c r="G26" s="2827"/>
      <c r="H26" s="106">
        <f t="shared" si="6"/>
        <v>0</v>
      </c>
      <c r="I26" s="112">
        <f t="shared" si="7"/>
        <v>0</v>
      </c>
      <c r="J26" s="1736"/>
      <c r="K26" s="2217">
        <f t="shared" si="3"/>
        <v>0</v>
      </c>
      <c r="L26" s="271">
        <f t="shared" si="4"/>
        <v>0</v>
      </c>
      <c r="M26" s="139">
        <f t="shared" si="8"/>
        <v>0</v>
      </c>
      <c r="N26" s="2218"/>
      <c r="O26" s="2219"/>
      <c r="P26" s="2220">
        <f t="shared" si="9"/>
        <v>0</v>
      </c>
      <c r="R26" s="266">
        <f t="shared" si="5"/>
        <v>0</v>
      </c>
      <c r="S26" s="2017">
        <f t="shared" si="5"/>
        <v>0</v>
      </c>
    </row>
    <row r="27" spans="1:19" ht="15" thickBot="1">
      <c r="A27" s="133"/>
      <c r="B27" s="107"/>
      <c r="C27" s="123" t="s">
        <v>181</v>
      </c>
      <c r="D27" s="130">
        <f>SUM(D19:D26)</f>
        <v>271.94</v>
      </c>
      <c r="E27" s="136">
        <f>IF(SUM(E19:E26)='数据-基础表'!BA5,SUM(E19:E26),IF(F27="地上面积有误","面积有误","地下面积有误"))</f>
        <v>543.88</v>
      </c>
      <c r="F27" s="130">
        <f>IF(SUM(F19:F26)=E8,SUM(F19:F26),"地上面积有误")</f>
        <v>543.88</v>
      </c>
      <c r="G27" s="108">
        <f>SUM(G19:G26)</f>
        <v>0</v>
      </c>
      <c r="H27" s="935">
        <f>SUM(H19:H26)</f>
        <v>0</v>
      </c>
      <c r="I27" s="936">
        <f>SUM(I19:I26)</f>
        <v>0</v>
      </c>
      <c r="J27" s="1736"/>
      <c r="K27" s="2221">
        <f t="shared" ref="K27:P27" si="10">SUM(K19:K26)</f>
        <v>0</v>
      </c>
      <c r="L27" s="2222">
        <f t="shared" si="10"/>
        <v>0</v>
      </c>
      <c r="M27" s="2223">
        <f t="shared" si="10"/>
        <v>0</v>
      </c>
      <c r="N27" s="2221">
        <f t="shared" si="10"/>
        <v>0</v>
      </c>
      <c r="O27" s="2222">
        <f t="shared" si="10"/>
        <v>0</v>
      </c>
      <c r="P27" s="2224">
        <f t="shared" si="10"/>
        <v>0</v>
      </c>
      <c r="R27" s="2021">
        <f>IF(SUM(R19:R26)=$D$3,SUM(R19:R26),SUM(R19:R26)&amp;"误差"&amp;ROUND(SUM(R19:R26)-$D$3,2))</f>
        <v>271.94</v>
      </c>
      <c r="S27" s="266">
        <f>IF(SUM(S19:S26)=$E$3,SUM(S19:S26),SUM(S19:S26)&amp;"误差"&amp;ROUND(SUM(S19:S26)-E3,2))</f>
        <v>543.88</v>
      </c>
    </row>
    <row r="28" spans="1:19" ht="14.4">
      <c r="A28" s="133"/>
      <c r="B28" s="111" t="s">
        <v>193</v>
      </c>
      <c r="C28" s="131" t="s">
        <v>194</v>
      </c>
      <c r="D28" s="107">
        <f>ROUND($D$3*E28/$E$3,2)</f>
        <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ht="14.4">
      <c r="A29" s="133"/>
      <c r="B29" s="111" t="s">
        <v>193</v>
      </c>
      <c r="C29" s="2029" t="s">
        <v>1677</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ht="14.4">
      <c r="A30" s="133"/>
      <c r="B30" s="107"/>
      <c r="C30" s="140" t="s">
        <v>181</v>
      </c>
      <c r="D30" s="130">
        <f>SUM(D28:D29)</f>
        <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f>D27+D30</f>
        <v>271.94</v>
      </c>
      <c r="E31" s="1227">
        <f>E27+E30</f>
        <v>543.88</v>
      </c>
      <c r="F31" s="1228">
        <f>F27+F30</f>
        <v>543.88</v>
      </c>
      <c r="G31" s="1229">
        <f>G27+G30</f>
        <v>0</v>
      </c>
      <c r="H31" s="2822"/>
      <c r="I31" s="2822"/>
      <c r="J31" s="2822"/>
      <c r="K31" s="2822"/>
      <c r="L31" s="2822"/>
      <c r="M31" s="2822"/>
      <c r="N31" s="2822"/>
      <c r="O31" s="2822"/>
      <c r="P31" s="2822"/>
    </row>
    <row r="32" spans="1:19" ht="14.4">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Y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112" customWidth="1"/>
    <col min="2" max="3" width="12" style="1099" customWidth="1"/>
    <col min="4" max="4" width="9.109375" style="1113" customWidth="1"/>
    <col min="5" max="5" width="15" style="1099" bestFit="1" customWidth="1"/>
    <col min="6" max="10" width="8.88671875" style="1099" customWidth="1"/>
    <col min="11" max="12" width="12.33203125" style="1114" customWidth="1"/>
    <col min="13" max="13" width="8.6640625" style="1099" customWidth="1"/>
    <col min="14" max="14" width="9.77734375" style="1099" customWidth="1"/>
    <col min="15" max="16" width="9.6640625" style="1099" customWidth="1"/>
    <col min="17" max="17" width="10.88671875" style="1099" customWidth="1"/>
    <col min="18" max="19" width="12.44140625" style="1099" customWidth="1"/>
    <col min="20" max="20" width="12.109375" style="1099" customWidth="1"/>
    <col min="21" max="21" width="7.44140625" style="1099" customWidth="1"/>
    <col min="22" max="22" width="6.33203125" style="1099" customWidth="1"/>
    <col min="23" max="24" width="6.77734375" style="1099" customWidth="1"/>
    <col min="25" max="25" width="8.109375" style="1099" customWidth="1"/>
    <col min="26" max="30" width="6.77734375" style="1099" customWidth="1"/>
    <col min="31" max="31" width="6.44140625" style="1099" customWidth="1"/>
    <col min="32" max="34" width="7.21875" style="1099" customWidth="1"/>
    <col min="35" max="39" width="8" style="1099" customWidth="1"/>
    <col min="40" max="41" width="13.77734375" style="1746"/>
    <col min="42" max="42" width="13.77734375" style="1746" customWidth="1"/>
    <col min="43" max="83" width="13.77734375" style="1746"/>
    <col min="84" max="16384" width="13.77734375" style="1099"/>
  </cols>
  <sheetData>
    <row r="1" spans="1:83" ht="18"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 thickBot="1">
      <c r="A2" s="142" t="s">
        <v>201</v>
      </c>
      <c r="B2" s="2054">
        <f>项目基本情况!D3</f>
        <v>45839</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4.4"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57.6">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3363</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4">
      <c r="A6" s="2018" t="str">
        <f>'数据-汇总表'!C19</f>
        <v>公共服务</v>
      </c>
      <c r="B6" s="2053" t="str">
        <f>IF(A6=0,"","经营性")</f>
        <v>经营性</v>
      </c>
      <c r="C6" s="166" t="s">
        <v>2736</v>
      </c>
      <c r="D6" s="2024">
        <f>SUMIF(项目基本情况!C$15:I$15,C6,项目基本情况!C$18:I$18)</f>
        <v>50</v>
      </c>
      <c r="E6" s="2025">
        <f>IF(B6="","",SUMIF(项目基本情况!C$15:I$15,C6,项目基本情况!C$17:I$17))</f>
        <v>64100</v>
      </c>
      <c r="F6" s="167">
        <f>SUMIF(项目基本情况!C$15:I$15,C6,项目基本情况!C$19:I$19)</f>
        <v>50</v>
      </c>
      <c r="G6" s="168">
        <f t="shared" ref="G6:G13" si="0">IF(ISERROR(ROUND(POWER(1+H6,D6-F6)*(POWER(1+H6,F6)-1)/(POWER(1+H6,D6)-1),3)),0,ROUND(POWER(1+H6,D6-F6)*(POWER(1+H6,F6)-1)/(POWER(1+H6,D6)-1),3))</f>
        <v>1</v>
      </c>
      <c r="H6" s="2495">
        <v>0.04</v>
      </c>
      <c r="I6" s="2495">
        <v>4.4999999999999998E-2</v>
      </c>
      <c r="J6" s="169">
        <v>0.06</v>
      </c>
      <c r="K6" s="172">
        <f>SUMIF('数据-汇总表'!C$19:C$33,'数据-取费表'!A6,'数据-汇总表'!E$19:E$33)</f>
        <v>543.88</v>
      </c>
      <c r="L6" s="2496">
        <v>500</v>
      </c>
      <c r="M6" s="170">
        <f t="shared" ref="M6:M14" si="1">ROUND(K6*L6/10000,0)</f>
        <v>27</v>
      </c>
      <c r="N6" s="2497">
        <v>0.8</v>
      </c>
      <c r="O6" s="170" t="str">
        <f>IF($N$5="成新度","——",ROUND(M6*N6,0))</f>
        <v>——</v>
      </c>
      <c r="P6" s="171" t="str">
        <f>IF($N$5="成新度","——",M6-O6)</f>
        <v>——</v>
      </c>
      <c r="Q6" s="2498">
        <v>0.15</v>
      </c>
      <c r="R6" s="172">
        <f>SUMIF('数据-汇总表'!C$19:C$33,A6,'数据-汇总表'!R$19:R$33)</f>
        <v>271.94</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v>2E-3</v>
      </c>
      <c r="AL6" s="183">
        <v>1E-3</v>
      </c>
      <c r="AM6" s="2507">
        <v>0.01</v>
      </c>
      <c r="AN6" s="2081"/>
      <c r="AO6" s="2832"/>
      <c r="AP6" s="1100">
        <f>ROUND(1-1/(1+H6)^F6,3)</f>
        <v>0.85899999999999999</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4">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t="str">
        <f t="shared" ref="O7:O14" si="3">IF($N$5="成新度","——",ROUND(M7*N7,0))</f>
        <v>——</v>
      </c>
      <c r="P7" s="171" t="str">
        <f t="shared" ref="P7:P14" si="4">IF($N$5="成新度","——",M7-O7)</f>
        <v>——</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4">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t="str">
        <f t="shared" si="3"/>
        <v>——</v>
      </c>
      <c r="P8" s="171" t="str">
        <f t="shared" si="4"/>
        <v>——</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4">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4">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4">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4">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4">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3.8">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8.8">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543.88</v>
      </c>
      <c r="L16" s="197">
        <f>ROUND(M16*10000/SUM(K6:K14),0)</f>
        <v>496</v>
      </c>
      <c r="M16" s="197">
        <f>SUM(M6:M14)</f>
        <v>27</v>
      </c>
      <c r="N16" s="198">
        <f>ROUND(SUMPRODUCT(M6:M14,N6:N14)/M16,3)</f>
        <v>0.8</v>
      </c>
      <c r="O16" s="197">
        <f>SUM(O6:O14)</f>
        <v>0</v>
      </c>
      <c r="P16" s="197">
        <f>SUM(P6:P14)</f>
        <v>0</v>
      </c>
      <c r="Q16" s="199">
        <f>ROUND(SUMPRODUCT(Q6:Q13,K6:K13)/SUMPRODUCT((Q6:Q13&gt;0)*(K6:K13)),2)</f>
        <v>0.15</v>
      </c>
      <c r="R16" s="2027">
        <f>SUM(R6:R13)</f>
        <v>271.94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f>ROUND(SUMPRODUCT(AP6:AP13,K6:K13)/SUMPRODUCT((AP6:AP13&gt;0)*(K6:K13)),3)</f>
        <v>0.85899999999999999</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8"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1</v>
      </c>
      <c r="C19" s="2844" t="s">
        <v>2272</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0.5</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0.5</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1.5</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1.5</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8.8">
      <c r="A27" s="217" t="s">
        <v>1694</v>
      </c>
      <c r="B27" s="218">
        <v>160</v>
      </c>
      <c r="C27" s="2845" t="s">
        <v>2273</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8.8">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9.4" thickBot="1">
      <c r="A29" s="222" t="s">
        <v>1693</v>
      </c>
      <c r="B29" s="223">
        <f>成本逼近法!E13*成本逼近法!D13/10000</f>
        <v>10.877599999999999</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8.8">
      <c r="A30" s="226" t="s">
        <v>239</v>
      </c>
      <c r="B30" s="938">
        <v>315</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8.8">
      <c r="A31" s="219" t="s">
        <v>240</v>
      </c>
      <c r="B31" s="221">
        <f>B30-B32</f>
        <v>315</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9.4"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4">
      <c r="A33" s="217" t="s">
        <v>244</v>
      </c>
      <c r="B33" s="1234">
        <v>0.05</v>
      </c>
      <c r="C33" s="2847" t="s">
        <v>3266</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4">
      <c r="A34" s="219" t="s">
        <v>245</v>
      </c>
      <c r="B34" s="224">
        <v>0</v>
      </c>
      <c r="C34" s="2847" t="s">
        <v>2265</v>
      </c>
      <c r="D34" s="2848" t="s">
        <v>2270</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9" t="s">
        <v>242</v>
      </c>
      <c r="B35" s="220"/>
      <c r="C35" s="2847" t="s">
        <v>2266</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0.02</v>
      </c>
      <c r="C36" s="2847" t="s">
        <v>3309</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6" t="s">
        <v>246</v>
      </c>
      <c r="B37" s="227">
        <v>0.02</v>
      </c>
      <c r="C37" s="2847" t="s">
        <v>3267</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9" t="s">
        <v>247</v>
      </c>
      <c r="B38" s="224">
        <v>0.03</v>
      </c>
      <c r="C38" s="2847" t="s">
        <v>3268</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7" t="s">
        <v>2287</v>
      </c>
      <c r="B40" s="2127">
        <f ca="1">IF(A40="利息：取LPR",存贷款利率!E2,存贷款利率!E2+C40)</f>
        <v>0.03</v>
      </c>
      <c r="C40" s="3018">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9">
        <f>B42+B43</f>
        <v>5.6000000000000001E-2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39"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39" t="s">
        <v>250</v>
      </c>
      <c r="B43" s="232">
        <f>B42*(B44+B45+B46)+B47</f>
        <v>6.000000000000001E-3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30" t="s">
        <v>251</v>
      </c>
      <c r="B44" s="233">
        <v>7.0000000000000007E-2</v>
      </c>
      <c r="C44" s="2847" t="s">
        <v>3269</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30" t="s">
        <v>252</v>
      </c>
      <c r="B45" s="231">
        <v>0.03</v>
      </c>
      <c r="C45" s="2850" t="s">
        <v>2267</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30" t="s">
        <v>253</v>
      </c>
      <c r="B46" s="231">
        <v>0.02</v>
      </c>
      <c r="C46" s="2850" t="s">
        <v>2268</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2274</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6" t="s">
        <v>255</v>
      </c>
      <c r="B48" s="237">
        <v>0.03</v>
      </c>
      <c r="C48" s="2850" t="s">
        <v>2267</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2269</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9" t="s">
        <v>260</v>
      </c>
      <c r="B53" s="242" t="s">
        <v>1153</v>
      </c>
      <c r="C53" s="2840" t="s">
        <v>2167</v>
      </c>
      <c r="D53" s="2851" t="s">
        <v>2271</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2173</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800" t="s">
        <v>1198</v>
      </c>
      <c r="B1" s="3801"/>
      <c r="C1" s="3801"/>
      <c r="D1" s="3801"/>
      <c r="E1" s="3801"/>
      <c r="F1" s="3801"/>
      <c r="G1" s="3801"/>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43.2">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3.2">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3.2">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3.2">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9.4"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8.8">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43.2">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3.2">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6"/>
      <c r="E17" s="2913"/>
      <c r="F17" s="2914" t="s">
        <v>1209</v>
      </c>
      <c r="G17" s="2916"/>
    </row>
    <row r="18" spans="1:7" ht="43.2">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8.8">
      <c r="A19" s="2910"/>
      <c r="B19" s="2914" t="s">
        <v>1194</v>
      </c>
      <c r="C19" s="2916"/>
      <c r="D19" s="2867"/>
      <c r="E19" s="2913"/>
      <c r="F19" s="2871" t="s">
        <v>1829</v>
      </c>
      <c r="G19" s="2915" t="str">
        <f>G5</f>
        <v>估价对象所在区域公共配套设施齐备情况</v>
      </c>
    </row>
    <row r="20" spans="1:7" ht="28.8">
      <c r="A20" s="2910"/>
      <c r="B20" s="2914" t="s">
        <v>1195</v>
      </c>
      <c r="C20" s="2912" t="str">
        <f>C9</f>
        <v>区域自然环境：；人文环境；综合评价环境状况一般</v>
      </c>
      <c r="D20" s="2876"/>
      <c r="E20" s="2913"/>
      <c r="F20" s="2871" t="s">
        <v>1830</v>
      </c>
      <c r="G20" s="2915" t="str">
        <f>G6</f>
        <v>估价对象所在区域基础设施水平</v>
      </c>
    </row>
    <row r="21" spans="1:7" ht="28.8">
      <c r="A21" s="2910"/>
      <c r="B21" s="2871" t="s">
        <v>1829</v>
      </c>
      <c r="C21" s="2915" t="str">
        <f>C7</f>
        <v>估价对象所在区域公共配套设施齐备情况</v>
      </c>
      <c r="D21" s="2867"/>
      <c r="E21" s="2913"/>
      <c r="F21" s="2914" t="s">
        <v>1196</v>
      </c>
      <c r="G21" s="2917"/>
    </row>
    <row r="22" spans="1:7">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926" customWidth="1"/>
    <col min="2" max="16384" width="14.6640625" style="2926"/>
  </cols>
  <sheetData>
    <row r="1" spans="1:10" ht="15.6">
      <c r="A1" s="2925" t="s">
        <v>2118</v>
      </c>
      <c r="B1" s="2925">
        <f>SUM(B14:B23)</f>
        <v>0</v>
      </c>
      <c r="C1" s="2934"/>
      <c r="D1" s="2934"/>
      <c r="E1" s="2934"/>
      <c r="F1" s="2934"/>
      <c r="G1" s="2935"/>
      <c r="H1" s="2935"/>
      <c r="I1" s="2935"/>
      <c r="J1" s="2935"/>
    </row>
    <row r="2" spans="1:10" ht="15.6">
      <c r="A2" s="2925" t="s">
        <v>2119</v>
      </c>
      <c r="B2" s="2925">
        <f>SUM(C14:C23)</f>
        <v>543.88</v>
      </c>
      <c r="C2" s="2934"/>
      <c r="D2" s="2934"/>
      <c r="E2" s="2934"/>
      <c r="F2" s="2934"/>
      <c r="G2" s="2935"/>
      <c r="H2" s="2935"/>
      <c r="I2" s="2935"/>
      <c r="J2" s="2935"/>
    </row>
    <row r="3" spans="1:10" ht="15.6">
      <c r="A3" s="2925" t="s">
        <v>2120</v>
      </c>
      <c r="B3" s="2927">
        <f>项目基本情况!D3</f>
        <v>45839</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2925">
        <f ca="1">SUM(D14:D23)</f>
        <v>570.69330000000002</v>
      </c>
      <c r="C5" s="2925" t="e">
        <f ca="1">ROUND(B5*10000/$B$1,0)</f>
        <v>#DIV/0!</v>
      </c>
      <c r="D5" s="2925">
        <f ca="1">ROUND(B5*10000/$B$2,0)</f>
        <v>10493</v>
      </c>
      <c r="E5" s="2934"/>
      <c r="F5" s="2934"/>
      <c r="G5" s="2935"/>
      <c r="H5" s="2935"/>
      <c r="I5" s="2935"/>
      <c r="J5" s="2935"/>
    </row>
    <row r="6" spans="1:10" ht="15.6">
      <c r="A6" s="2925" t="s">
        <v>2126</v>
      </c>
      <c r="B6" s="2925">
        <f>SUM(G14:G23)</f>
        <v>0</v>
      </c>
      <c r="C6" s="2925" t="e">
        <f>ROUND(B6*10000/$B$1,0)</f>
        <v>#DIV/0!</v>
      </c>
      <c r="D6" s="2925">
        <f>ROUND(B6*10000/$B$2,0)</f>
        <v>0</v>
      </c>
      <c r="E6" s="2934"/>
      <c r="F6" s="2934"/>
      <c r="G6" s="2935"/>
      <c r="H6" s="2935"/>
      <c r="I6" s="2935"/>
      <c r="J6" s="2935"/>
    </row>
    <row r="7" spans="1:10" ht="15.6">
      <c r="A7" s="2925" t="s">
        <v>2127</v>
      </c>
      <c r="B7" s="2925">
        <f>SUM(H14:H23)</f>
        <v>0</v>
      </c>
      <c r="C7" s="2925" t="e">
        <f>ROUND(B7*10000/$B$1,0)</f>
        <v>#DIV/0!</v>
      </c>
      <c r="D7" s="2925">
        <f>ROUND(B7*10000/$B$2,0)</f>
        <v>0</v>
      </c>
      <c r="E7" s="2934"/>
      <c r="F7" s="2934"/>
      <c r="G7" s="2935"/>
      <c r="H7" s="2935"/>
      <c r="I7" s="2935"/>
      <c r="J7" s="2935"/>
    </row>
    <row r="8" spans="1:10" ht="15.6">
      <c r="A8" s="2925" t="s">
        <v>2128</v>
      </c>
      <c r="B8" s="2925">
        <f>SUM(I14:I23)</f>
        <v>0</v>
      </c>
      <c r="C8" s="2925" t="e">
        <f>ROUND(B8*10000/$B$1,0)</f>
        <v>#DIV/0!</v>
      </c>
      <c r="D8" s="2925">
        <f>ROUND(B8*10000/$B$2,0)</f>
        <v>0</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2931"/>
      <c r="C14" s="2931">
        <f>'数据-基础表'!B3</f>
        <v>543.88</v>
      </c>
      <c r="D14" s="2931">
        <f ca="1">结果汇总!B7/10000</f>
        <v>570.69330000000002</v>
      </c>
      <c r="E14" s="2931" t="e">
        <f ca="1">ROUND(D14*10000/B14,0)</f>
        <v>#DIV/0!</v>
      </c>
      <c r="F14" s="2931">
        <f ca="1">ROUND(D14*10000/C14,0)</f>
        <v>10493</v>
      </c>
      <c r="G14" s="2931"/>
      <c r="H14" s="2931"/>
      <c r="I14" s="2931"/>
      <c r="J14" s="2935"/>
    </row>
    <row r="15" spans="1:10" ht="15.6">
      <c r="A15" s="2930" t="s">
        <v>2135</v>
      </c>
      <c r="B15" s="2932"/>
      <c r="C15" s="2932"/>
      <c r="D15" s="2932"/>
      <c r="E15" s="2931" t="e">
        <f t="shared" ref="E15:E23" si="0">ROUND(D15*10000/B15,0)</f>
        <v>#DIV/0!</v>
      </c>
      <c r="F15" s="2931" t="e">
        <f t="shared" ref="F15:F23" si="1">ROUND(D15*10000/C15,0)</f>
        <v>#DIV/0!</v>
      </c>
      <c r="G15" s="2511"/>
      <c r="H15" s="2511"/>
      <c r="I15" s="2932"/>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117" bestFit="1" customWidth="1"/>
    <col min="3" max="4" width="12.6640625" style="1117" customWidth="1"/>
    <col min="5" max="9" width="12.77734375" style="1117"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846" t="str">
        <f>项目基本情况!K2</f>
        <v>北京市出让国有建设用地使用权</v>
      </c>
      <c r="B2" s="3847"/>
      <c r="C2" s="3848"/>
      <c r="D2" s="3848"/>
      <c r="E2" s="3848"/>
      <c r="F2" s="3848"/>
      <c r="G2" s="3847"/>
      <c r="H2" s="3847"/>
      <c r="I2" s="3849"/>
      <c r="J2" s="1751"/>
      <c r="K2" s="1750"/>
      <c r="L2" s="1750"/>
      <c r="M2" s="1750"/>
      <c r="N2" s="1750"/>
      <c r="O2" s="1750"/>
      <c r="P2" s="1750"/>
      <c r="Q2" s="1750"/>
      <c r="R2" s="1750"/>
      <c r="S2" s="1750"/>
      <c r="T2" s="1750"/>
      <c r="U2" s="1750"/>
      <c r="V2" s="1750"/>
    </row>
    <row r="3" spans="1:22" ht="13.8">
      <c r="A3" s="3857" t="s">
        <v>264</v>
      </c>
      <c r="B3" s="3858"/>
      <c r="C3" s="3858"/>
      <c r="D3" s="3858"/>
      <c r="E3" s="3858"/>
      <c r="F3" s="3858"/>
      <c r="G3" s="3858"/>
      <c r="H3" s="3858"/>
      <c r="I3" s="3858"/>
      <c r="J3" s="1751"/>
      <c r="K3" s="1750"/>
      <c r="L3" s="1750"/>
      <c r="M3" s="1750"/>
      <c r="N3" s="1750"/>
      <c r="O3" s="1750"/>
      <c r="P3" s="1750"/>
      <c r="Q3" s="1750"/>
      <c r="R3" s="1750"/>
      <c r="S3" s="1750"/>
      <c r="T3" s="1750"/>
      <c r="U3" s="1750"/>
      <c r="V3" s="1750"/>
    </row>
    <row r="4" spans="1:22" ht="14.4">
      <c r="A4" s="249" t="s">
        <v>265</v>
      </c>
      <c r="B4" s="250" t="s">
        <v>266</v>
      </c>
      <c r="C4" s="251" t="s">
        <v>3376</v>
      </c>
      <c r="D4" s="251" t="s">
        <v>3377</v>
      </c>
      <c r="E4" s="3821" t="s">
        <v>267</v>
      </c>
      <c r="F4" s="3863"/>
      <c r="G4" s="3863"/>
      <c r="H4" s="3863"/>
      <c r="I4" s="3822"/>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3.8">
      <c r="A5" s="3850" t="s">
        <v>268</v>
      </c>
      <c r="B5" s="3851">
        <v>25</v>
      </c>
      <c r="C5" s="3859">
        <v>7</v>
      </c>
      <c r="D5" s="3862">
        <v>3</v>
      </c>
      <c r="E5" s="252" t="s">
        <v>269</v>
      </c>
      <c r="F5" s="253"/>
      <c r="G5" s="253"/>
      <c r="H5" s="253"/>
      <c r="I5" s="254"/>
      <c r="J5" s="1751"/>
      <c r="K5" s="1750"/>
      <c r="L5" s="1750"/>
      <c r="M5" s="1750"/>
      <c r="N5" s="1750"/>
      <c r="O5" s="1750"/>
      <c r="P5" s="1750"/>
      <c r="Q5" s="1750"/>
      <c r="R5" s="1750"/>
      <c r="S5" s="1750"/>
      <c r="T5" s="1750"/>
      <c r="U5" s="1750"/>
      <c r="V5" s="1750"/>
    </row>
    <row r="6" spans="1:22" ht="13.8">
      <c r="A6" s="3850"/>
      <c r="B6" s="3851"/>
      <c r="C6" s="3860"/>
      <c r="D6" s="3862"/>
      <c r="E6" s="252" t="s">
        <v>270</v>
      </c>
      <c r="F6" s="253"/>
      <c r="G6" s="253"/>
      <c r="H6" s="253"/>
      <c r="I6" s="254"/>
      <c r="J6" s="1751"/>
      <c r="K6" s="1750"/>
      <c r="L6" s="1750"/>
      <c r="M6" s="1750"/>
      <c r="N6" s="1750"/>
      <c r="O6" s="1750"/>
      <c r="P6" s="1750"/>
      <c r="Q6" s="1750"/>
      <c r="R6" s="1750"/>
      <c r="S6" s="1750"/>
      <c r="T6" s="1750"/>
      <c r="U6" s="1750"/>
      <c r="V6" s="1750"/>
    </row>
    <row r="7" spans="1:22" ht="13.8">
      <c r="A7" s="3850"/>
      <c r="B7" s="3851"/>
      <c r="C7" s="3861"/>
      <c r="D7" s="3862"/>
      <c r="E7" s="252" t="s">
        <v>271</v>
      </c>
      <c r="F7" s="253"/>
      <c r="G7" s="253"/>
      <c r="H7" s="253"/>
      <c r="I7" s="254"/>
      <c r="J7" s="1751"/>
      <c r="K7" s="1750"/>
      <c r="L7" s="1750"/>
      <c r="M7" s="1750"/>
      <c r="N7" s="1750"/>
      <c r="O7" s="1750"/>
      <c r="P7" s="1750"/>
      <c r="Q7" s="1750"/>
      <c r="R7" s="1750"/>
      <c r="S7" s="1750"/>
      <c r="T7" s="1750"/>
      <c r="U7" s="1750"/>
      <c r="V7" s="1750"/>
    </row>
    <row r="8" spans="1:22" ht="13.8">
      <c r="A8" s="3850" t="s">
        <v>272</v>
      </c>
      <c r="B8" s="3851">
        <v>15</v>
      </c>
      <c r="C8" s="3859"/>
      <c r="D8" s="3862"/>
      <c r="E8" s="252" t="s">
        <v>273</v>
      </c>
      <c r="F8" s="253"/>
      <c r="G8" s="253"/>
      <c r="H8" s="253"/>
      <c r="I8" s="254"/>
      <c r="J8" s="1751"/>
      <c r="K8" s="1750"/>
      <c r="L8" s="1750"/>
      <c r="M8" s="1750"/>
      <c r="N8" s="1750"/>
      <c r="O8" s="1750"/>
      <c r="P8" s="1750"/>
      <c r="Q8" s="1750"/>
      <c r="R8" s="1750"/>
      <c r="S8" s="1750"/>
      <c r="T8" s="1750"/>
      <c r="U8" s="1750"/>
      <c r="V8" s="1750"/>
    </row>
    <row r="9" spans="1:22" ht="13.8">
      <c r="A9" s="3850"/>
      <c r="B9" s="3851"/>
      <c r="C9" s="3861"/>
      <c r="D9" s="3862"/>
      <c r="E9" s="252" t="s">
        <v>274</v>
      </c>
      <c r="F9" s="253"/>
      <c r="G9" s="253"/>
      <c r="H9" s="253"/>
      <c r="I9" s="254"/>
      <c r="J9" s="1751"/>
      <c r="K9" s="1750"/>
      <c r="L9" s="1750"/>
      <c r="M9" s="1750"/>
      <c r="N9" s="1750"/>
      <c r="O9" s="1750"/>
      <c r="P9" s="1750"/>
      <c r="Q9" s="1750"/>
      <c r="R9" s="1750"/>
      <c r="S9" s="1750"/>
      <c r="T9" s="1750"/>
      <c r="U9" s="1750"/>
      <c r="V9" s="1750"/>
    </row>
    <row r="10" spans="1:22" ht="13.8">
      <c r="A10" s="3850" t="s">
        <v>275</v>
      </c>
      <c r="B10" s="3851">
        <v>15</v>
      </c>
      <c r="C10" s="3859"/>
      <c r="D10" s="3862"/>
      <c r="E10" s="252" t="s">
        <v>276</v>
      </c>
      <c r="F10" s="253"/>
      <c r="G10" s="253"/>
      <c r="H10" s="253"/>
      <c r="I10" s="254"/>
      <c r="J10" s="1751"/>
      <c r="K10" s="1750"/>
      <c r="L10" s="1750"/>
      <c r="M10" s="1750"/>
      <c r="N10" s="1750"/>
      <c r="O10" s="1750"/>
      <c r="P10" s="1750"/>
      <c r="Q10" s="1750"/>
      <c r="R10" s="1750"/>
      <c r="S10" s="1750"/>
      <c r="T10" s="1750"/>
      <c r="U10" s="1750"/>
      <c r="V10" s="1750"/>
    </row>
    <row r="11" spans="1:22" ht="13.8">
      <c r="A11" s="3850"/>
      <c r="B11" s="3851"/>
      <c r="C11" s="3861"/>
      <c r="D11" s="3862"/>
      <c r="E11" s="252" t="s">
        <v>277</v>
      </c>
      <c r="F11" s="253"/>
      <c r="G11" s="253"/>
      <c r="H11" s="253"/>
      <c r="I11" s="254"/>
      <c r="J11" s="1751"/>
      <c r="K11" s="1750"/>
      <c r="L11" s="1750"/>
      <c r="M11" s="1750"/>
      <c r="N11" s="1750"/>
      <c r="O11" s="1750"/>
      <c r="P11" s="1750"/>
      <c r="Q11" s="1750"/>
      <c r="R11" s="1750"/>
      <c r="S11" s="1750"/>
      <c r="T11" s="1750"/>
      <c r="U11" s="1750"/>
      <c r="V11" s="1750"/>
    </row>
    <row r="12" spans="1:22" ht="13.8">
      <c r="A12" s="3850" t="s">
        <v>278</v>
      </c>
      <c r="B12" s="3851">
        <v>15</v>
      </c>
      <c r="C12" s="3859"/>
      <c r="D12" s="3862"/>
      <c r="E12" s="252" t="s">
        <v>279</v>
      </c>
      <c r="F12" s="253"/>
      <c r="G12" s="253"/>
      <c r="H12" s="253"/>
      <c r="I12" s="254"/>
      <c r="J12" s="1751"/>
      <c r="K12" s="1750"/>
      <c r="L12" s="1750"/>
      <c r="M12" s="1750"/>
      <c r="N12" s="1750"/>
      <c r="O12" s="1750"/>
      <c r="P12" s="1750"/>
      <c r="Q12" s="1750"/>
      <c r="R12" s="1750"/>
      <c r="S12" s="1750"/>
      <c r="T12" s="1750"/>
      <c r="U12" s="1750"/>
      <c r="V12" s="1750"/>
    </row>
    <row r="13" spans="1:22" ht="13.8">
      <c r="A13" s="3850"/>
      <c r="B13" s="3851"/>
      <c r="C13" s="3861"/>
      <c r="D13" s="3862"/>
      <c r="E13" s="252" t="s">
        <v>280</v>
      </c>
      <c r="F13" s="253"/>
      <c r="G13" s="253"/>
      <c r="H13" s="253"/>
      <c r="I13" s="254"/>
      <c r="J13" s="1751"/>
      <c r="K13" s="1750"/>
      <c r="L13" s="1750"/>
      <c r="M13" s="1750"/>
      <c r="N13" s="1750"/>
      <c r="O13" s="1750"/>
      <c r="P13" s="1750"/>
      <c r="Q13" s="1750"/>
      <c r="R13" s="1750"/>
      <c r="S13" s="1750"/>
      <c r="T13" s="1750"/>
      <c r="U13" s="1750"/>
      <c r="V13" s="1750"/>
    </row>
    <row r="14" spans="1:22" ht="13.8">
      <c r="A14" s="3850" t="s">
        <v>281</v>
      </c>
      <c r="B14" s="3851">
        <v>30</v>
      </c>
      <c r="C14" s="3859"/>
      <c r="D14" s="3862"/>
      <c r="E14" s="252" t="s">
        <v>282</v>
      </c>
      <c r="F14" s="253"/>
      <c r="G14" s="253"/>
      <c r="H14" s="253"/>
      <c r="I14" s="254"/>
      <c r="J14" s="1751"/>
      <c r="K14" s="1750"/>
      <c r="L14" s="1750"/>
      <c r="M14" s="1750"/>
      <c r="N14" s="1750"/>
      <c r="O14" s="1750"/>
      <c r="P14" s="1750"/>
      <c r="Q14" s="1750"/>
      <c r="R14" s="1750"/>
      <c r="S14" s="1750"/>
      <c r="T14" s="1750"/>
      <c r="U14" s="1750"/>
      <c r="V14" s="1750"/>
    </row>
    <row r="15" spans="1:22" ht="13.8">
      <c r="A15" s="3850"/>
      <c r="B15" s="3851"/>
      <c r="C15" s="3860"/>
      <c r="D15" s="3862"/>
      <c r="E15" s="252" t="s">
        <v>283</v>
      </c>
      <c r="F15" s="253"/>
      <c r="G15" s="253"/>
      <c r="H15" s="253"/>
      <c r="I15" s="254"/>
      <c r="J15" s="1751"/>
      <c r="K15" s="1750"/>
      <c r="L15" s="1750"/>
      <c r="M15" s="1750"/>
      <c r="N15" s="1750"/>
      <c r="O15" s="1750"/>
      <c r="P15" s="1750"/>
      <c r="Q15" s="1750"/>
      <c r="R15" s="1750"/>
      <c r="S15" s="1750"/>
      <c r="T15" s="1750"/>
      <c r="U15" s="1750"/>
      <c r="V15" s="1750"/>
    </row>
    <row r="16" spans="1:22" ht="13.8">
      <c r="A16" s="3850"/>
      <c r="B16" s="3851"/>
      <c r="C16" s="3861"/>
      <c r="D16" s="3862"/>
      <c r="E16" s="252" t="s">
        <v>284</v>
      </c>
      <c r="F16" s="253"/>
      <c r="G16" s="253"/>
      <c r="H16" s="253"/>
      <c r="I16" s="254"/>
      <c r="J16" s="1751"/>
      <c r="K16" s="1750"/>
      <c r="L16" s="1750"/>
      <c r="M16" s="1750"/>
      <c r="N16" s="1750"/>
      <c r="O16" s="1750"/>
      <c r="P16" s="1750"/>
      <c r="Q16" s="1750"/>
      <c r="R16" s="1750"/>
      <c r="S16" s="1750"/>
      <c r="T16" s="1750"/>
      <c r="U16" s="1750"/>
      <c r="V16" s="1750"/>
    </row>
    <row r="17" spans="1:26" ht="14.4">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 customHeight="1" thickBot="1">
      <c r="A18" s="257" t="s">
        <v>286</v>
      </c>
      <c r="B18" s="101"/>
      <c r="C18" s="258">
        <f>ROUND(C17/SUM(C17:D17),2)</f>
        <v>0.7</v>
      </c>
      <c r="D18" s="258">
        <f>1-C18</f>
        <v>0.30000000000000004</v>
      </c>
      <c r="E18" s="3864" t="s">
        <v>2254</v>
      </c>
      <c r="F18" s="3865"/>
      <c r="G18" s="3865"/>
      <c r="H18" s="3865"/>
      <c r="I18" s="3865"/>
      <c r="J18" s="1750"/>
      <c r="K18" s="1750"/>
      <c r="L18" s="1750"/>
      <c r="M18" s="1750"/>
      <c r="N18" s="1750"/>
      <c r="O18" s="1750"/>
      <c r="P18" s="1750"/>
      <c r="Q18" s="1750"/>
      <c r="R18" s="1750"/>
      <c r="S18" s="1750"/>
      <c r="T18" s="1750"/>
      <c r="U18" s="1750"/>
      <c r="V18" s="1750"/>
    </row>
    <row r="19" spans="1:26" ht="14.4">
      <c r="A19" s="259" t="s">
        <v>287</v>
      </c>
      <c r="B19" s="260" t="s">
        <v>288</v>
      </c>
      <c r="C19" s="261">
        <f ca="1">SUMIF(INDIRECT("'"&amp;C4&amp;"'"&amp;"!A:A"),结果表!B19,INDIRECT("'"&amp;C4&amp;"'"&amp;"!B:B"))</f>
        <v>426</v>
      </c>
      <c r="D19" s="262">
        <f ca="1">SUMIF(INDIRECT("'"&amp;D4&amp;"'"&amp;"!A:A"),结果表!B19,INDIRECT("'"&amp;D4&amp;"'"&amp;"!B:B"))</f>
        <v>541.30150000000003</v>
      </c>
      <c r="E19" s="259" t="s">
        <v>289</v>
      </c>
      <c r="F19" s="260" t="s">
        <v>288</v>
      </c>
      <c r="G19" s="263">
        <f ca="1">ROUND(C19*$C$18+D19*$D$18,0)</f>
        <v>461</v>
      </c>
      <c r="H19" s="264" t="s">
        <v>290</v>
      </c>
      <c r="I19" s="302"/>
      <c r="J19" s="1750"/>
      <c r="K19" s="1750"/>
      <c r="L19" s="1750"/>
      <c r="M19" s="1750"/>
      <c r="N19" s="1750"/>
      <c r="O19" s="1750"/>
      <c r="P19" s="1750"/>
      <c r="Q19" s="1750"/>
      <c r="R19" s="1750"/>
      <c r="S19" s="1750"/>
      <c r="T19" s="1750"/>
      <c r="U19" s="1750"/>
      <c r="V19" s="1750"/>
    </row>
    <row r="20" spans="1:26" ht="14.4">
      <c r="A20" s="265"/>
      <c r="B20" s="266" t="s">
        <v>291</v>
      </c>
      <c r="C20" s="267">
        <f ca="1">SUMIF(INDIRECT("'"&amp;C4&amp;"'"&amp;"!A:A"),结果表!B20,INDIRECT("'"&amp;C4&amp;"'"&amp;"!B:B"))</f>
        <v>7833</v>
      </c>
      <c r="D20" s="268">
        <f ca="1">SUMIF(INDIRECT("'"&amp;D4&amp;"'"&amp;"!A:A"),结果表!B20,INDIRECT("'"&amp;D4&amp;"'"&amp;"!B:B"))</f>
        <v>9953</v>
      </c>
      <c r="E20" s="265"/>
      <c r="F20" s="266" t="s">
        <v>291</v>
      </c>
      <c r="G20" s="269">
        <f ca="1">ROUND(C20*$C$18+D20*$D$18,0)</f>
        <v>8469</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15665</v>
      </c>
      <c r="D21" s="144">
        <f ca="1">SUMIF(INDIRECT("'"&amp;D4&amp;"'"&amp;"!A:A"),结果表!B21,INDIRECT("'"&amp;D4&amp;"'"&amp;"!B:B"))</f>
        <v>19905</v>
      </c>
      <c r="E21" s="265"/>
      <c r="F21" s="271" t="s">
        <v>293</v>
      </c>
      <c r="G21" s="273">
        <f ca="1">ROUND(C21*$C$18+D21*$D$18,0)</f>
        <v>16937</v>
      </c>
      <c r="H21" s="1118" t="s">
        <v>292</v>
      </c>
      <c r="I21" s="302"/>
      <c r="J21" s="1750"/>
      <c r="K21" s="1750"/>
      <c r="L21" s="1750"/>
      <c r="M21" s="1750"/>
      <c r="N21" s="1750"/>
      <c r="O21" s="1750"/>
      <c r="P21" s="1750"/>
      <c r="Q21" s="1750"/>
      <c r="R21" s="1750"/>
      <c r="S21" s="1750"/>
      <c r="T21" s="1750"/>
      <c r="U21" s="1750"/>
      <c r="V21" s="1750"/>
    </row>
    <row r="22" spans="1:26" ht="15" thickBot="1">
      <c r="A22" s="122" t="s">
        <v>294</v>
      </c>
      <c r="B22" s="1119"/>
      <c r="C22" s="1120"/>
      <c r="D22" s="274">
        <f ca="1">IF(C19&lt;D19,D19/C19-1,C19/D19-1)</f>
        <v>0.27066079812206589</v>
      </c>
      <c r="E22" s="275"/>
      <c r="F22" s="276"/>
      <c r="G22" s="277">
        <f ca="1">ROUND(G19/('数据-汇总表'!D3/666.67),0)</f>
        <v>1130</v>
      </c>
      <c r="H22" s="278" t="s">
        <v>295</v>
      </c>
      <c r="I22" s="302"/>
      <c r="J22" s="1750"/>
      <c r="K22" s="1750"/>
      <c r="L22" s="1750"/>
      <c r="M22" s="1750"/>
      <c r="N22" s="1750"/>
      <c r="O22" s="1750"/>
      <c r="P22" s="1750"/>
      <c r="Q22" s="1750"/>
      <c r="R22" s="1750"/>
      <c r="S22" s="1750"/>
      <c r="T22" s="1750"/>
      <c r="U22" s="1750"/>
      <c r="V22" s="1750"/>
    </row>
    <row r="23" spans="1:26" ht="13.8"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23"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7.399999999999999">
      <c r="A25" s="3870"/>
      <c r="B25" s="1188" t="s">
        <v>297</v>
      </c>
      <c r="C25" s="281">
        <f>IF(B30=0,0,C30)</f>
        <v>0</v>
      </c>
      <c r="D25" s="282"/>
      <c r="E25" s="302"/>
      <c r="F25" s="302"/>
      <c r="G25" s="302"/>
      <c r="H25" s="302"/>
      <c r="I25" s="302"/>
      <c r="J25" s="1750"/>
      <c r="K25" s="1122" t="str">
        <f ca="1">项目基本情况!A17&amp;"国有建设用地使用权价格："&amp;O38&amp;"万元"</f>
        <v>出让国有建设用地使用权价格：461万元</v>
      </c>
      <c r="L25" s="1123"/>
      <c r="M25" s="1123"/>
      <c r="N25" s="1123"/>
      <c r="O25" s="1124"/>
      <c r="P25" s="1750"/>
      <c r="Q25" s="1750"/>
      <c r="R25" s="1750"/>
      <c r="S25" s="1750"/>
      <c r="T25" s="1750"/>
      <c r="U25" s="1750"/>
      <c r="V25" s="1750"/>
    </row>
    <row r="26" spans="1:26" s="1121" customFormat="1" ht="17.399999999999999">
      <c r="A26" s="284" t="s">
        <v>298</v>
      </c>
      <c r="B26" s="285" t="s">
        <v>299</v>
      </c>
      <c r="C26" s="285" t="s">
        <v>300</v>
      </c>
      <c r="D26" s="286" t="s">
        <v>301</v>
      </c>
      <c r="E26" s="302"/>
      <c r="F26" s="302"/>
      <c r="G26" s="302"/>
      <c r="H26" s="302"/>
      <c r="I26" s="302"/>
      <c r="J26" s="1750"/>
      <c r="K26" s="1125" t="str">
        <f ca="1">"大写金额：人民币"&amp;NUMBERSTRING(INT(O38*10000),2)&amp;"元整"</f>
        <v>大写金额：人民币肆佰陆拾壹万元整</v>
      </c>
      <c r="L26" s="1119"/>
      <c r="M26" s="1119"/>
      <c r="N26" s="1119"/>
      <c r="O26" s="1118"/>
      <c r="P26" s="1750"/>
      <c r="Q26" s="1750"/>
      <c r="R26" s="1750"/>
      <c r="S26" s="1750"/>
      <c r="T26" s="1750"/>
      <c r="U26" s="1750"/>
      <c r="V26" s="1750"/>
      <c r="W26" s="283"/>
      <c r="X26" s="283"/>
      <c r="Y26" s="283"/>
      <c r="Z26" s="283"/>
    </row>
    <row r="27" spans="1:26" ht="17.399999999999999">
      <c r="A27" s="284"/>
      <c r="B27" s="285"/>
      <c r="C27" s="285"/>
      <c r="D27" s="286"/>
      <c r="E27" s="302"/>
      <c r="F27" s="302"/>
      <c r="G27" s="302"/>
      <c r="H27" s="302"/>
      <c r="I27" s="302"/>
      <c r="J27" s="1750"/>
      <c r="K27" s="1125" t="str">
        <f ca="1">"单位面积地价："&amp;M38&amp;"元/平方米"</f>
        <v>单位面积地价：16952元/平方米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楼面地价：8476元/平方米</v>
      </c>
      <c r="L28" s="1119"/>
      <c r="M28" s="1119"/>
      <c r="N28" s="1119"/>
      <c r="O28" s="1118"/>
      <c r="P28" s="1750"/>
      <c r="V28" s="1750"/>
    </row>
    <row r="29" spans="1:26" ht="17.399999999999999">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 thickBot="1">
      <c r="A30" s="2552" t="s">
        <v>302</v>
      </c>
      <c r="B30" s="300"/>
      <c r="C30" s="300"/>
      <c r="D30" s="301"/>
      <c r="E30" s="2743"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866" t="s">
        <v>2256</v>
      </c>
      <c r="B31" s="3866"/>
      <c r="C31" s="3866"/>
      <c r="D31" s="3866"/>
      <c r="E31" s="3866"/>
      <c r="F31" s="3866"/>
      <c r="G31" s="3866"/>
      <c r="H31" s="3866"/>
      <c r="I31" s="3866"/>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8.600000000000001" thickTop="1" thickBot="1">
      <c r="A32" s="265" t="s">
        <v>303</v>
      </c>
      <c r="B32" s="2744" t="s">
        <v>1221</v>
      </c>
      <c r="C32" s="257">
        <f ca="1">G19-C24</f>
        <v>461</v>
      </c>
      <c r="D32" s="2745"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 thickBot="1">
      <c r="A33" s="289" t="s">
        <v>306</v>
      </c>
      <c r="B33" s="1237" t="s">
        <v>1223</v>
      </c>
      <c r="C33" s="255">
        <f ca="1">ROUND(C32*10000/'数据-汇总表'!E3,0)</f>
        <v>8476</v>
      </c>
      <c r="D33" s="1238" t="s">
        <v>1224</v>
      </c>
      <c r="E33" s="3823"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 thickBot="1">
      <c r="A34" s="291"/>
      <c r="B34" s="1239" t="s">
        <v>1225</v>
      </c>
      <c r="C34" s="255">
        <f ca="1">ROUND(C32*10000/'数据-汇总表'!D3,0)</f>
        <v>16952</v>
      </c>
      <c r="D34" s="1240" t="s">
        <v>1224</v>
      </c>
      <c r="E34" s="3824"/>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 thickBot="1">
      <c r="A35" s="275"/>
      <c r="B35" s="1241"/>
      <c r="C35" s="1242">
        <f ca="1">ROUND(C32/('数据-汇总表'!D3/666.67),0)</f>
        <v>1130</v>
      </c>
      <c r="D35" s="1243" t="s">
        <v>1226</v>
      </c>
      <c r="E35" s="3825"/>
      <c r="F35" s="292" t="s">
        <v>308</v>
      </c>
      <c r="G35" s="942"/>
      <c r="H35" s="941" t="s">
        <v>309</v>
      </c>
      <c r="I35" s="302"/>
      <c r="J35" s="1750"/>
      <c r="K35" s="3829" t="s">
        <v>316</v>
      </c>
      <c r="L35" s="3829" t="s">
        <v>317</v>
      </c>
      <c r="M35" s="1131" t="s">
        <v>318</v>
      </c>
      <c r="N35" s="3829" t="s">
        <v>319</v>
      </c>
      <c r="O35" s="3829" t="s">
        <v>320</v>
      </c>
      <c r="P35" s="1750"/>
      <c r="V35" s="1750"/>
    </row>
    <row r="36" spans="1:26" ht="16.5" customHeight="1">
      <c r="A36" s="294" t="s">
        <v>310</v>
      </c>
      <c r="B36" s="295" t="s">
        <v>299</v>
      </c>
      <c r="C36" s="296" t="s">
        <v>311</v>
      </c>
      <c r="D36" s="296" t="s">
        <v>312</v>
      </c>
      <c r="E36" s="297" t="s">
        <v>313</v>
      </c>
      <c r="F36" s="302"/>
      <c r="G36" s="302"/>
      <c r="H36" s="302"/>
      <c r="I36" s="302"/>
      <c r="J36" s="1752"/>
      <c r="K36" s="3830"/>
      <c r="L36" s="3830"/>
      <c r="M36" s="1133" t="s">
        <v>321</v>
      </c>
      <c r="N36" s="3830"/>
      <c r="O36" s="3830"/>
      <c r="P36" s="1750"/>
      <c r="V36" s="1750"/>
    </row>
    <row r="37" spans="1:26" ht="16.5" customHeight="1" thickBot="1">
      <c r="A37" s="1127" t="s">
        <v>314</v>
      </c>
      <c r="B37" s="298"/>
      <c r="C37" s="285"/>
      <c r="D37" s="285"/>
      <c r="E37" s="286"/>
      <c r="F37" s="302"/>
      <c r="G37" s="302"/>
      <c r="H37" s="302"/>
      <c r="I37" s="302"/>
      <c r="J37" s="1752"/>
      <c r="K37" s="3831"/>
      <c r="L37" s="3831"/>
      <c r="M37" s="1134"/>
      <c r="N37" s="3831"/>
      <c r="O37" s="3831"/>
      <c r="P37" s="1750"/>
      <c r="V37" s="1750"/>
    </row>
    <row r="38" spans="1:26" ht="16.5" customHeight="1" thickBot="1">
      <c r="A38" s="1127" t="s">
        <v>315</v>
      </c>
      <c r="B38" s="298"/>
      <c r="C38" s="285"/>
      <c r="D38" s="285"/>
      <c r="E38" s="286"/>
      <c r="F38" s="302"/>
      <c r="G38" s="302"/>
      <c r="H38" s="302"/>
      <c r="I38" s="302"/>
      <c r="J38" s="1752"/>
      <c r="K38" s="1135">
        <f>'数据-汇总表'!D3</f>
        <v>271.94</v>
      </c>
      <c r="L38" s="1136">
        <f>'数据-汇总表'!E3</f>
        <v>543.88</v>
      </c>
      <c r="M38" s="1136">
        <f ca="1">C34</f>
        <v>16952</v>
      </c>
      <c r="N38" s="1136">
        <f ca="1">C33</f>
        <v>8476</v>
      </c>
      <c r="O38" s="1137">
        <f ca="1">C32</f>
        <v>461</v>
      </c>
      <c r="P38" s="1750"/>
      <c r="V38" s="1750"/>
    </row>
    <row r="39" spans="1:26" ht="16.5" customHeight="1" thickBot="1">
      <c r="A39" s="1132"/>
      <c r="B39" s="299"/>
      <c r="C39" s="300"/>
      <c r="D39" s="300"/>
      <c r="E39" s="301"/>
      <c r="F39" s="302"/>
      <c r="G39" s="302"/>
      <c r="H39" s="302"/>
      <c r="I39" s="302"/>
      <c r="J39" s="1752"/>
      <c r="K39" s="3842" t="str">
        <f>MID(A44,3,LEN(A44)-2)</f>
        <v/>
      </c>
      <c r="L39" s="3843"/>
      <c r="M39" s="3843"/>
      <c r="N39" s="3844"/>
      <c r="O39" s="1245" t="str">
        <f>C44</f>
        <v>——</v>
      </c>
      <c r="P39" s="1750"/>
      <c r="V39" s="1750"/>
    </row>
    <row r="40" spans="1:26" ht="18" thickBot="1">
      <c r="A40" s="100" t="s">
        <v>810</v>
      </c>
      <c r="B40" s="302"/>
      <c r="C40" s="302"/>
      <c r="D40" s="302"/>
      <c r="E40" s="302"/>
      <c r="F40" s="302"/>
      <c r="G40" s="302"/>
      <c r="H40" s="302"/>
      <c r="I40" s="302"/>
      <c r="J40" s="1752"/>
      <c r="K40" s="3842" t="str">
        <f>MID(A45,3,LEN(A45)-2)</f>
        <v/>
      </c>
      <c r="L40" s="3843"/>
      <c r="M40" s="3843"/>
      <c r="N40" s="3844"/>
      <c r="O40" s="1245" t="str">
        <f>C45</f>
        <v>——</v>
      </c>
      <c r="P40" s="1750"/>
      <c r="V40" s="1750"/>
    </row>
    <row r="41" spans="1:26" ht="16.2" thickBot="1">
      <c r="A41" s="303" t="s">
        <v>322</v>
      </c>
      <c r="B41" s="304"/>
      <c r="C41" s="305" t="s">
        <v>323</v>
      </c>
      <c r="D41" s="306" t="s">
        <v>324</v>
      </c>
      <c r="E41" s="306" t="s">
        <v>325</v>
      </c>
      <c r="F41" s="307" t="s">
        <v>326</v>
      </c>
      <c r="G41" s="302"/>
      <c r="H41" s="302"/>
      <c r="I41" s="302"/>
      <c r="J41" s="1752"/>
      <c r="K41" s="3842" t="str">
        <f>MID(A46,3,LEN(A46)-2)</f>
        <v/>
      </c>
      <c r="L41" s="3843"/>
      <c r="M41" s="3843"/>
      <c r="N41" s="3844"/>
      <c r="O41" s="1245" t="str">
        <f>C46</f>
        <v>——</v>
      </c>
      <c r="P41" s="1750"/>
      <c r="V41" s="1750"/>
    </row>
    <row r="42" spans="1:26" ht="31.2">
      <c r="A42" s="3871" t="s">
        <v>1585</v>
      </c>
      <c r="B42" s="3872"/>
      <c r="C42" s="255">
        <f ca="1">C32</f>
        <v>461</v>
      </c>
      <c r="D42" s="308">
        <f ca="1">C33</f>
        <v>8476</v>
      </c>
      <c r="E42" s="308">
        <f ca="1">C34</f>
        <v>16952</v>
      </c>
      <c r="F42" s="309">
        <f ca="1">C35</f>
        <v>1130</v>
      </c>
      <c r="G42" s="302"/>
      <c r="H42" s="302"/>
      <c r="I42" s="310"/>
      <c r="J42" s="1752"/>
      <c r="K42" s="1138" t="s">
        <v>327</v>
      </c>
      <c r="L42" s="1769" t="s">
        <v>328</v>
      </c>
      <c r="M42" s="1139" t="s">
        <v>329</v>
      </c>
      <c r="N42" s="1770" t="s">
        <v>330</v>
      </c>
      <c r="O42" s="1771" t="s">
        <v>331</v>
      </c>
      <c r="P42" s="1750"/>
      <c r="V42" s="1750"/>
    </row>
    <row r="43" spans="1:26" ht="17.399999999999999">
      <c r="A43" s="3881" t="s">
        <v>2012</v>
      </c>
      <c r="B43" s="3882"/>
      <c r="C43" s="255">
        <f>IF(H33="正常操作",G33+G34+G35,G34+G35)</f>
        <v>0</v>
      </c>
      <c r="D43" s="308" t="s">
        <v>17</v>
      </c>
      <c r="E43" s="308" t="s">
        <v>18</v>
      </c>
      <c r="F43" s="309" t="s">
        <v>18</v>
      </c>
      <c r="G43" s="2343" t="s">
        <v>877</v>
      </c>
      <c r="H43" s="302"/>
      <c r="I43" s="310"/>
      <c r="J43" s="1752"/>
      <c r="K43" s="1140" t="str">
        <f>C4</f>
        <v>基准地价</v>
      </c>
      <c r="L43" s="1141">
        <f ca="1">IF(L42="估价结果/万元",C19,C20)</f>
        <v>426</v>
      </c>
      <c r="M43" s="1142">
        <f>C18</f>
        <v>0.7</v>
      </c>
      <c r="N43" s="1143">
        <f ca="1">IF(N42="测算结果/万元",G19,G20)</f>
        <v>461</v>
      </c>
      <c r="O43" s="1144">
        <f ca="1">IF(O42="最终结果/万元",C32,C33)</f>
        <v>461</v>
      </c>
      <c r="P43" s="1750"/>
      <c r="V43" s="1750"/>
    </row>
    <row r="44" spans="1:26" ht="18" thickBot="1">
      <c r="A44" s="3871" t="str">
        <f>IF(OR(项目基本情况!E8="抵押价格",项目基本情况!E8="已注销及未注销"),"3.抵押价格","——")</f>
        <v>——</v>
      </c>
      <c r="B44" s="3872"/>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成本逼近法</v>
      </c>
      <c r="L44" s="1146">
        <f ca="1">IF(L42="估价结果/万元",D19,D20)</f>
        <v>541.30150000000003</v>
      </c>
      <c r="M44" s="1147">
        <f>D18</f>
        <v>0.30000000000000004</v>
      </c>
      <c r="N44" s="1148"/>
      <c r="O44" s="1149"/>
      <c r="P44" s="1750"/>
      <c r="V44" s="1750"/>
    </row>
    <row r="45" spans="1:26" ht="13.8">
      <c r="A45" s="3876" t="str">
        <f>IF(项目基本情况!E8="已注销及未注销","4.抵押担保权已注销时的抵押价格",IF(项目基本情况!E8="已注销","3.抵押担保权已注销时的抵押价格","——"))</f>
        <v>——</v>
      </c>
      <c r="B45" s="3877"/>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4.4" thickBot="1">
      <c r="A46" s="3873" t="str">
        <f>IF(项目基本情况!E9="抵押净值",IF(A45="——","4.抵押净值","5.抵押净值"),"——")</f>
        <v>——</v>
      </c>
      <c r="B46" s="3874"/>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6">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3.2">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3.2">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3.2">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3.2">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3.2">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3.2">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3.2">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3.2">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3.2">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3.2">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3.2">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3.2">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3.2">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3.2">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7.399999999999999">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34" t="s">
        <v>340</v>
      </c>
      <c r="B63" s="3835"/>
      <c r="C63" s="3836"/>
      <c r="D63" s="332">
        <f ca="1">ROUND(C42*F63,0)</f>
        <v>461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78" t="s">
        <v>344</v>
      </c>
      <c r="B64" s="3879"/>
      <c r="C64" s="3879"/>
      <c r="D64" s="3879"/>
      <c r="E64" s="3879"/>
      <c r="F64" s="3879"/>
      <c r="G64" s="3880"/>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6.4">
      <c r="A66" s="3875" t="s">
        <v>352</v>
      </c>
      <c r="B66" s="3841"/>
      <c r="C66" s="3841"/>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3802" t="s">
        <v>351</v>
      </c>
      <c r="M66" s="3803"/>
      <c r="N66" s="2108"/>
      <c r="O66" s="2109"/>
      <c r="P66" s="2110"/>
      <c r="Q66" s="1750"/>
      <c r="R66" s="1750"/>
      <c r="S66" s="1750"/>
      <c r="T66" s="1750"/>
      <c r="U66" s="1750"/>
      <c r="V66" s="1750"/>
    </row>
    <row r="67" spans="1:22" ht="25.5" customHeight="1">
      <c r="A67" s="343" t="s">
        <v>355</v>
      </c>
      <c r="B67" s="3853" t="s">
        <v>356</v>
      </c>
      <c r="C67" s="3853"/>
      <c r="D67" s="344">
        <v>0</v>
      </c>
      <c r="E67" s="39" t="s">
        <v>357</v>
      </c>
      <c r="F67" s="60" t="s">
        <v>15</v>
      </c>
      <c r="G67" s="3837"/>
      <c r="H67" s="2746" t="s">
        <v>2257</v>
      </c>
      <c r="I67" s="2748"/>
      <c r="J67" s="1757"/>
      <c r="K67" s="1729">
        <v>2</v>
      </c>
      <c r="L67" s="3807" t="s">
        <v>354</v>
      </c>
      <c r="M67" s="3807"/>
      <c r="N67" s="1192">
        <f>'数据-取费表'!B2</f>
        <v>45839</v>
      </c>
      <c r="O67" s="1192"/>
      <c r="P67" s="1192"/>
      <c r="Q67" s="1750"/>
      <c r="R67" s="1750"/>
      <c r="S67" s="1750"/>
      <c r="T67" s="1750"/>
      <c r="U67" s="1750"/>
      <c r="V67" s="1750"/>
    </row>
    <row r="68" spans="1:22" ht="25.5" customHeight="1">
      <c r="A68" s="345"/>
      <c r="B68" s="3853" t="s">
        <v>359</v>
      </c>
      <c r="C68" s="3853"/>
      <c r="D68" s="346"/>
      <c r="E68" s="75"/>
      <c r="F68" s="347"/>
      <c r="G68" s="3838"/>
      <c r="H68" s="2747" t="s">
        <v>2258</v>
      </c>
      <c r="I68" s="2748"/>
      <c r="J68" s="1757"/>
      <c r="K68" s="1729">
        <v>3</v>
      </c>
      <c r="L68" s="3807" t="s">
        <v>358</v>
      </c>
      <c r="M68" s="3807"/>
      <c r="N68" s="1160">
        <f ca="1">C42</f>
        <v>461</v>
      </c>
      <c r="O68" s="1160"/>
      <c r="P68" s="1160"/>
      <c r="Q68" s="1750"/>
      <c r="R68" s="1750"/>
      <c r="S68" s="1750"/>
      <c r="T68" s="1750"/>
      <c r="U68" s="1750"/>
      <c r="V68" s="1750"/>
    </row>
    <row r="69" spans="1:22" ht="23.4" customHeight="1">
      <c r="A69" s="348"/>
      <c r="B69" s="3853" t="s">
        <v>360</v>
      </c>
      <c r="C69" s="3853"/>
      <c r="D69" s="349"/>
      <c r="E69" s="71"/>
      <c r="F69" s="347"/>
      <c r="G69" s="3839"/>
      <c r="H69" s="2747" t="s">
        <v>2259</v>
      </c>
      <c r="I69" s="2748"/>
      <c r="J69" s="1757"/>
      <c r="K69" s="1161">
        <v>4</v>
      </c>
      <c r="L69" s="3808" t="s">
        <v>2157</v>
      </c>
      <c r="M69" s="3809"/>
      <c r="N69" s="1162" t="str">
        <f>C44</f>
        <v>——</v>
      </c>
      <c r="O69" s="1162"/>
      <c r="P69" s="1162"/>
      <c r="Q69" s="1750"/>
      <c r="R69" s="1750"/>
      <c r="S69" s="1750"/>
      <c r="T69" s="1750"/>
      <c r="U69" s="1750"/>
      <c r="V69" s="1750"/>
    </row>
    <row r="70" spans="1:22" ht="24" customHeight="1">
      <c r="A70" s="350" t="s">
        <v>361</v>
      </c>
      <c r="B70" s="3853" t="s">
        <v>362</v>
      </c>
      <c r="C70" s="3853"/>
      <c r="D70" s="349">
        <f ca="1">ROUND(D63*'数据-取费表'!B41/(1+'数据-取费表'!C42),0)</f>
        <v>25</v>
      </c>
      <c r="E70" s="15" t="s">
        <v>363</v>
      </c>
      <c r="F70" s="351">
        <f>'数据-取费表'!B41</f>
        <v>5.6000000000000001E-2</v>
      </c>
      <c r="G70" s="352"/>
      <c r="H70" s="302"/>
      <c r="I70" s="1159"/>
      <c r="J70" s="1757"/>
      <c r="K70" s="2519"/>
      <c r="L70" s="2520"/>
      <c r="M70" s="2520"/>
      <c r="N70" s="2521" t="s">
        <v>2161</v>
      </c>
      <c r="O70" s="2520"/>
      <c r="P70" s="2522"/>
      <c r="Q70" s="1750"/>
      <c r="R70" s="1750"/>
      <c r="S70" s="1750"/>
      <c r="T70" s="1750"/>
      <c r="U70" s="1750"/>
      <c r="V70" s="1750"/>
    </row>
    <row r="71" spans="1:22" ht="12" customHeight="1">
      <c r="A71" s="350" t="s">
        <v>369</v>
      </c>
      <c r="B71" s="3852" t="s">
        <v>2282</v>
      </c>
      <c r="C71" s="3869"/>
      <c r="D71" s="349">
        <f ca="1">ROUND(D63*'数据-取费表'!B41/(1+'数据-取费表'!C42),0)</f>
        <v>25</v>
      </c>
      <c r="E71" s="15" t="s">
        <v>363</v>
      </c>
      <c r="F71" s="351">
        <f>'数据-取费表'!B41</f>
        <v>5.6000000000000001E-2</v>
      </c>
      <c r="G71" s="352"/>
      <c r="H71" s="302"/>
      <c r="I71" s="1159"/>
      <c r="J71" s="1757"/>
      <c r="K71" s="2518" t="s">
        <v>364</v>
      </c>
      <c r="L71" s="3810" t="s">
        <v>365</v>
      </c>
      <c r="M71" s="3810"/>
      <c r="N71" s="2518" t="s">
        <v>366</v>
      </c>
      <c r="O71" s="2518" t="s">
        <v>367</v>
      </c>
      <c r="P71" s="2518" t="s">
        <v>368</v>
      </c>
      <c r="Q71" s="1750"/>
      <c r="R71" s="1750"/>
      <c r="S71" s="1750"/>
      <c r="T71" s="1750"/>
      <c r="U71" s="1750"/>
      <c r="V71" s="1750"/>
    </row>
    <row r="72" spans="1:22" ht="12" customHeight="1">
      <c r="A72" s="350" t="s">
        <v>371</v>
      </c>
      <c r="B72" s="3852" t="s">
        <v>2283</v>
      </c>
      <c r="C72" s="3869"/>
      <c r="D72" s="349">
        <f ca="1">C86</f>
        <v>25</v>
      </c>
      <c r="E72" s="71" t="s">
        <v>372</v>
      </c>
      <c r="F72" s="351">
        <f>'数据-取费表'!B41</f>
        <v>5.6000000000000001E-2</v>
      </c>
      <c r="G72" s="352"/>
      <c r="H72" s="1165"/>
      <c r="I72" s="1159"/>
      <c r="J72" s="1757"/>
      <c r="K72" s="1729">
        <v>1</v>
      </c>
      <c r="L72" s="3806" t="s">
        <v>370</v>
      </c>
      <c r="M72" s="3806"/>
      <c r="N72" s="1163" t="b">
        <f>D66</f>
        <v>0</v>
      </c>
      <c r="O72" s="1634" t="str">
        <f>E66</f>
        <v>销售额×税（费）率</v>
      </c>
      <c r="P72" s="1164">
        <f>F66</f>
        <v>5.6000000000000001E-2</v>
      </c>
      <c r="Q72" s="1750"/>
      <c r="R72" s="1750"/>
      <c r="S72" s="1750"/>
      <c r="T72" s="1750"/>
      <c r="U72" s="1750"/>
      <c r="V72" s="1750"/>
    </row>
    <row r="73" spans="1:22" ht="24" customHeight="1">
      <c r="A73" s="3840" t="s">
        <v>374</v>
      </c>
      <c r="B73" s="3841"/>
      <c r="C73" s="3841"/>
      <c r="D73" s="353">
        <f ca="1">IF(H73="个人住宅",0,ROUND(D63*I73,0))</f>
        <v>0</v>
      </c>
      <c r="E73" s="15" t="s">
        <v>375</v>
      </c>
      <c r="F73" s="351" t="str">
        <f>IF(H73="正常",I73,"免征")</f>
        <v>免征</v>
      </c>
      <c r="G73" s="352"/>
      <c r="H73" s="184"/>
      <c r="I73" s="351">
        <f>'数据-取费表'!B49</f>
        <v>5.0000000000000001E-4</v>
      </c>
      <c r="J73" s="1757"/>
      <c r="K73" s="1729">
        <v>2</v>
      </c>
      <c r="L73" s="3806" t="s">
        <v>373</v>
      </c>
      <c r="M73" s="3806"/>
      <c r="N73" s="1163">
        <f t="shared" ref="N73:P74" ca="1" si="0">D73</f>
        <v>0</v>
      </c>
      <c r="O73" s="1634" t="str">
        <f t="shared" si="0"/>
        <v>销售额×税（费）率</v>
      </c>
      <c r="P73" s="1164" t="str">
        <f t="shared" si="0"/>
        <v>免征</v>
      </c>
      <c r="Q73" s="1750"/>
      <c r="R73" s="1750"/>
      <c r="S73" s="1750"/>
      <c r="T73" s="1750"/>
      <c r="U73" s="1750"/>
      <c r="V73" s="1750"/>
    </row>
    <row r="74" spans="1:22" ht="25.2">
      <c r="A74" s="3840" t="s">
        <v>377</v>
      </c>
      <c r="B74" s="3841"/>
      <c r="C74" s="3841"/>
      <c r="D74" s="353">
        <f ca="1">IF(H74="个人住宅",D75,D76)</f>
        <v>261</v>
      </c>
      <c r="E74" s="15" t="s">
        <v>378</v>
      </c>
      <c r="F74" s="351" t="str">
        <f>IF(H74="正常",F76,"免征")</f>
        <v>免征</v>
      </c>
      <c r="G74" s="943" t="s">
        <v>379</v>
      </c>
      <c r="H74" s="354"/>
      <c r="I74" s="40"/>
      <c r="J74" s="1757"/>
      <c r="K74" s="1729">
        <v>3</v>
      </c>
      <c r="L74" s="3806" t="s">
        <v>376</v>
      </c>
      <c r="M74" s="3806"/>
      <c r="N74" s="1163">
        <f t="shared" ca="1" si="0"/>
        <v>261</v>
      </c>
      <c r="O74" s="1634" t="str">
        <f t="shared" si="0"/>
        <v>增值额×税（费）率</v>
      </c>
      <c r="P74" s="1166" t="str">
        <f t="shared" si="0"/>
        <v>免征</v>
      </c>
      <c r="Q74" s="1750"/>
      <c r="R74" s="1750"/>
      <c r="S74" s="1750"/>
      <c r="T74" s="1750"/>
      <c r="U74" s="1750"/>
      <c r="V74" s="1750"/>
    </row>
    <row r="75" spans="1:22" ht="13.2">
      <c r="A75" s="350" t="s">
        <v>380</v>
      </c>
      <c r="B75" s="3821" t="s">
        <v>381</v>
      </c>
      <c r="C75" s="3822"/>
      <c r="D75" s="355">
        <v>0</v>
      </c>
      <c r="E75" s="39" t="s">
        <v>382</v>
      </c>
      <c r="F75" s="356"/>
      <c r="G75" s="352"/>
      <c r="H75" s="40"/>
      <c r="I75" s="40"/>
      <c r="J75" s="1757"/>
      <c r="K75" s="2512">
        <f>IF(H77="非个人房产","",4)</f>
        <v>4</v>
      </c>
      <c r="L75" s="3806" t="str">
        <f>IF(H77="非个人房产","——","个人所得税")</f>
        <v>个人所得税</v>
      </c>
      <c r="M75" s="3806"/>
      <c r="N75" s="1167">
        <f>D77</f>
        <v>0</v>
      </c>
      <c r="O75" s="1635" t="str">
        <f>E77</f>
        <v>差额计税</v>
      </c>
      <c r="P75" s="1168">
        <f>F77</f>
        <v>0.01</v>
      </c>
      <c r="Q75" s="1750"/>
      <c r="R75" s="1750"/>
      <c r="S75" s="1750"/>
      <c r="T75" s="1750"/>
      <c r="U75" s="1750"/>
      <c r="V75" s="1750"/>
    </row>
    <row r="76" spans="1:22" ht="25.2">
      <c r="A76" s="350" t="s">
        <v>361</v>
      </c>
      <c r="B76" s="3821" t="s">
        <v>384</v>
      </c>
      <c r="C76" s="3863"/>
      <c r="D76" s="353">
        <f ca="1">IF(H76="转让取得",C99,C115)</f>
        <v>261</v>
      </c>
      <c r="E76" s="15" t="s">
        <v>385</v>
      </c>
      <c r="F76" s="51" t="s">
        <v>15</v>
      </c>
      <c r="G76" s="352"/>
      <c r="H76" s="354"/>
      <c r="I76" s="40"/>
      <c r="J76" s="1757"/>
      <c r="K76" s="2512" t="str">
        <f>IF(项目基本情况!K6="上海银行",IF(K75="",4,K75+1),"")</f>
        <v/>
      </c>
      <c r="L76" s="3817" t="str">
        <f>IF(项目基本情况!K6="上海银行","其他处置费用","")</f>
        <v/>
      </c>
      <c r="M76" s="3818"/>
      <c r="N76" s="1163" t="str">
        <f>IF(项目基本情况!K6="上海银行",N89,"")</f>
        <v/>
      </c>
      <c r="O76" s="3819" t="str">
        <f>IF(项目基本情况!K6="上海银行","包含处置中涉及的律师、诉讼、拍卖、评估等费用","")</f>
        <v/>
      </c>
      <c r="P76" s="3820"/>
      <c r="Q76" s="1750"/>
      <c r="R76" s="1750"/>
      <c r="S76" s="1750"/>
      <c r="T76" s="1750"/>
      <c r="U76" s="1750"/>
      <c r="V76" s="1750"/>
    </row>
    <row r="77" spans="1:22" ht="24.6" thickBot="1">
      <c r="A77" s="3832" t="s">
        <v>387</v>
      </c>
      <c r="B77" s="3833"/>
      <c r="C77" s="3833"/>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28">
        <f>IF(AND(K75="",K76=""),4,IF(项目基本情况!K6="上海银行",K76+1,K75+1))</f>
        <v>5</v>
      </c>
      <c r="L77" s="3806" t="s">
        <v>2158</v>
      </c>
      <c r="M77" s="2517" t="s">
        <v>383</v>
      </c>
      <c r="N77" s="1169"/>
      <c r="O77" s="1170">
        <f ca="1">SUMIF(N72:N76,"&lt;9e307")</f>
        <v>261</v>
      </c>
      <c r="P77" s="1171"/>
      <c r="Q77" s="2515" t="e">
        <f ca="1">O77/N69</f>
        <v>#VALUE!</v>
      </c>
      <c r="R77" s="1750"/>
      <c r="S77" s="1750"/>
      <c r="T77" s="1750"/>
      <c r="U77" s="1750"/>
      <c r="V77" s="1750"/>
    </row>
    <row r="78" spans="1:22" ht="12" customHeight="1">
      <c r="A78" s="1172"/>
      <c r="B78" s="302"/>
      <c r="C78" s="302"/>
      <c r="D78" s="302"/>
      <c r="E78" s="40"/>
      <c r="F78" s="40"/>
      <c r="G78" s="40"/>
      <c r="H78" s="963"/>
      <c r="I78" s="302"/>
      <c r="J78" s="1757"/>
      <c r="K78" s="3828"/>
      <c r="L78" s="3806"/>
      <c r="M78" s="2517" t="s">
        <v>386</v>
      </c>
      <c r="N78" s="1169"/>
      <c r="O78" s="1170" t="str">
        <f ca="1">NUMBERSTRING(INT(O77*10000),2)&amp;"元整"</f>
        <v>贰佰陆拾壹万元整</v>
      </c>
      <c r="P78" s="1171"/>
      <c r="Q78" s="1750"/>
      <c r="R78" s="1750"/>
      <c r="S78" s="1750"/>
      <c r="T78" s="1750"/>
      <c r="U78" s="1750"/>
      <c r="V78" s="1750"/>
    </row>
    <row r="79" spans="1:22" ht="13.8" thickBot="1">
      <c r="A79" s="3883" t="s">
        <v>388</v>
      </c>
      <c r="B79" s="3883"/>
      <c r="C79" s="3883"/>
      <c r="D79" s="3883"/>
      <c r="E79" s="3883"/>
      <c r="F79" s="40"/>
      <c r="G79" s="40"/>
      <c r="H79" s="963"/>
      <c r="I79" s="302"/>
      <c r="J79" s="1757"/>
      <c r="K79" s="3804">
        <f>K77+1</f>
        <v>6</v>
      </c>
      <c r="L79" s="3806" t="s">
        <v>2159</v>
      </c>
      <c r="M79" s="2517" t="s">
        <v>383</v>
      </c>
      <c r="N79" s="1169"/>
      <c r="O79" s="1170" t="e">
        <f ca="1">N69-O77</f>
        <v>#VALUE!</v>
      </c>
      <c r="P79" s="1171"/>
      <c r="Q79" s="1750"/>
      <c r="R79" s="1750"/>
      <c r="S79" s="1750"/>
      <c r="T79" s="1750"/>
      <c r="U79" s="1750"/>
      <c r="V79" s="1750"/>
    </row>
    <row r="80" spans="1:22" ht="13.2">
      <c r="A80" s="3814" t="s">
        <v>389</v>
      </c>
      <c r="B80" s="3815"/>
      <c r="C80" s="954"/>
      <c r="D80" s="954" t="s">
        <v>390</v>
      </c>
      <c r="E80" s="357" t="s">
        <v>391</v>
      </c>
      <c r="F80" s="40"/>
      <c r="G80" s="40"/>
      <c r="H80" s="963"/>
      <c r="I80" s="302"/>
      <c r="J80" s="1750"/>
      <c r="K80" s="3805"/>
      <c r="L80" s="3806"/>
      <c r="M80" s="2517" t="s">
        <v>386</v>
      </c>
      <c r="N80" s="1169"/>
      <c r="O80" s="1170" t="e">
        <f ca="1">NUMBERSTRING(INT(O79*10000),2)&amp;"元整"</f>
        <v>#VALUE!</v>
      </c>
      <c r="P80" s="1171"/>
      <c r="Q80" s="1750"/>
      <c r="R80" s="1750"/>
      <c r="S80" s="1750"/>
      <c r="T80" s="1750"/>
      <c r="U80" s="1750"/>
      <c r="V80" s="1750"/>
    </row>
    <row r="81" spans="1:26" ht="13.8" thickBot="1">
      <c r="A81" s="368" t="s">
        <v>1352</v>
      </c>
      <c r="B81" s="358" t="s">
        <v>392</v>
      </c>
      <c r="C81" s="359">
        <f ca="1">ROUND((C82+C83)/(1+'数据-取费表'!C42),0)</f>
        <v>439</v>
      </c>
      <c r="D81" s="360"/>
      <c r="E81" s="361"/>
      <c r="F81" s="40"/>
      <c r="G81" s="40"/>
      <c r="H81" s="963"/>
      <c r="I81" s="302"/>
      <c r="J81" s="1750"/>
      <c r="K81" s="2512">
        <f>K79+1</f>
        <v>7</v>
      </c>
      <c r="L81" s="3826" t="s">
        <v>2160</v>
      </c>
      <c r="M81" s="3827"/>
      <c r="N81" s="1173"/>
      <c r="O81" s="1174" t="e">
        <f ca="1">ROUND(O79*10000/'数据-汇总表'!E3,0)</f>
        <v>#VALUE!</v>
      </c>
      <c r="P81" s="1175"/>
      <c r="Q81" s="1750"/>
      <c r="R81" s="1750"/>
      <c r="S81" s="1750"/>
      <c r="T81" s="1750"/>
      <c r="U81" s="1750"/>
      <c r="V81" s="1750"/>
    </row>
    <row r="82" spans="1:26" ht="13.8" thickTop="1">
      <c r="A82" s="362" t="s">
        <v>1353</v>
      </c>
      <c r="B82" s="363" t="s">
        <v>393</v>
      </c>
      <c r="C82" s="364">
        <f ca="1">D63</f>
        <v>461</v>
      </c>
      <c r="D82" s="365" t="s">
        <v>13</v>
      </c>
      <c r="E82" s="366"/>
      <c r="F82" s="40"/>
      <c r="G82" s="40"/>
      <c r="H82" s="963"/>
      <c r="I82" s="302"/>
      <c r="J82" s="1750"/>
      <c r="K82" s="1750"/>
      <c r="L82" s="1750"/>
      <c r="M82" s="1750"/>
      <c r="N82" s="1750"/>
      <c r="O82" s="1750"/>
      <c r="P82" s="1750"/>
      <c r="Q82" s="1750"/>
      <c r="R82" s="1750"/>
      <c r="S82" s="1750"/>
      <c r="T82" s="1750"/>
      <c r="U82" s="1750"/>
      <c r="V82" s="1750"/>
    </row>
    <row r="83" spans="1:26" ht="13.2">
      <c r="A83" s="362" t="s">
        <v>1354</v>
      </c>
      <c r="B83" s="363" t="s">
        <v>394</v>
      </c>
      <c r="C83" s="367"/>
      <c r="D83" s="365"/>
      <c r="E83" s="366"/>
      <c r="F83" s="40"/>
      <c r="G83" s="40"/>
      <c r="H83" s="963"/>
      <c r="I83" s="302"/>
      <c r="J83" s="1750"/>
      <c r="K83" s="3816"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25.2">
      <c r="A84" s="368" t="s">
        <v>1355</v>
      </c>
      <c r="B84" s="369" t="s">
        <v>395</v>
      </c>
      <c r="C84" s="370"/>
      <c r="D84" s="371" t="s">
        <v>13</v>
      </c>
      <c r="E84" s="2539" t="s">
        <v>2203</v>
      </c>
      <c r="F84" s="40"/>
      <c r="G84" s="40"/>
      <c r="H84" s="963"/>
      <c r="I84" s="302"/>
      <c r="J84" s="1750"/>
      <c r="K84" s="3816"/>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3.2">
      <c r="A85" s="368" t="s">
        <v>1356</v>
      </c>
      <c r="B85" s="369" t="s">
        <v>396</v>
      </c>
      <c r="C85" s="372">
        <f ca="1">C81-C84</f>
        <v>439</v>
      </c>
      <c r="D85" s="365" t="s">
        <v>13</v>
      </c>
      <c r="E85" s="366"/>
      <c r="F85" s="40"/>
      <c r="G85" s="40"/>
      <c r="H85" s="963"/>
      <c r="I85" s="302"/>
      <c r="J85" s="1750"/>
      <c r="K85" s="3816"/>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8" thickBot="1">
      <c r="A86" s="373" t="s">
        <v>1357</v>
      </c>
      <c r="B86" s="374" t="s">
        <v>397</v>
      </c>
      <c r="C86" s="375">
        <f ca="1">IF(C85&lt;=0,0,ROUND(C85*D86,0))</f>
        <v>25</v>
      </c>
      <c r="D86" s="376">
        <f>'数据-取费表'!B41</f>
        <v>5.6000000000000001E-2</v>
      </c>
      <c r="E86" s="377"/>
      <c r="F86" s="40"/>
      <c r="G86" s="40"/>
      <c r="H86" s="963"/>
      <c r="I86" s="302"/>
      <c r="J86" s="1750"/>
      <c r="K86" s="3816"/>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16"/>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3"/>
      <c r="X87" s="283"/>
      <c r="Y87" s="283"/>
      <c r="Z87" s="283"/>
    </row>
    <row r="88" spans="1:26" s="1181" customFormat="1" ht="14.4" thickBot="1">
      <c r="A88" s="3855" t="s">
        <v>398</v>
      </c>
      <c r="B88" s="3856"/>
      <c r="C88" s="3856"/>
      <c r="D88" s="3856"/>
      <c r="E88" s="3856"/>
      <c r="F88" s="3856"/>
      <c r="G88" s="3856"/>
      <c r="H88" s="3856"/>
      <c r="I88" s="1182"/>
      <c r="J88" s="1758"/>
      <c r="K88" s="3816"/>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3.8">
      <c r="A89" s="3814" t="s">
        <v>389</v>
      </c>
      <c r="B89" s="3815"/>
      <c r="C89" s="954"/>
      <c r="D89" s="954" t="s">
        <v>390</v>
      </c>
      <c r="E89" s="378" t="s">
        <v>399</v>
      </c>
      <c r="F89" s="379"/>
      <c r="G89" s="379"/>
      <c r="H89" s="380"/>
      <c r="I89" s="1183"/>
      <c r="J89" s="1760"/>
      <c r="K89" s="3816"/>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3.8">
      <c r="A90" s="368" t="s">
        <v>1352</v>
      </c>
      <c r="B90" s="369" t="s">
        <v>400</v>
      </c>
      <c r="C90" s="372">
        <f ca="1">ROUND(D63/(1+'数据-取费表'!C42),0)</f>
        <v>439</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3.8">
      <c r="A91" s="368" t="s">
        <v>1358</v>
      </c>
      <c r="B91" s="339" t="s">
        <v>401</v>
      </c>
      <c r="C91" s="372">
        <f ca="1">C92+C96</f>
        <v>3</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4">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52" t="s">
        <v>407</v>
      </c>
      <c r="F94" s="3853"/>
      <c r="G94" s="3853"/>
      <c r="H94" s="3854"/>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v>
      </c>
      <c r="D96" s="393">
        <f>'数据-取费表'!B43</f>
        <v>6.000000000000001E-3</v>
      </c>
      <c r="E96" s="3811" t="s">
        <v>1780</v>
      </c>
      <c r="F96" s="3812"/>
      <c r="G96" s="3812"/>
      <c r="H96" s="3813"/>
      <c r="I96" s="1184"/>
      <c r="J96" s="1761"/>
      <c r="K96" s="1755"/>
      <c r="L96" s="1755"/>
      <c r="M96" s="1755"/>
      <c r="N96" s="1755"/>
      <c r="O96" s="1755"/>
      <c r="P96" s="1755"/>
      <c r="Q96" s="1755"/>
      <c r="R96" s="1755"/>
      <c r="S96" s="1755"/>
      <c r="T96" s="1755"/>
      <c r="U96" s="1755"/>
      <c r="V96" s="1755"/>
      <c r="W96" s="1759"/>
      <c r="X96" s="1759"/>
      <c r="Y96" s="1759"/>
      <c r="Z96" s="1759"/>
    </row>
    <row r="97" spans="1:26" s="1181" customFormat="1" ht="13.8">
      <c r="A97" s="1422" t="s">
        <v>1364</v>
      </c>
      <c r="B97" s="369" t="s">
        <v>411</v>
      </c>
      <c r="C97" s="372">
        <f ca="1">C90-C91</f>
        <v>436</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145.33333333333334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6" thickBot="1">
      <c r="A99" s="1423" t="s">
        <v>1366</v>
      </c>
      <c r="B99" s="374" t="s">
        <v>413</v>
      </c>
      <c r="C99" s="395">
        <f ca="1">ROUND(IF(C97&lt;=0,0,IF(C98&gt;=200%,C97*60%-C91*35%,IF(C98&gt;=100%,C97*50%-C91*15%,IF(C98&gt;=50%,C97*40%-C91*5%,IF(C98&lt;50%,C97*30%,0))))),0)</f>
        <v>261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4.4" thickBot="1">
      <c r="A101" s="3855" t="s">
        <v>414</v>
      </c>
      <c r="B101" s="3856"/>
      <c r="C101" s="3856"/>
      <c r="D101" s="3856"/>
      <c r="E101" s="3856"/>
      <c r="F101" s="3856"/>
      <c r="G101" s="3856"/>
      <c r="H101" s="3856"/>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3.8">
      <c r="A102" s="3814" t="s">
        <v>389</v>
      </c>
      <c r="B102" s="3815"/>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3.8">
      <c r="A103" s="368" t="s">
        <v>1352</v>
      </c>
      <c r="B103" s="369" t="s">
        <v>400</v>
      </c>
      <c r="C103" s="372">
        <f ca="1">ROUND(D63/(1+'数据-取费表'!C42),0)</f>
        <v>439</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3.8">
      <c r="A104" s="368" t="s">
        <v>1358</v>
      </c>
      <c r="B104" s="339" t="s">
        <v>401</v>
      </c>
      <c r="C104" s="372">
        <f ca="1">IF(H106="仅含出让金",C105+C108+C109+C110+C111+C112,C105+C109+C110+C111+C112)</f>
        <v>3</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3.8">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4">
      <c r="A106" s="382" t="s">
        <v>1360</v>
      </c>
      <c r="B106" s="363" t="s">
        <v>416</v>
      </c>
      <c r="C106" s="403"/>
      <c r="D106" s="393"/>
      <c r="E106" s="404" t="s">
        <v>417</v>
      </c>
      <c r="F106" s="946"/>
      <c r="G106" s="405" t="s">
        <v>418</v>
      </c>
      <c r="H106" s="406"/>
      <c r="I106" s="9"/>
      <c r="J106" s="1755"/>
      <c r="K106" s="2983" t="s">
        <v>2276</v>
      </c>
      <c r="L106" s="1755"/>
      <c r="M106" s="1755"/>
      <c r="N106" s="1755"/>
      <c r="O106" s="1755"/>
      <c r="P106" s="1755"/>
      <c r="Q106" s="1755"/>
      <c r="R106" s="1755"/>
      <c r="S106" s="1755"/>
      <c r="T106" s="1755"/>
      <c r="U106" s="1755"/>
      <c r="V106" s="1755"/>
      <c r="W106" s="1759"/>
      <c r="X106" s="1759"/>
      <c r="Y106" s="1759"/>
      <c r="Z106" s="1759"/>
    </row>
    <row r="107" spans="1:26" s="1181" customFormat="1" ht="13.8">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4">
      <c r="A108" s="382" t="s">
        <v>1363</v>
      </c>
      <c r="B108" s="363" t="s">
        <v>420</v>
      </c>
      <c r="C108" s="403"/>
      <c r="D108" s="393"/>
      <c r="E108" s="404" t="str">
        <f>IF(H106="-","土地取得成本中已包含该笔费用"," ")</f>
        <v xml:space="preserve"> </v>
      </c>
      <c r="F108" s="946"/>
      <c r="G108" s="3867" t="s">
        <v>2252</v>
      </c>
      <c r="H108" s="3868"/>
      <c r="I108" s="2609"/>
      <c r="J108" s="1755"/>
      <c r="K108" s="2983" t="s">
        <v>2277</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845" t="s">
        <v>422</v>
      </c>
      <c r="F109" s="3812"/>
      <c r="G109" s="3812"/>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3">
        <v>0</v>
      </c>
      <c r="E110" s="3845" t="s">
        <v>424</v>
      </c>
      <c r="F110" s="3812"/>
      <c r="G110" s="3812"/>
      <c r="H110" s="3813"/>
      <c r="I110" s="9"/>
      <c r="J110" s="1755"/>
      <c r="K110" s="2984" t="s">
        <v>2278</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v>
      </c>
      <c r="D111" s="393">
        <f>'数据-取费表'!B43</f>
        <v>6.000000000000001E-3</v>
      </c>
      <c r="E111" s="3811" t="s">
        <v>1780</v>
      </c>
      <c r="F111" s="3812"/>
      <c r="G111" s="3812"/>
      <c r="H111" s="3813"/>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845" t="s">
        <v>1799</v>
      </c>
      <c r="F112" s="3812"/>
      <c r="G112" s="3812"/>
      <c r="H112" s="3813"/>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3.8">
      <c r="A113" s="1422" t="s">
        <v>1364</v>
      </c>
      <c r="B113" s="369" t="s">
        <v>411</v>
      </c>
      <c r="C113" s="372">
        <f ca="1">ROUND(C103-C104,0)</f>
        <v>436</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145.33333333333334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6" thickBot="1">
      <c r="A115" s="1423" t="s">
        <v>1366</v>
      </c>
      <c r="B115" s="374" t="s">
        <v>413</v>
      </c>
      <c r="C115" s="395">
        <f ca="1">ROUND(IF(C113&lt;=0,0,IF(C114&gt;=200%,C113*60%-C104*35%,IF(C114&gt;=100%,C113*50%-C104*15%,IF(C114&gt;=50%,C113*40%-C104*5%,IF(C114&lt;50%,C113*30%,0))))),0)</f>
        <v>261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5" customWidth="1"/>
    <col min="2" max="2" width="25.77734375" style="1835" customWidth="1"/>
    <col min="3" max="3" width="10.33203125" style="1846" customWidth="1"/>
    <col min="4" max="4" width="12" style="1835" customWidth="1"/>
    <col min="5" max="5" width="9.44140625" style="1845" customWidth="1"/>
    <col min="6" max="6" width="10.109375" style="1835" customWidth="1"/>
    <col min="7" max="7" width="11.66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31" s="1763" customFormat="1" ht="21">
      <c r="A1" s="1824"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4.4">
      <c r="A7" s="2309" t="s">
        <v>430</v>
      </c>
      <c r="B7" s="2310"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0.05</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543.88</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61"/>
      <c r="E17" s="2325"/>
      <c r="F17" s="2326">
        <f>'数据-取费表'!B36</f>
        <v>0.02</v>
      </c>
      <c r="G17" s="252" t="s">
        <v>446</v>
      </c>
      <c r="H17" s="2292"/>
      <c r="I17" s="2292"/>
      <c r="J17" s="2292"/>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4"/>
      <c r="F18" s="454"/>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543.88</v>
      </c>
      <c r="E19" s="2285">
        <f>'数据-取费表'!B32</f>
        <v>0</v>
      </c>
      <c r="F19" s="454"/>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0.12240000000000073</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160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11</v>
      </c>
      <c r="D22" s="2321">
        <f ca="1">IF(B1="",'数据-汇总表'!E6,IF(INDIRECT("'数据-取费表'!c"&amp;$K$1)="住宅",INDIRECT("'数据-取费表'!s"&amp;$K$1),INDIRECT("'数据-取费表'!k"&amp;$K$1)+INDIRECT("'数据-取费表'!s"&amp;$K$1)))</f>
        <v>543.88</v>
      </c>
      <c r="E22" s="51">
        <f>'数据-取费表'!B28</f>
        <v>200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4"/>
      <c r="E23" s="454"/>
      <c r="F23" s="2333">
        <f>'数据-取费表'!B37</f>
        <v>0.02</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61"/>
      <c r="E24" s="459"/>
      <c r="F24" s="2333">
        <f>'数据-取费表'!B38</f>
        <v>0.03</v>
      </c>
      <c r="G24" s="2298" t="s">
        <v>459</v>
      </c>
      <c r="H24" s="2292"/>
      <c r="I24" s="2292"/>
      <c r="J24" s="2292"/>
      <c r="K24" s="270"/>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f ca="1">C28</f>
        <v>0</v>
      </c>
      <c r="D26" s="453">
        <f ca="1">C27</f>
        <v>0</v>
      </c>
      <c r="E26" s="455" t="s">
        <v>455</v>
      </c>
      <c r="F26" s="457">
        <f ca="1">'数据-取费表'!B40</f>
        <v>0.03</v>
      </c>
      <c r="G26" s="2186"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2"/>
      <c r="I27" s="2292"/>
      <c r="J27" s="2292"/>
      <c r="K27" s="270"/>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2"/>
      <c r="I28" s="2292"/>
      <c r="J28" s="2292"/>
      <c r="K28" s="270"/>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4"/>
      <c r="E29" s="454"/>
      <c r="F29" s="2505">
        <f>'数据-取费表'!B41</f>
        <v>5.6000000000000001E-2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f ca="1">C31</f>
        <v>0.12240000000000073</v>
      </c>
      <c r="D30" s="463">
        <f ca="1">C32</f>
        <v>2.9000000000000001E-2</v>
      </c>
      <c r="E30" s="455" t="s">
        <v>455</v>
      </c>
      <c r="F30" s="457"/>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6">
        <f ca="1">C18+C19+C20+C23+C24+C26+C29</f>
        <v>0.12240000000000073</v>
      </c>
      <c r="D31" s="458"/>
      <c r="E31" s="459"/>
      <c r="F31" s="460"/>
      <c r="G31" s="252"/>
      <c r="H31" s="2292"/>
      <c r="I31" s="2292"/>
      <c r="J31" s="2292"/>
      <c r="K31" s="270"/>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f ca="1">ROUND(C25+D26,4)</f>
        <v>2.9000000000000001E-2</v>
      </c>
      <c r="D32" s="458"/>
      <c r="E32" s="459"/>
      <c r="F32" s="460"/>
      <c r="G32" s="252"/>
      <c r="H32" s="2292"/>
      <c r="I32" s="2292"/>
      <c r="J32" s="2292"/>
      <c r="K32" s="270"/>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4">
        <f ca="1">C35</f>
        <v>0</v>
      </c>
      <c r="D33" s="453">
        <f ca="1">C34</f>
        <v>0.15440000000000001</v>
      </c>
      <c r="E33" s="455" t="s">
        <v>455</v>
      </c>
      <c r="F33" s="465">
        <f ca="1">IF(B1="",'数据-取费表'!Q16,INDIRECT("'数据-取费表'!q"&amp;$K$1))</f>
        <v>0.15</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2" t="s">
        <v>1385</v>
      </c>
      <c r="B34" s="2340" t="s">
        <v>461</v>
      </c>
      <c r="C34" s="458">
        <f ca="1">ROUND((1+C25)*F33,4)</f>
        <v>0.15440000000000001</v>
      </c>
      <c r="D34" s="458"/>
      <c r="E34" s="459"/>
      <c r="F34" s="466"/>
      <c r="G34" s="252" t="s">
        <v>1648</v>
      </c>
      <c r="H34" s="2292"/>
      <c r="I34" s="2292"/>
      <c r="J34" s="2292"/>
      <c r="K34" s="270"/>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f ca="1">ROUND((C18+C19+C20+C23+C24)*F33,0)</f>
        <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5" t="s">
        <v>1373</v>
      </c>
      <c r="B36" s="2303"/>
      <c r="C36" s="2342">
        <f ca="1">ROUND((C6-C30-C33)/(1+D30+D33),0)</f>
        <v>0</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845" customWidth="1"/>
    <col min="2" max="2" width="25.77734375" style="1835" customWidth="1"/>
    <col min="3" max="3" width="11.44140625" style="1846" customWidth="1"/>
    <col min="4" max="4" width="12" style="1835" customWidth="1"/>
    <col min="5" max="5" width="9.44140625" style="1845" customWidth="1"/>
    <col min="6" max="6" width="10.109375" style="1835" customWidth="1"/>
    <col min="7" max="7" width="9.441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41" s="1763" customFormat="1" ht="21">
      <c r="A1" s="408"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-23.324985904002943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-429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-858</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-57</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4.4">
      <c r="A7" s="421" t="s">
        <v>430</v>
      </c>
      <c r="B7" s="422" t="s">
        <v>431</v>
      </c>
      <c r="C7" s="3053"/>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5" t="s">
        <v>439</v>
      </c>
      <c r="C13" s="436">
        <f ca="1">IF(B1="",'数据-取费表'!M16,INDIRECT("'数据-取费表'!M"&amp;$K$1)+INDIRECT("'数据-取费表'!t"&amp;$K$1))</f>
        <v>27</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1</v>
      </c>
      <c r="D14" s="437"/>
      <c r="E14" s="356"/>
      <c r="F14" s="442">
        <f>'数据-取费表'!B33</f>
        <v>0.05</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0</v>
      </c>
      <c r="D16" s="437">
        <f ca="1">IF(B1="",'数据-汇总表'!E3,INDIRECT("'数据-取费表'!K"&amp;$K$1)+INDIRECT("'数据-取费表'!S"&amp;$K$1))</f>
        <v>543.88</v>
      </c>
      <c r="E16" s="51">
        <f>'数据-取费表'!B35</f>
        <v>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1</v>
      </c>
      <c r="D17" s="441"/>
      <c r="E17" s="440"/>
      <c r="F17" s="442">
        <f>'数据-取费表'!B36</f>
        <v>0.02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29</v>
      </c>
      <c r="D18" s="447"/>
      <c r="E18" s="448"/>
      <c r="F18" s="448"/>
      <c r="G18" s="1193"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5" t="s">
        <v>453</v>
      </c>
      <c r="C19" s="446">
        <f ca="1">ROUND(C18*F19,0)</f>
        <v>1</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7" t="s">
        <v>454</v>
      </c>
      <c r="C20" s="456">
        <f ca="1">ROUND(IF('数据-取费表'!B22&lt;=1,(C18+C19)*F20*'数据-取费表'!B20/2,(C18+C19)*(POWER((1+F20),'数据-取费表'!B20/2)-1)),0)</f>
        <v>0</v>
      </c>
      <c r="D20" s="448">
        <f ca="1">ROUND(((1+F20)^'数据-取费表'!B20)-1,4)</f>
        <v>1.49E-2</v>
      </c>
      <c r="E20" s="448"/>
      <c r="F20" s="457">
        <f ca="1">'数据-取费表'!B40</f>
        <v>0.03</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2295</v>
      </c>
      <c r="B21" s="2500" t="s">
        <v>2107</v>
      </c>
      <c r="C21" s="464">
        <f ca="1">ROUND((C18+C19)*F21,0)</f>
        <v>5</v>
      </c>
      <c r="D21" s="3025"/>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2" t="s">
        <v>464</v>
      </c>
      <c r="C22" s="469"/>
      <c r="D22" s="469"/>
      <c r="E22" s="470"/>
      <c r="F22" s="3027">
        <f ca="1">IF(B1="",'数据-取费表'!N16,INDIRECT("'数据-取费表'!N"&amp;$K$1))</f>
        <v>0.8</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2" customFormat="1" ht="13.5" customHeight="1" thickBot="1">
      <c r="A23" s="3028" t="s">
        <v>1389</v>
      </c>
      <c r="B23" s="3029" t="s">
        <v>2296</v>
      </c>
      <c r="C23" s="3030">
        <f ca="1">ROUND((C18+C19+C20+C21)*F22,0)</f>
        <v>28</v>
      </c>
      <c r="D23" s="3031"/>
      <c r="E23" s="3032"/>
      <c r="F23" s="471"/>
      <c r="G23" s="422"/>
      <c r="H23" s="3033"/>
      <c r="I23" s="3033"/>
      <c r="J23" s="3033"/>
      <c r="K23" s="3034"/>
      <c r="L23" s="2942"/>
      <c r="M23" s="2942"/>
      <c r="N23" s="2942"/>
      <c r="O23" s="2942"/>
      <c r="P23" s="2942"/>
      <c r="Q23" s="2942"/>
      <c r="R23" s="2942"/>
      <c r="S23" s="2942"/>
      <c r="T23" s="2942"/>
      <c r="U23" s="2942"/>
      <c r="V23" s="2942"/>
      <c r="W23" s="2942"/>
      <c r="X23" s="2942"/>
      <c r="Y23" s="2942"/>
      <c r="Z23" s="2942"/>
    </row>
    <row r="24" spans="1:26" s="1842" customFormat="1" ht="13.5" customHeight="1" thickBot="1">
      <c r="A24" s="3884" t="s">
        <v>1394</v>
      </c>
      <c r="B24" s="3885"/>
      <c r="C24" s="3035">
        <f>ROUND(C6*F24/(1+'数据-取费表'!B42),0)</f>
        <v>0</v>
      </c>
      <c r="D24" s="3036"/>
      <c r="E24" s="3037"/>
      <c r="F24" s="3038">
        <f>'数据-取费表'!B41</f>
        <v>5.6000000000000001E-2</v>
      </c>
      <c r="G24" s="3039"/>
      <c r="H24" s="3039"/>
      <c r="I24" s="3039"/>
      <c r="J24" s="3039"/>
      <c r="K24" s="3040"/>
      <c r="L24" s="2942"/>
      <c r="M24" s="2942"/>
      <c r="N24" s="2942"/>
      <c r="O24" s="2942"/>
      <c r="P24" s="2942"/>
      <c r="Q24" s="2942"/>
      <c r="R24" s="2942"/>
      <c r="S24" s="2942"/>
      <c r="T24" s="2942"/>
      <c r="U24" s="2942"/>
      <c r="V24" s="2942"/>
      <c r="W24" s="2942"/>
      <c r="X24" s="2942"/>
      <c r="Y24" s="2942"/>
      <c r="Z24" s="2942"/>
    </row>
    <row r="25" spans="1:26" s="1842" customFormat="1" ht="13.5" customHeight="1" thickBot="1">
      <c r="A25" s="3884" t="s">
        <v>2293</v>
      </c>
      <c r="B25" s="3885"/>
      <c r="C25" s="3035">
        <f>ROUND(C6*F25,0)</f>
        <v>0</v>
      </c>
      <c r="D25" s="3036"/>
      <c r="E25" s="3037"/>
      <c r="F25" s="3041">
        <f>'数据-取费表'!B38</f>
        <v>0.03</v>
      </c>
      <c r="G25" s="3042"/>
      <c r="H25" s="3039"/>
      <c r="I25" s="3039"/>
      <c r="J25" s="3039"/>
      <c r="K25" s="3040"/>
      <c r="L25" s="2942"/>
      <c r="M25" s="2942"/>
      <c r="N25" s="2942"/>
      <c r="O25" s="2942"/>
      <c r="P25" s="2942"/>
      <c r="Q25" s="2942"/>
      <c r="R25" s="2942"/>
      <c r="S25" s="2942"/>
      <c r="T25" s="2942"/>
      <c r="U25" s="2942"/>
      <c r="V25" s="2942"/>
      <c r="W25" s="2942"/>
      <c r="X25" s="2942"/>
      <c r="Y25" s="2942"/>
      <c r="Z25" s="2942"/>
    </row>
    <row r="26" spans="1:26" s="1847" customFormat="1" ht="13.5" customHeight="1" thickBot="1">
      <c r="A26" s="3884" t="s">
        <v>2294</v>
      </c>
      <c r="B26" s="3885"/>
      <c r="C26" s="3047"/>
      <c r="D26" s="3048"/>
      <c r="E26" s="3048"/>
      <c r="F26" s="3049">
        <f>'数据-取费表'!B48+'数据-取费表'!B49</f>
        <v>3.0499999999999999E-2</v>
      </c>
      <c r="G26" s="3050"/>
      <c r="H26" s="3050"/>
      <c r="I26" s="3050"/>
      <c r="J26" s="3051"/>
      <c r="K26" s="3052"/>
      <c r="L26" s="2947"/>
      <c r="M26" s="2947"/>
      <c r="N26" s="2947"/>
      <c r="O26" s="2947"/>
      <c r="P26" s="2947"/>
      <c r="Q26" s="2947"/>
      <c r="R26" s="2947"/>
      <c r="S26" s="2947"/>
      <c r="T26" s="2947"/>
      <c r="U26" s="2947"/>
      <c r="V26" s="2947"/>
      <c r="W26" s="2947"/>
      <c r="X26" s="2947"/>
      <c r="Y26" s="2947"/>
      <c r="Z26" s="2947"/>
    </row>
    <row r="27" spans="1:26" s="3026" customFormat="1" ht="13.5" customHeight="1" thickBot="1">
      <c r="A27" s="3886" t="s">
        <v>2292</v>
      </c>
      <c r="B27" s="3887"/>
      <c r="C27" s="3043">
        <f ca="1">(C6-C23-C24-C25)/((1+F26)*(1+D20+F21))</f>
        <v>-23.324985904002943</v>
      </c>
      <c r="D27" s="3044"/>
      <c r="E27" s="3044"/>
      <c r="F27" s="3044"/>
      <c r="G27" s="3045" t="s">
        <v>2231</v>
      </c>
      <c r="H27" s="3044"/>
      <c r="I27" s="3044"/>
      <c r="J27" s="3044"/>
      <c r="K27" s="3046"/>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8" customWidth="1"/>
    <col min="2" max="2" width="10.77734375" style="1458" customWidth="1"/>
    <col min="3" max="4" width="11.6640625" style="1458" customWidth="1"/>
    <col min="5" max="5" width="6.6640625" style="1458" customWidth="1"/>
    <col min="6" max="16384" width="9" style="1458"/>
  </cols>
  <sheetData>
    <row r="36" spans="1:9">
      <c r="A36" s="1457" t="s">
        <v>1425</v>
      </c>
      <c r="B36" s="1457" t="s">
        <v>1426</v>
      </c>
    </row>
    <row r="37" spans="1:9" ht="28.5" customHeight="1">
      <c r="A37" s="1457"/>
      <c r="B37" s="3712" t="str">
        <f>项目基本情况!B1</f>
        <v>北京市出让国有建设用地使用权市场价格预评估</v>
      </c>
      <c r="C37" s="3712"/>
      <c r="D37" s="3712"/>
      <c r="E37" s="3712"/>
      <c r="F37" s="3712"/>
      <c r="G37" s="3712"/>
      <c r="H37" s="3712"/>
      <c r="I37" s="3712"/>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abSelected="1" workbookViewId="0">
      <selection activeCell="B3" sqref="B3"/>
    </sheetView>
  </sheetViews>
  <sheetFormatPr defaultRowHeight="14.4"/>
  <cols>
    <col min="1" max="1" width="10.88671875" style="3711" customWidth="1"/>
    <col min="2" max="2" width="14.44140625" style="3711" customWidth="1"/>
    <col min="3" max="3" width="16.33203125" style="3711" customWidth="1"/>
  </cols>
  <sheetData>
    <row r="1" spans="1:6">
      <c r="A1" s="3710" t="s">
        <v>3378</v>
      </c>
      <c r="B1" s="3710" t="s">
        <v>3379</v>
      </c>
      <c r="C1" s="3710" t="s">
        <v>3380</v>
      </c>
      <c r="E1" s="3710" t="s">
        <v>3387</v>
      </c>
      <c r="F1" s="3711">
        <v>2</v>
      </c>
    </row>
    <row r="2" spans="1:6">
      <c r="A2" s="3710" t="s">
        <v>3382</v>
      </c>
      <c r="B2" s="3711">
        <f>基准地价!C33-基准地价!C34</f>
        <v>5877</v>
      </c>
    </row>
    <row r="3" spans="1:6">
      <c r="A3" s="3710" t="s">
        <v>3381</v>
      </c>
      <c r="B3" s="3711">
        <f>B2*F1</f>
        <v>11754</v>
      </c>
      <c r="C3" s="3711">
        <f ca="1">成本逼近法!B3</f>
        <v>9953</v>
      </c>
    </row>
    <row r="4" spans="1:6">
      <c r="A4" s="3710" t="s">
        <v>3384</v>
      </c>
      <c r="B4" s="3711">
        <v>0.3</v>
      </c>
      <c r="C4" s="3711">
        <f>1-B4</f>
        <v>0.7</v>
      </c>
    </row>
    <row r="5" spans="1:6">
      <c r="A5" s="3710" t="s">
        <v>3383</v>
      </c>
      <c r="B5" s="3888">
        <f ca="1">ROUND(B3*B4+C3*C4,0)</f>
        <v>10493</v>
      </c>
      <c r="C5" s="3888"/>
    </row>
    <row r="6" spans="1:6">
      <c r="A6" s="3710" t="s">
        <v>3385</v>
      </c>
      <c r="B6" s="3888">
        <f>项目基本情况!C21</f>
        <v>543.88</v>
      </c>
      <c r="C6" s="3888"/>
    </row>
    <row r="7" spans="1:6">
      <c r="A7" s="3710" t="s">
        <v>3386</v>
      </c>
      <c r="B7" s="3888">
        <f ca="1">ROUND(B5*B6,0)</f>
        <v>5706933</v>
      </c>
      <c r="C7" s="3888"/>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3" zoomScale="70" zoomScaleNormal="95" zoomScaleSheetLayoutView="70" workbookViewId="0">
      <selection activeCell="K22" sqref="K22"/>
    </sheetView>
  </sheetViews>
  <sheetFormatPr defaultColWidth="9" defaultRowHeight="13.8"/>
  <cols>
    <col min="1" max="1" width="15.6640625" style="1196" customWidth="1"/>
    <col min="2" max="2" width="15.77734375" style="1196" customWidth="1"/>
    <col min="3" max="3" width="15.21875" style="1196" customWidth="1"/>
    <col min="4" max="4" width="12.21875" style="1196" customWidth="1"/>
    <col min="5" max="5" width="16.109375" style="1196" customWidth="1"/>
    <col min="6" max="6" width="12.21875" style="1196" customWidth="1"/>
    <col min="7" max="7" width="15.6640625" style="1196" customWidth="1"/>
    <col min="8" max="8" width="12.21875" style="1196" customWidth="1"/>
    <col min="9" max="9" width="15.66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10" t="s">
        <v>427</v>
      </c>
      <c r="B2" s="478">
        <f>F67</f>
        <v>238</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80">
        <f>ROUND(B2*10000/'数据-汇总表'!E3,0)</f>
        <v>4376</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81" t="s">
        <v>469</v>
      </c>
      <c r="B4" s="414">
        <f>IF(B48="单位面积地价",C50,ROUND(B2*10000/'数据-汇总表'!D3,0))</f>
        <v>8752</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f>ROUND(B2/('数据-汇总表'!D3/666.67),0)</f>
        <v>583</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1">
      <c r="A6" s="482" t="s">
        <v>470</v>
      </c>
      <c r="B6" s="483"/>
      <c r="C6" s="3912" t="s">
        <v>471</v>
      </c>
      <c r="D6" s="3913"/>
      <c r="E6" s="3912" t="s">
        <v>472</v>
      </c>
      <c r="F6" s="3913"/>
      <c r="G6" s="3912" t="s">
        <v>473</v>
      </c>
      <c r="H6" s="3913"/>
      <c r="I6" s="3912" t="s">
        <v>474</v>
      </c>
      <c r="J6" s="3913"/>
      <c r="K6" s="484" t="s">
        <v>475</v>
      </c>
      <c r="L6" s="1854"/>
      <c r="M6" s="1853"/>
      <c r="N6" s="1853"/>
      <c r="O6" s="1855"/>
      <c r="P6" s="3914" t="s">
        <v>476</v>
      </c>
      <c r="Q6" s="3915"/>
      <c r="R6" s="3898" t="s">
        <v>472</v>
      </c>
      <c r="S6" s="3899"/>
      <c r="T6" s="3898" t="s">
        <v>473</v>
      </c>
      <c r="U6" s="3899"/>
      <c r="V6" s="3920" t="s">
        <v>474</v>
      </c>
      <c r="W6" s="3920"/>
      <c r="X6" s="1378"/>
      <c r="Y6" s="3898" t="s">
        <v>476</v>
      </c>
      <c r="Z6" s="3899"/>
      <c r="AA6" s="3893" t="s">
        <v>472</v>
      </c>
      <c r="AB6" s="3894" t="s">
        <v>473</v>
      </c>
      <c r="AC6" s="3893" t="s">
        <v>474</v>
      </c>
    </row>
    <row r="7" spans="1:30" ht="21">
      <c r="A7" s="485"/>
      <c r="B7" s="486"/>
      <c r="C7" s="3923" t="s">
        <v>2192</v>
      </c>
      <c r="D7" s="3924"/>
      <c r="E7" s="3923" t="str">
        <f>开发补偿费!F12</f>
        <v>丰台区大瓦窑馨城土地一级开发项目（二期）DWY-L44地块</v>
      </c>
      <c r="F7" s="3924"/>
      <c r="G7" s="3923" t="str">
        <f>开发补偿费!F13</f>
        <v>石景山区苹果园交通枢纽商务区土地一级开发项目1604-631-2、634地块</v>
      </c>
      <c r="H7" s="3924"/>
      <c r="I7" s="3923" t="str">
        <f>'案例（海淀）'!$B$4</f>
        <v>永丰产业基地（新）园区土地一级开发项目F2地块</v>
      </c>
      <c r="J7" s="3924"/>
      <c r="K7" s="484"/>
      <c r="L7" s="1854"/>
      <c r="M7" s="1853"/>
      <c r="N7" s="1853"/>
      <c r="O7" s="1855"/>
      <c r="P7" s="3916"/>
      <c r="Q7" s="3917"/>
      <c r="R7" s="3900"/>
      <c r="S7" s="3901"/>
      <c r="T7" s="3900"/>
      <c r="U7" s="3901"/>
      <c r="V7" s="3920"/>
      <c r="W7" s="3920"/>
      <c r="X7" s="1378"/>
      <c r="Y7" s="3900"/>
      <c r="Z7" s="3901"/>
      <c r="AA7" s="3894"/>
      <c r="AB7" s="3894"/>
      <c r="AC7" s="3894"/>
    </row>
    <row r="8" spans="1:30" ht="21.6" thickBot="1">
      <c r="A8" s="485"/>
      <c r="B8" s="486"/>
      <c r="C8" s="3925" t="s">
        <v>2196</v>
      </c>
      <c r="D8" s="3926"/>
      <c r="E8" s="3925" t="s">
        <v>2196</v>
      </c>
      <c r="F8" s="3926"/>
      <c r="G8" s="3921" t="s">
        <v>2196</v>
      </c>
      <c r="H8" s="3922"/>
      <c r="I8" s="3921" t="s">
        <v>2196</v>
      </c>
      <c r="J8" s="3922"/>
      <c r="K8" s="484" t="s">
        <v>477</v>
      </c>
      <c r="L8" s="1854"/>
      <c r="M8" s="1853"/>
      <c r="N8" s="1853"/>
      <c r="O8" s="1855"/>
      <c r="P8" s="3918"/>
      <c r="Q8" s="3919"/>
      <c r="R8" s="3900"/>
      <c r="S8" s="3901"/>
      <c r="T8" s="3902"/>
      <c r="U8" s="3903"/>
      <c r="V8" s="3920"/>
      <c r="W8" s="3920"/>
      <c r="X8" s="1378"/>
      <c r="Y8" s="3902"/>
      <c r="Z8" s="3903"/>
      <c r="AA8" s="3895"/>
      <c r="AB8" s="3895"/>
      <c r="AC8" s="3895"/>
    </row>
    <row r="9" spans="1:30" s="1116" customFormat="1" ht="21.6" thickBot="1">
      <c r="A9" s="2389"/>
      <c r="B9" s="2396" t="s">
        <v>478</v>
      </c>
      <c r="C9" s="2388">
        <f>'数据-取费表'!B2</f>
        <v>45839</v>
      </c>
      <c r="D9" s="490">
        <v>100</v>
      </c>
      <c r="E9" s="491">
        <v>45170</v>
      </c>
      <c r="F9" s="492">
        <f>SUMIF(71:71,YEAR(E9)&amp;"-"&amp;INT((MONTH(E9)+2)/3),72:72)</f>
        <v>104.51</v>
      </c>
      <c r="G9" s="493">
        <v>44682</v>
      </c>
      <c r="H9" s="490">
        <f>SUMIF(71:71,YEAR(G9)&amp;"-"&amp;INT((MONTH(G9)+2)/3),72:72)</f>
        <v>103.07</v>
      </c>
      <c r="I9" s="493">
        <f>'案例（海淀）'!$I$4</f>
        <v>44704</v>
      </c>
      <c r="J9" s="490">
        <f>SUMIF(71:71,YEAR(I9)&amp;"-"&amp;INT((MONTH(I9)+2)/3),72:72)</f>
        <v>103.07</v>
      </c>
      <c r="K9" s="494"/>
      <c r="L9" s="1856"/>
      <c r="M9" s="1853"/>
      <c r="N9" s="1853"/>
      <c r="O9" s="1857"/>
      <c r="P9" s="3896" t="s">
        <v>479</v>
      </c>
      <c r="Q9" s="3905"/>
      <c r="R9" s="1379" t="s">
        <v>5</v>
      </c>
      <c r="S9" s="1380">
        <f t="shared" ref="S9:S17" si="0">F9</f>
        <v>104.51</v>
      </c>
      <c r="T9" s="1379" t="s">
        <v>5</v>
      </c>
      <c r="U9" s="1380">
        <f t="shared" ref="U9:U17" si="1">H9</f>
        <v>103.07</v>
      </c>
      <c r="V9" s="1379" t="s">
        <v>5</v>
      </c>
      <c r="W9" s="1380">
        <f t="shared" ref="W9:W17" si="2">J9</f>
        <v>103.07</v>
      </c>
      <c r="X9" s="1381"/>
      <c r="Y9" s="3896" t="s">
        <v>479</v>
      </c>
      <c r="Z9" s="3897"/>
      <c r="AA9" s="1382">
        <f>D9/F9</f>
        <v>0.95684623481006592</v>
      </c>
      <c r="AB9" s="1382">
        <f>D9/H9</f>
        <v>0.97021441738624248</v>
      </c>
      <c r="AC9" s="1382">
        <f>D9/J9</f>
        <v>0.97021441738624248</v>
      </c>
    </row>
    <row r="10" spans="1:30" s="1116" customFormat="1" ht="21.6" thickBot="1">
      <c r="A10" s="2390"/>
      <c r="B10" s="2397" t="s">
        <v>480</v>
      </c>
      <c r="C10" s="819" t="s">
        <v>481</v>
      </c>
      <c r="D10" s="490">
        <v>100</v>
      </c>
      <c r="E10" s="495" t="s">
        <v>3360</v>
      </c>
      <c r="F10" s="492">
        <f>SUMIF(74:74,E10,75:75)-SUMIF(74:74,C10,75:75)+100</f>
        <v>100</v>
      </c>
      <c r="G10" s="495" t="s">
        <v>3360</v>
      </c>
      <c r="H10" s="490">
        <f>SUMIF(74:74,G10,75:75)-SUMIF(74:74,C10,75:75)+100</f>
        <v>100</v>
      </c>
      <c r="I10" s="495" t="s">
        <v>3360</v>
      </c>
      <c r="J10" s="490">
        <f>SUMIF(74:74,I10,75:75)-SUMIF(74:74,C10,75:75)+100</f>
        <v>100</v>
      </c>
      <c r="K10" s="494"/>
      <c r="L10" s="1856"/>
      <c r="M10" s="1853"/>
      <c r="N10" s="1853"/>
      <c r="O10" s="1857"/>
      <c r="P10" s="3896" t="s">
        <v>482</v>
      </c>
      <c r="Q10" s="3897"/>
      <c r="R10" s="1379" t="s">
        <v>5</v>
      </c>
      <c r="S10" s="1380">
        <f t="shared" si="0"/>
        <v>100</v>
      </c>
      <c r="T10" s="1379" t="s">
        <v>5</v>
      </c>
      <c r="U10" s="1380">
        <f t="shared" si="1"/>
        <v>100</v>
      </c>
      <c r="V10" s="1379" t="s">
        <v>5</v>
      </c>
      <c r="W10" s="1380">
        <f t="shared" si="2"/>
        <v>100</v>
      </c>
      <c r="X10" s="1381"/>
      <c r="Y10" s="3896" t="s">
        <v>482</v>
      </c>
      <c r="Z10" s="3897"/>
      <c r="AA10" s="1382">
        <f t="shared" ref="AA10:AA47" si="3">D10/F10</f>
        <v>1</v>
      </c>
      <c r="AB10" s="1382">
        <f t="shared" ref="AB10:AB47" si="4">D10/H10</f>
        <v>1</v>
      </c>
      <c r="AC10" s="1382">
        <f t="shared" ref="AC10:AC47" si="5">D10/J10</f>
        <v>1</v>
      </c>
    </row>
    <row r="11" spans="1:30" s="1116" customFormat="1" ht="21">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3904" t="s">
        <v>484</v>
      </c>
      <c r="Q11" s="1048" t="str">
        <f t="shared" ref="Q11:Q17" si="6">B11</f>
        <v>用途</v>
      </c>
      <c r="R11" s="1379" t="s">
        <v>5</v>
      </c>
      <c r="S11" s="1380">
        <f t="shared" si="0"/>
        <v>100</v>
      </c>
      <c r="T11" s="1379" t="s">
        <v>5</v>
      </c>
      <c r="U11" s="1380">
        <f t="shared" si="1"/>
        <v>100</v>
      </c>
      <c r="V11" s="1379" t="s">
        <v>5</v>
      </c>
      <c r="W11" s="1380">
        <f t="shared" si="2"/>
        <v>100</v>
      </c>
      <c r="X11" s="1381"/>
      <c r="Y11" s="3851" t="s">
        <v>485</v>
      </c>
      <c r="Z11" s="1047" t="str">
        <f t="shared" ref="Z11:Z17" si="7">Q11</f>
        <v>用途</v>
      </c>
      <c r="AA11" s="1382">
        <f t="shared" si="3"/>
        <v>1</v>
      </c>
      <c r="AB11" s="1382">
        <f t="shared" si="4"/>
        <v>1</v>
      </c>
      <c r="AC11" s="1382">
        <f t="shared" si="5"/>
        <v>1</v>
      </c>
    </row>
    <row r="12" spans="1:30" s="1197" customFormat="1" ht="28.8">
      <c r="A12" s="2392"/>
      <c r="B12" s="2397" t="s">
        <v>2039</v>
      </c>
      <c r="C12" s="871">
        <v>50</v>
      </c>
      <c r="D12" s="246">
        <v>100</v>
      </c>
      <c r="E12" s="499" t="s">
        <v>3361</v>
      </c>
      <c r="F12" s="246">
        <f>ROUND(100/'数据-取费表'!G16,0)</f>
        <v>100</v>
      </c>
      <c r="G12" s="500" t="s">
        <v>3362</v>
      </c>
      <c r="H12" s="246">
        <f>ROUND(100/'数据-取费表'!G16,0)</f>
        <v>100</v>
      </c>
      <c r="I12" s="500" t="s">
        <v>3361</v>
      </c>
      <c r="J12" s="246">
        <f>ROUND(100/'数据-取费表'!G16,0)</f>
        <v>100</v>
      </c>
      <c r="K12" s="501"/>
      <c r="L12" s="1859"/>
      <c r="M12" s="1853"/>
      <c r="N12" s="1853"/>
      <c r="O12" s="1860"/>
      <c r="P12" s="3904"/>
      <c r="Q12" s="1048" t="str">
        <f t="shared" si="6"/>
        <v>土地使用年限（年）</v>
      </c>
      <c r="R12" s="1379" t="s">
        <v>5</v>
      </c>
      <c r="S12" s="1380">
        <f t="shared" si="0"/>
        <v>100</v>
      </c>
      <c r="T12" s="1379" t="s">
        <v>5</v>
      </c>
      <c r="U12" s="1380">
        <f t="shared" si="1"/>
        <v>100</v>
      </c>
      <c r="V12" s="1379" t="s">
        <v>5</v>
      </c>
      <c r="W12" s="1380">
        <f t="shared" si="2"/>
        <v>100</v>
      </c>
      <c r="X12" s="1381"/>
      <c r="Y12" s="3851"/>
      <c r="Z12" s="1047" t="str">
        <f t="shared" si="7"/>
        <v>土地使用年限（年）</v>
      </c>
      <c r="AA12" s="1382">
        <f t="shared" si="3"/>
        <v>1</v>
      </c>
      <c r="AB12" s="1382">
        <f t="shared" si="4"/>
        <v>1</v>
      </c>
      <c r="AC12" s="1382">
        <f t="shared" si="5"/>
        <v>1</v>
      </c>
    </row>
    <row r="13" spans="1:30" ht="21">
      <c r="A13" s="2393"/>
      <c r="B13" s="2397" t="s">
        <v>2040</v>
      </c>
      <c r="C13" s="504">
        <v>2</v>
      </c>
      <c r="D13" s="246">
        <v>100</v>
      </c>
      <c r="E13" s="503">
        <v>2</v>
      </c>
      <c r="F13" s="246">
        <f>LOOKUP(E13,81:81,82:82)-LOOKUP(C13,81:81,82:82)+100</f>
        <v>100</v>
      </c>
      <c r="G13" s="504">
        <v>2</v>
      </c>
      <c r="H13" s="246">
        <f>LOOKUP(G13,81:81,82:82)-LOOKUP(C13,81:81,82:82)+100</f>
        <v>100</v>
      </c>
      <c r="I13" s="503">
        <v>2</v>
      </c>
      <c r="J13" s="246">
        <f>LOOKUP(I13,81:81,82:82)-LOOKUP(C13,81:81,82:82)+100</f>
        <v>100</v>
      </c>
      <c r="K13" s="505"/>
      <c r="L13" s="1861"/>
      <c r="M13" s="1853"/>
      <c r="N13" s="1853"/>
      <c r="O13" s="1862"/>
      <c r="P13" s="3904"/>
      <c r="Q13" s="1048" t="str">
        <f t="shared" si="6"/>
        <v>容积率</v>
      </c>
      <c r="R13" s="1379" t="s">
        <v>5</v>
      </c>
      <c r="S13" s="1380">
        <f t="shared" si="0"/>
        <v>100</v>
      </c>
      <c r="T13" s="1379" t="s">
        <v>5</v>
      </c>
      <c r="U13" s="1380">
        <f t="shared" si="1"/>
        <v>100</v>
      </c>
      <c r="V13" s="1379" t="s">
        <v>5</v>
      </c>
      <c r="W13" s="1380">
        <f t="shared" si="2"/>
        <v>100</v>
      </c>
      <c r="X13" s="1381"/>
      <c r="Y13" s="3851"/>
      <c r="Z13" s="1047" t="str">
        <f t="shared" si="7"/>
        <v>容积率</v>
      </c>
      <c r="AA13" s="1382">
        <f t="shared" si="3"/>
        <v>1</v>
      </c>
      <c r="AB13" s="1382">
        <f t="shared" si="4"/>
        <v>1</v>
      </c>
      <c r="AC13" s="1382">
        <f t="shared" si="5"/>
        <v>1</v>
      </c>
    </row>
    <row r="14" spans="1:30" s="1116" customFormat="1" ht="21">
      <c r="A14" s="2390"/>
      <c r="B14" s="2399" t="s">
        <v>2041</v>
      </c>
      <c r="C14" s="2386"/>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3904"/>
      <c r="Q14" s="1048" t="str">
        <f t="shared" si="6"/>
        <v>配建</v>
      </c>
      <c r="R14" s="1379" t="s">
        <v>5</v>
      </c>
      <c r="S14" s="1380">
        <f t="shared" si="0"/>
        <v>100</v>
      </c>
      <c r="T14" s="1379" t="s">
        <v>5</v>
      </c>
      <c r="U14" s="1380">
        <f t="shared" si="1"/>
        <v>100</v>
      </c>
      <c r="V14" s="1379" t="s">
        <v>5</v>
      </c>
      <c r="W14" s="1380">
        <f t="shared" si="2"/>
        <v>100</v>
      </c>
      <c r="X14" s="1381"/>
      <c r="Y14" s="3851"/>
      <c r="Z14" s="1047" t="str">
        <f t="shared" si="7"/>
        <v>配建</v>
      </c>
      <c r="AA14" s="1382">
        <f>D14/F14</f>
        <v>1</v>
      </c>
      <c r="AB14" s="1382">
        <f>D14/H14</f>
        <v>1</v>
      </c>
      <c r="AC14" s="1382">
        <f>D14/J14</f>
        <v>1</v>
      </c>
    </row>
    <row r="15" spans="1:30" ht="21">
      <c r="A15" s="2394"/>
      <c r="B15" s="2400">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904"/>
      <c r="Q15" s="1048">
        <f t="shared" si="6"/>
        <v>111</v>
      </c>
      <c r="R15" s="1379" t="s">
        <v>5</v>
      </c>
      <c r="S15" s="1380">
        <f t="shared" si="0"/>
        <v>100</v>
      </c>
      <c r="T15" s="1379" t="s">
        <v>5</v>
      </c>
      <c r="U15" s="1380">
        <f t="shared" si="1"/>
        <v>100</v>
      </c>
      <c r="V15" s="1379" t="s">
        <v>5</v>
      </c>
      <c r="W15" s="1380">
        <f t="shared" si="2"/>
        <v>100</v>
      </c>
      <c r="X15" s="1381"/>
      <c r="Y15" s="3851"/>
      <c r="Z15" s="1047">
        <f t="shared" si="7"/>
        <v>111</v>
      </c>
      <c r="AA15" s="1382">
        <f>D15/F15</f>
        <v>1</v>
      </c>
      <c r="AB15" s="1382">
        <f>D15/H15</f>
        <v>1</v>
      </c>
      <c r="AC15" s="1382">
        <f>D15/J15</f>
        <v>1</v>
      </c>
    </row>
    <row r="16" spans="1:30" ht="21.6" thickBot="1">
      <c r="A16" s="2395"/>
      <c r="B16" s="2401">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04"/>
      <c r="Q16" s="1048">
        <f t="shared" si="6"/>
        <v>111</v>
      </c>
      <c r="R16" s="1379" t="s">
        <v>5</v>
      </c>
      <c r="S16" s="1380">
        <f t="shared" si="0"/>
        <v>100</v>
      </c>
      <c r="T16" s="1379" t="s">
        <v>5</v>
      </c>
      <c r="U16" s="1380">
        <f t="shared" si="1"/>
        <v>100</v>
      </c>
      <c r="V16" s="1379" t="s">
        <v>5</v>
      </c>
      <c r="W16" s="1380">
        <f t="shared" si="2"/>
        <v>100</v>
      </c>
      <c r="X16" s="1381"/>
      <c r="Y16" s="3851"/>
      <c r="Z16" s="1047">
        <f t="shared" si="7"/>
        <v>111</v>
      </c>
      <c r="AA16" s="1382">
        <f>D16/F16</f>
        <v>1</v>
      </c>
      <c r="AB16" s="1382">
        <f>D16/H16</f>
        <v>1</v>
      </c>
      <c r="AC16" s="1382">
        <f>D16/J16</f>
        <v>1</v>
      </c>
    </row>
    <row r="17" spans="1:29" ht="96.6">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06" t="s">
        <v>489</v>
      </c>
      <c r="Q17" s="1383" t="str">
        <f t="shared" si="6"/>
        <v>居住社区成熟度</v>
      </c>
      <c r="R17" s="1384" t="s">
        <v>5</v>
      </c>
      <c r="S17" s="1385">
        <f t="shared" si="0"/>
        <v>100</v>
      </c>
      <c r="T17" s="1384" t="s">
        <v>5</v>
      </c>
      <c r="U17" s="1385">
        <f t="shared" si="1"/>
        <v>100</v>
      </c>
      <c r="V17" s="1384" t="s">
        <v>5</v>
      </c>
      <c r="W17" s="1385">
        <f t="shared" si="2"/>
        <v>100</v>
      </c>
      <c r="X17" s="1378"/>
      <c r="Y17" s="3906" t="s">
        <v>489</v>
      </c>
      <c r="Z17" s="1386" t="str">
        <f t="shared" si="7"/>
        <v>居住社区成熟度</v>
      </c>
      <c r="AA17" s="1387">
        <f t="shared" si="3"/>
        <v>1</v>
      </c>
      <c r="AB17" s="1387">
        <f t="shared" si="4"/>
        <v>1</v>
      </c>
      <c r="AC17" s="1387">
        <f t="shared" si="5"/>
        <v>1</v>
      </c>
    </row>
    <row r="18" spans="1:29" ht="21">
      <c r="A18" s="502"/>
      <c r="B18" s="523"/>
      <c r="C18" s="524"/>
      <c r="D18" s="527"/>
      <c r="E18" s="528"/>
      <c r="F18" s="525"/>
      <c r="G18" s="526"/>
      <c r="H18" s="529"/>
      <c r="I18" s="528"/>
      <c r="J18" s="525"/>
      <c r="K18" s="501"/>
      <c r="L18" s="1863"/>
      <c r="M18" s="1853"/>
      <c r="N18" s="1853"/>
      <c r="O18" s="1862"/>
      <c r="P18" s="3907"/>
      <c r="Q18" s="1383"/>
      <c r="R18" s="1384"/>
      <c r="S18" s="1385"/>
      <c r="T18" s="1384"/>
      <c r="U18" s="1385"/>
      <c r="V18" s="1384"/>
      <c r="W18" s="1385"/>
      <c r="X18" s="1378"/>
      <c r="Y18" s="3907"/>
      <c r="Z18" s="1386"/>
      <c r="AA18" s="1387">
        <v>1</v>
      </c>
      <c r="AB18" s="1387">
        <v>1</v>
      </c>
      <c r="AC18" s="1387">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907"/>
      <c r="Q19" s="1383" t="str">
        <f>B19</f>
        <v>商业繁华度</v>
      </c>
      <c r="R19" s="1384" t="s">
        <v>5</v>
      </c>
      <c r="S19" s="1385">
        <f>F19</f>
        <v>100</v>
      </c>
      <c r="T19" s="1384" t="s">
        <v>5</v>
      </c>
      <c r="U19" s="1385">
        <f>H19</f>
        <v>100</v>
      </c>
      <c r="V19" s="1384" t="s">
        <v>5</v>
      </c>
      <c r="W19" s="1385">
        <f>J19</f>
        <v>100</v>
      </c>
      <c r="X19" s="1378"/>
      <c r="Y19" s="3907"/>
      <c r="Z19" s="1386" t="str">
        <f>Q19</f>
        <v>商业繁华度</v>
      </c>
      <c r="AA19" s="1387">
        <f t="shared" si="3"/>
        <v>1</v>
      </c>
      <c r="AB19" s="1387">
        <f t="shared" si="4"/>
        <v>1</v>
      </c>
      <c r="AC19" s="1387">
        <f t="shared" si="5"/>
        <v>1</v>
      </c>
    </row>
    <row r="20" spans="1:29" ht="21">
      <c r="A20" s="502"/>
      <c r="B20" s="536"/>
      <c r="C20" s="537"/>
      <c r="D20" s="533"/>
      <c r="E20" s="539"/>
      <c r="F20" s="529"/>
      <c r="G20" s="538"/>
      <c r="H20" s="525"/>
      <c r="I20" s="539"/>
      <c r="J20" s="525"/>
      <c r="K20" s="501"/>
      <c r="L20" s="1863"/>
      <c r="M20" s="1853"/>
      <c r="N20" s="1853"/>
      <c r="O20" s="1862"/>
      <c r="P20" s="3907"/>
      <c r="Q20" s="1383"/>
      <c r="R20" s="1384"/>
      <c r="S20" s="1385"/>
      <c r="T20" s="1384"/>
      <c r="U20" s="1385"/>
      <c r="V20" s="1384"/>
      <c r="W20" s="1385"/>
      <c r="X20" s="1378"/>
      <c r="Y20" s="3907"/>
      <c r="Z20" s="1386"/>
      <c r="AA20" s="1387">
        <v>1</v>
      </c>
      <c r="AB20" s="1387">
        <v>1</v>
      </c>
      <c r="AC20" s="1387">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103</v>
      </c>
      <c r="I21" s="542"/>
      <c r="J21" s="529">
        <f>SUMIF(93:93,I22,94:94)-SUMIF(93:93,C22,94:94)+100</f>
        <v>103</v>
      </c>
      <c r="K21" s="505">
        <v>3</v>
      </c>
      <c r="L21" s="1863"/>
      <c r="M21" s="1853"/>
      <c r="N21" s="1853"/>
      <c r="O21" s="1862"/>
      <c r="P21" s="3907"/>
      <c r="Q21" s="1383" t="str">
        <f>B21</f>
        <v>办公集聚程度</v>
      </c>
      <c r="R21" s="1384" t="s">
        <v>5</v>
      </c>
      <c r="S21" s="1385">
        <f>F21</f>
        <v>100</v>
      </c>
      <c r="T21" s="1384" t="s">
        <v>5</v>
      </c>
      <c r="U21" s="1385">
        <f>H21</f>
        <v>103</v>
      </c>
      <c r="V21" s="1384" t="s">
        <v>5</v>
      </c>
      <c r="W21" s="1385">
        <f>J21</f>
        <v>103</v>
      </c>
      <c r="X21" s="1378"/>
      <c r="Y21" s="3907"/>
      <c r="Z21" s="1386" t="str">
        <f>Q21</f>
        <v>办公集聚程度</v>
      </c>
      <c r="AA21" s="1387">
        <f t="shared" si="3"/>
        <v>1</v>
      </c>
      <c r="AB21" s="1387">
        <f t="shared" si="4"/>
        <v>0.970873786407767</v>
      </c>
      <c r="AC21" s="1387">
        <f t="shared" si="5"/>
        <v>0.970873786407767</v>
      </c>
    </row>
    <row r="22" spans="1:29" ht="21">
      <c r="A22" s="502"/>
      <c r="B22" s="536"/>
      <c r="C22" s="524" t="s">
        <v>3336</v>
      </c>
      <c r="D22" s="527"/>
      <c r="E22" s="528" t="s">
        <v>3336</v>
      </c>
      <c r="F22" s="525"/>
      <c r="G22" s="526" t="s">
        <v>3337</v>
      </c>
      <c r="H22" s="525"/>
      <c r="I22" s="528" t="s">
        <v>3337</v>
      </c>
      <c r="J22" s="525"/>
      <c r="K22" s="501"/>
      <c r="L22" s="1863"/>
      <c r="M22" s="1853"/>
      <c r="N22" s="1853"/>
      <c r="O22" s="1862"/>
      <c r="P22" s="3907"/>
      <c r="Q22" s="1383"/>
      <c r="R22" s="1384"/>
      <c r="S22" s="1385"/>
      <c r="T22" s="1384"/>
      <c r="U22" s="1385"/>
      <c r="V22" s="1384"/>
      <c r="W22" s="1385"/>
      <c r="X22" s="1378"/>
      <c r="Y22" s="3907"/>
      <c r="Z22" s="1386"/>
      <c r="AA22" s="1387">
        <v>1</v>
      </c>
      <c r="AB22" s="1387">
        <v>1</v>
      </c>
      <c r="AC22" s="1387">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102</v>
      </c>
      <c r="G23" s="532"/>
      <c r="H23" s="529">
        <f>SUMIF(95:95,G24,96:96)-SUMIF(95:95,C24,96:96)+100</f>
        <v>102</v>
      </c>
      <c r="I23" s="534"/>
      <c r="J23" s="529">
        <f>SUMIF(95:95,I24,96:96)-SUMIF(95:95,C24,96:96)+100</f>
        <v>102</v>
      </c>
      <c r="K23" s="505">
        <v>2</v>
      </c>
      <c r="L23" s="1863"/>
      <c r="M23" s="1853"/>
      <c r="N23" s="1853"/>
      <c r="O23" s="1862"/>
      <c r="P23" s="3907"/>
      <c r="Q23" s="1383" t="str">
        <f>B23</f>
        <v>交通便捷度</v>
      </c>
      <c r="R23" s="1384" t="s">
        <v>5</v>
      </c>
      <c r="S23" s="1385">
        <f>F23</f>
        <v>102</v>
      </c>
      <c r="T23" s="1384" t="s">
        <v>5</v>
      </c>
      <c r="U23" s="1385">
        <f>H23</f>
        <v>102</v>
      </c>
      <c r="V23" s="1384" t="s">
        <v>5</v>
      </c>
      <c r="W23" s="1385">
        <f>J23</f>
        <v>102</v>
      </c>
      <c r="X23" s="1378"/>
      <c r="Y23" s="3907"/>
      <c r="Z23" s="1386" t="str">
        <f>Q23</f>
        <v>交通便捷度</v>
      </c>
      <c r="AA23" s="1387">
        <f t="shared" si="3"/>
        <v>0.98039215686274506</v>
      </c>
      <c r="AB23" s="1387">
        <f t="shared" si="4"/>
        <v>0.98039215686274506</v>
      </c>
      <c r="AC23" s="1387">
        <f t="shared" si="5"/>
        <v>0.98039215686274506</v>
      </c>
    </row>
    <row r="24" spans="1:29" ht="21">
      <c r="A24" s="502"/>
      <c r="B24" s="548"/>
      <c r="C24" s="524" t="s">
        <v>3336</v>
      </c>
      <c r="D24" s="527"/>
      <c r="E24" s="528" t="s">
        <v>3337</v>
      </c>
      <c r="F24" s="525"/>
      <c r="G24" s="526" t="s">
        <v>3337</v>
      </c>
      <c r="H24" s="525"/>
      <c r="I24" s="528" t="s">
        <v>3337</v>
      </c>
      <c r="J24" s="525"/>
      <c r="K24" s="501"/>
      <c r="L24" s="1863"/>
      <c r="M24" s="1853"/>
      <c r="N24" s="1853"/>
      <c r="O24" s="1862"/>
      <c r="P24" s="3907"/>
      <c r="Q24" s="1383"/>
      <c r="R24" s="1384"/>
      <c r="S24" s="1385"/>
      <c r="T24" s="1384"/>
      <c r="U24" s="1385"/>
      <c r="V24" s="1384"/>
      <c r="W24" s="1385"/>
      <c r="X24" s="1378"/>
      <c r="Y24" s="3907"/>
      <c r="Z24" s="1386"/>
      <c r="AA24" s="1387">
        <v>1</v>
      </c>
      <c r="AB24" s="1387">
        <v>1</v>
      </c>
      <c r="AC24" s="1387">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3907"/>
      <c r="Q25" s="1383" t="str">
        <f t="shared" ref="Q25:Q39" si="8">B25</f>
        <v>区域土地利用方向</v>
      </c>
      <c r="R25" s="1384" t="s">
        <v>5</v>
      </c>
      <c r="S25" s="1385">
        <f>F25</f>
        <v>100</v>
      </c>
      <c r="T25" s="1384" t="s">
        <v>5</v>
      </c>
      <c r="U25" s="1385">
        <f>H25</f>
        <v>100</v>
      </c>
      <c r="V25" s="1384" t="s">
        <v>5</v>
      </c>
      <c r="W25" s="1385">
        <f>J25</f>
        <v>100</v>
      </c>
      <c r="X25" s="1378"/>
      <c r="Y25" s="3907"/>
      <c r="Z25" s="1386" t="str">
        <f>Q25</f>
        <v>区域土地利用方向</v>
      </c>
      <c r="AA25" s="1387">
        <f t="shared" si="3"/>
        <v>1</v>
      </c>
      <c r="AB25" s="1387">
        <f t="shared" si="4"/>
        <v>1</v>
      </c>
      <c r="AC25" s="1387">
        <f t="shared" si="5"/>
        <v>1</v>
      </c>
    </row>
    <row r="26" spans="1:29" ht="21">
      <c r="A26" s="485"/>
      <c r="B26" s="966"/>
      <c r="C26" s="524" t="s">
        <v>3336</v>
      </c>
      <c r="D26" s="527"/>
      <c r="E26" s="528" t="s">
        <v>3337</v>
      </c>
      <c r="F26" s="525"/>
      <c r="G26" s="526" t="s">
        <v>3337</v>
      </c>
      <c r="H26" s="525"/>
      <c r="I26" s="528" t="s">
        <v>3337</v>
      </c>
      <c r="J26" s="525"/>
      <c r="K26" s="501"/>
      <c r="L26" s="1863"/>
      <c r="M26" s="1853"/>
      <c r="N26" s="1853"/>
      <c r="O26" s="1862"/>
      <c r="P26" s="3907"/>
      <c r="Q26" s="1383"/>
      <c r="R26" s="1384"/>
      <c r="S26" s="1385"/>
      <c r="T26" s="1384"/>
      <c r="U26" s="1385"/>
      <c r="V26" s="1384"/>
      <c r="W26" s="1385"/>
      <c r="X26" s="1378"/>
      <c r="Y26" s="3907"/>
      <c r="Z26" s="1386"/>
      <c r="AA26" s="1387"/>
      <c r="AB26" s="1387"/>
      <c r="AC26" s="1387"/>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3907"/>
      <c r="Q27" s="1383" t="str">
        <f t="shared" si="8"/>
        <v>自然及人文环境状况</v>
      </c>
      <c r="R27" s="1384" t="s">
        <v>5</v>
      </c>
      <c r="S27" s="1385">
        <f>F27</f>
        <v>100</v>
      </c>
      <c r="T27" s="1384" t="s">
        <v>5</v>
      </c>
      <c r="U27" s="1385">
        <f>H27</f>
        <v>100</v>
      </c>
      <c r="V27" s="1384" t="s">
        <v>5</v>
      </c>
      <c r="W27" s="1385">
        <f>J27</f>
        <v>100</v>
      </c>
      <c r="X27" s="1378"/>
      <c r="Y27" s="3907"/>
      <c r="Z27" s="1386" t="str">
        <f>Q27</f>
        <v>自然及人文环境状况</v>
      </c>
      <c r="AA27" s="1387">
        <f t="shared" si="3"/>
        <v>1</v>
      </c>
      <c r="AB27" s="1387">
        <f t="shared" si="4"/>
        <v>1</v>
      </c>
      <c r="AC27" s="1387">
        <f t="shared" si="5"/>
        <v>1</v>
      </c>
    </row>
    <row r="28" spans="1:29" ht="21">
      <c r="A28" s="485"/>
      <c r="B28" s="536"/>
      <c r="C28" s="524" t="s">
        <v>3337</v>
      </c>
      <c r="D28" s="527"/>
      <c r="E28" s="546" t="s">
        <v>3337</v>
      </c>
      <c r="F28" s="525"/>
      <c r="G28" s="524" t="s">
        <v>3337</v>
      </c>
      <c r="H28" s="525"/>
      <c r="I28" s="546" t="s">
        <v>3337</v>
      </c>
      <c r="J28" s="525"/>
      <c r="K28" s="501"/>
      <c r="L28" s="1863"/>
      <c r="M28" s="1853"/>
      <c r="N28" s="1853"/>
      <c r="O28" s="1862"/>
      <c r="P28" s="3907"/>
      <c r="Q28" s="1383"/>
      <c r="R28" s="1384"/>
      <c r="S28" s="1385"/>
      <c r="T28" s="1384"/>
      <c r="U28" s="1385"/>
      <c r="V28" s="1384"/>
      <c r="W28" s="1385"/>
      <c r="X28" s="1378"/>
      <c r="Y28" s="3907"/>
      <c r="Z28" s="1386"/>
      <c r="AA28" s="1387">
        <v>1</v>
      </c>
      <c r="AB28" s="1387">
        <v>1</v>
      </c>
      <c r="AC28" s="1387">
        <v>1</v>
      </c>
    </row>
    <row r="29" spans="1:29" s="1116" customFormat="1" ht="41.4">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3907"/>
      <c r="Q29" s="1048" t="str">
        <f t="shared" si="8"/>
        <v>公共配套设施</v>
      </c>
      <c r="R29" s="1379" t="s">
        <v>5</v>
      </c>
      <c r="S29" s="1380">
        <f>F29</f>
        <v>100</v>
      </c>
      <c r="T29" s="1379" t="s">
        <v>5</v>
      </c>
      <c r="U29" s="1380">
        <f>H29</f>
        <v>100</v>
      </c>
      <c r="V29" s="1379" t="s">
        <v>5</v>
      </c>
      <c r="W29" s="1380">
        <f>J29</f>
        <v>100</v>
      </c>
      <c r="X29" s="1381"/>
      <c r="Y29" s="3907"/>
      <c r="Z29" s="1047" t="str">
        <f>Q29</f>
        <v>公共配套设施</v>
      </c>
      <c r="AA29" s="1387">
        <f>D29/F29</f>
        <v>1</v>
      </c>
      <c r="AB29" s="1387">
        <f>D29/H29</f>
        <v>1</v>
      </c>
      <c r="AC29" s="1387">
        <f>D29/J29</f>
        <v>1</v>
      </c>
    </row>
    <row r="30" spans="1:29" s="1116" customFormat="1" ht="21">
      <c r="A30" s="547"/>
      <c r="B30" s="536"/>
      <c r="C30" s="549" t="s">
        <v>3337</v>
      </c>
      <c r="D30" s="527"/>
      <c r="E30" s="546" t="s">
        <v>3337</v>
      </c>
      <c r="F30" s="525"/>
      <c r="G30" s="524" t="s">
        <v>3337</v>
      </c>
      <c r="H30" s="525"/>
      <c r="I30" s="546" t="s">
        <v>3337</v>
      </c>
      <c r="J30" s="525"/>
      <c r="K30" s="501"/>
      <c r="L30" s="1856"/>
      <c r="M30" s="1853"/>
      <c r="N30" s="1853"/>
      <c r="O30" s="1858"/>
      <c r="P30" s="3907"/>
      <c r="Q30" s="1048"/>
      <c r="R30" s="1379"/>
      <c r="S30" s="1380"/>
      <c r="T30" s="1379"/>
      <c r="U30" s="1380"/>
      <c r="V30" s="1379"/>
      <c r="W30" s="1380"/>
      <c r="X30" s="1381"/>
      <c r="Y30" s="3907"/>
      <c r="Z30" s="1047"/>
      <c r="AA30" s="1387">
        <v>1</v>
      </c>
      <c r="AB30" s="1387">
        <v>1</v>
      </c>
      <c r="AC30" s="1387">
        <v>1</v>
      </c>
    </row>
    <row r="31" spans="1:29" s="1116" customFormat="1" ht="27.6">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3907"/>
      <c r="Q31" s="2189" t="str">
        <f>B31</f>
        <v>基础设施水平</v>
      </c>
      <c r="R31" s="1379" t="s">
        <v>5</v>
      </c>
      <c r="S31" s="1380">
        <f>F31</f>
        <v>100</v>
      </c>
      <c r="T31" s="1379" t="s">
        <v>5</v>
      </c>
      <c r="U31" s="1380">
        <f>H31</f>
        <v>100</v>
      </c>
      <c r="V31" s="1379" t="s">
        <v>5</v>
      </c>
      <c r="W31" s="1380">
        <f>J31</f>
        <v>100</v>
      </c>
      <c r="X31" s="1381"/>
      <c r="Y31" s="3907"/>
      <c r="Z31" s="2188" t="str">
        <f>Q31</f>
        <v>基础设施水平</v>
      </c>
      <c r="AA31" s="1387">
        <f>D31/F31</f>
        <v>1</v>
      </c>
      <c r="AB31" s="1387">
        <f>D31/H31</f>
        <v>1</v>
      </c>
      <c r="AC31" s="1387">
        <f>D31/J31</f>
        <v>1</v>
      </c>
    </row>
    <row r="32" spans="1:29" s="1116" customFormat="1" ht="21">
      <c r="A32" s="547"/>
      <c r="B32" s="536"/>
      <c r="C32" s="549" t="s">
        <v>3364</v>
      </c>
      <c r="D32" s="527"/>
      <c r="E32" s="2197" t="s">
        <v>3364</v>
      </c>
      <c r="F32" s="525"/>
      <c r="G32" s="549" t="s">
        <v>3364</v>
      </c>
      <c r="H32" s="525"/>
      <c r="I32" s="549" t="s">
        <v>3364</v>
      </c>
      <c r="J32" s="525"/>
      <c r="K32" s="501"/>
      <c r="L32" s="1856"/>
      <c r="M32" s="1853"/>
      <c r="N32" s="1853"/>
      <c r="O32" s="1858"/>
      <c r="P32" s="3907"/>
      <c r="Q32" s="2189"/>
      <c r="R32" s="1379"/>
      <c r="S32" s="1380"/>
      <c r="T32" s="1379"/>
      <c r="U32" s="1380"/>
      <c r="V32" s="1379"/>
      <c r="W32" s="1380"/>
      <c r="X32" s="1381"/>
      <c r="Y32" s="3907"/>
      <c r="Z32" s="2188"/>
      <c r="AA32" s="1387">
        <v>1</v>
      </c>
      <c r="AB32" s="1387">
        <v>1</v>
      </c>
      <c r="AC32" s="1387">
        <v>1</v>
      </c>
    </row>
    <row r="33" spans="1:29" ht="21">
      <c r="A33" s="502"/>
      <c r="B33" s="536" t="s">
        <v>496</v>
      </c>
      <c r="C33" s="550" t="s">
        <v>3365</v>
      </c>
      <c r="D33" s="545">
        <v>100</v>
      </c>
      <c r="E33" s="553" t="s">
        <v>3365</v>
      </c>
      <c r="F33" s="510">
        <f>SUMIF(105:105,E33,106:106)-SUMIF(105:105,C33,106:106)+100</f>
        <v>100</v>
      </c>
      <c r="G33" s="550" t="s">
        <v>3365</v>
      </c>
      <c r="H33" s="510">
        <f>SUMIF(105:105,G33,106:106)-SUMIF(105:105,C33,106:106)+100</f>
        <v>100</v>
      </c>
      <c r="I33" s="550" t="s">
        <v>3365</v>
      </c>
      <c r="J33" s="510">
        <f>SUMIF(105:105,I33,106:106)-SUMIF(105:105,C33,106:106)+100</f>
        <v>100</v>
      </c>
      <c r="K33" s="505"/>
      <c r="L33" s="1863"/>
      <c r="M33" s="1853"/>
      <c r="N33" s="1853"/>
      <c r="O33" s="1862"/>
      <c r="P33" s="3907"/>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07"/>
      <c r="Z33" s="1386" t="str">
        <f t="shared" ref="Z33:Z47" si="12">Q33</f>
        <v>临街状况</v>
      </c>
      <c r="AA33" s="1387">
        <f t="shared" si="3"/>
        <v>1</v>
      </c>
      <c r="AB33" s="1387">
        <f t="shared" si="4"/>
        <v>1</v>
      </c>
      <c r="AC33" s="1387">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07"/>
      <c r="Q34" s="1383" t="str">
        <f t="shared" si="8"/>
        <v>毗邻道路的类型与等级</v>
      </c>
      <c r="R34" s="1384" t="s">
        <v>5</v>
      </c>
      <c r="S34" s="1385">
        <f t="shared" si="9"/>
        <v>100</v>
      </c>
      <c r="T34" s="1384" t="s">
        <v>5</v>
      </c>
      <c r="U34" s="1385">
        <f t="shared" si="10"/>
        <v>100</v>
      </c>
      <c r="V34" s="1384" t="s">
        <v>5</v>
      </c>
      <c r="W34" s="1385">
        <f t="shared" si="11"/>
        <v>100</v>
      </c>
      <c r="X34" s="1378"/>
      <c r="Y34" s="3907"/>
      <c r="Z34" s="1386" t="str">
        <f t="shared" si="12"/>
        <v>毗邻道路的类型与等级</v>
      </c>
      <c r="AA34" s="1387">
        <f t="shared" si="3"/>
        <v>1</v>
      </c>
      <c r="AB34" s="1387">
        <f t="shared" si="4"/>
        <v>1</v>
      </c>
      <c r="AC34" s="1387">
        <f t="shared" si="5"/>
        <v>1</v>
      </c>
    </row>
    <row r="35" spans="1:29" ht="21">
      <c r="A35" s="502"/>
      <c r="B35" s="536"/>
      <c r="C35" s="524"/>
      <c r="D35" s="527"/>
      <c r="E35" s="546"/>
      <c r="F35" s="525"/>
      <c r="G35" s="524"/>
      <c r="H35" s="525"/>
      <c r="I35" s="546"/>
      <c r="J35" s="525"/>
      <c r="K35" s="551"/>
      <c r="L35" s="1863"/>
      <c r="M35" s="1853"/>
      <c r="N35" s="1853"/>
      <c r="O35" s="1862"/>
      <c r="P35" s="3907"/>
      <c r="Q35" s="1383"/>
      <c r="R35" s="1384"/>
      <c r="S35" s="1385"/>
      <c r="T35" s="1384"/>
      <c r="U35" s="1385"/>
      <c r="V35" s="1384"/>
      <c r="W35" s="1385"/>
      <c r="X35" s="1378"/>
      <c r="Y35" s="3907"/>
      <c r="Z35" s="1386"/>
      <c r="AA35" s="1387">
        <v>1</v>
      </c>
      <c r="AB35" s="1387">
        <v>1</v>
      </c>
      <c r="AC35" s="1387">
        <v>1</v>
      </c>
    </row>
    <row r="36" spans="1:29" ht="21">
      <c r="A36" s="502"/>
      <c r="B36" s="552" t="s">
        <v>498</v>
      </c>
      <c r="C36" s="550" t="s">
        <v>1153</v>
      </c>
      <c r="D36" s="545">
        <v>100</v>
      </c>
      <c r="E36" s="553" t="s">
        <v>1153</v>
      </c>
      <c r="F36" s="510">
        <f>SUMIF(109:109,E36,110:110)-SUMIF(109:109,C36,110:110)+100</f>
        <v>100</v>
      </c>
      <c r="G36" s="550" t="s">
        <v>1153</v>
      </c>
      <c r="H36" s="510">
        <f>SUMIF(109:109,G36,110:110)-SUMIF(109:109,C36,110:110)+100</f>
        <v>100</v>
      </c>
      <c r="I36" s="553" t="s">
        <v>1153</v>
      </c>
      <c r="J36" s="510">
        <f>SUMIF(109:109,I36,110:110)-SUMIF(109:109,C36,110:110)+100</f>
        <v>100</v>
      </c>
      <c r="K36" s="554"/>
      <c r="L36" s="1863"/>
      <c r="M36" s="1853"/>
      <c r="N36" s="1853"/>
      <c r="O36" s="1862"/>
      <c r="P36" s="3907"/>
      <c r="Q36" s="1383" t="str">
        <f t="shared" si="8"/>
        <v>土地级别</v>
      </c>
      <c r="R36" s="1384" t="s">
        <v>5</v>
      </c>
      <c r="S36" s="1385">
        <f t="shared" si="9"/>
        <v>100</v>
      </c>
      <c r="T36" s="1384" t="s">
        <v>5</v>
      </c>
      <c r="U36" s="1385">
        <f t="shared" si="10"/>
        <v>100</v>
      </c>
      <c r="V36" s="1384" t="s">
        <v>5</v>
      </c>
      <c r="W36" s="1385">
        <f t="shared" si="11"/>
        <v>100</v>
      </c>
      <c r="X36" s="1378"/>
      <c r="Y36" s="3907"/>
      <c r="Z36" s="1386" t="str">
        <f t="shared" si="12"/>
        <v>土地级别</v>
      </c>
      <c r="AA36" s="1387">
        <f t="shared" si="3"/>
        <v>1</v>
      </c>
      <c r="AB36" s="1387">
        <f t="shared" si="4"/>
        <v>1</v>
      </c>
      <c r="AC36" s="1387">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07"/>
      <c r="Q37" s="1383">
        <f t="shared" si="8"/>
        <v>111</v>
      </c>
      <c r="R37" s="1384" t="s">
        <v>5</v>
      </c>
      <c r="S37" s="1385">
        <f t="shared" si="9"/>
        <v>100</v>
      </c>
      <c r="T37" s="1384" t="s">
        <v>5</v>
      </c>
      <c r="U37" s="1385">
        <f t="shared" si="10"/>
        <v>100</v>
      </c>
      <c r="V37" s="1384" t="s">
        <v>5</v>
      </c>
      <c r="W37" s="1385">
        <f t="shared" si="11"/>
        <v>100</v>
      </c>
      <c r="X37" s="1378"/>
      <c r="Y37" s="3907"/>
      <c r="Z37" s="1386">
        <f t="shared" si="12"/>
        <v>111</v>
      </c>
      <c r="AA37" s="1387">
        <f t="shared" si="3"/>
        <v>1</v>
      </c>
      <c r="AB37" s="1387">
        <f t="shared" si="4"/>
        <v>1</v>
      </c>
      <c r="AC37" s="1387">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08" t="s">
        <v>499</v>
      </c>
      <c r="Q38" s="1383">
        <f t="shared" si="8"/>
        <v>111</v>
      </c>
      <c r="R38" s="1384" t="s">
        <v>5</v>
      </c>
      <c r="S38" s="1385">
        <f t="shared" si="9"/>
        <v>100</v>
      </c>
      <c r="T38" s="1384" t="s">
        <v>5</v>
      </c>
      <c r="U38" s="1385">
        <f t="shared" si="10"/>
        <v>100</v>
      </c>
      <c r="V38" s="1384" t="s">
        <v>5</v>
      </c>
      <c r="W38" s="1385">
        <f t="shared" si="11"/>
        <v>100</v>
      </c>
      <c r="X38" s="1378"/>
      <c r="Y38" s="3909" t="s">
        <v>499</v>
      </c>
      <c r="Z38" s="1386">
        <f t="shared" si="12"/>
        <v>111</v>
      </c>
      <c r="AA38" s="1387">
        <f t="shared" si="3"/>
        <v>1</v>
      </c>
      <c r="AB38" s="1387">
        <f t="shared" si="4"/>
        <v>1</v>
      </c>
      <c r="AC38" s="1387">
        <f t="shared" si="5"/>
        <v>1</v>
      </c>
    </row>
    <row r="39" spans="1:29" s="1198"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09"/>
      <c r="Q39" s="1383">
        <f t="shared" si="8"/>
        <v>111</v>
      </c>
      <c r="R39" s="1388" t="s">
        <v>5</v>
      </c>
      <c r="S39" s="1389">
        <f t="shared" si="9"/>
        <v>100</v>
      </c>
      <c r="T39" s="1388" t="s">
        <v>5</v>
      </c>
      <c r="U39" s="1389">
        <f t="shared" si="10"/>
        <v>100</v>
      </c>
      <c r="V39" s="1388" t="s">
        <v>5</v>
      </c>
      <c r="W39" s="1389">
        <f t="shared" si="11"/>
        <v>100</v>
      </c>
      <c r="X39" s="1390"/>
      <c r="Y39" s="3909"/>
      <c r="Z39" s="1391">
        <f t="shared" si="12"/>
        <v>111</v>
      </c>
      <c r="AA39" s="1387">
        <f t="shared" si="3"/>
        <v>1</v>
      </c>
      <c r="AB39" s="1387">
        <f t="shared" si="4"/>
        <v>1</v>
      </c>
      <c r="AC39" s="1387">
        <f t="shared" si="5"/>
        <v>1</v>
      </c>
    </row>
    <row r="40" spans="1:29" ht="21">
      <c r="A40" s="2384" t="s">
        <v>2037</v>
      </c>
      <c r="B40" s="565" t="s">
        <v>501</v>
      </c>
      <c r="C40" s="566">
        <f>'数据-基础表'!I13</f>
        <v>543.88</v>
      </c>
      <c r="D40" s="567">
        <v>100</v>
      </c>
      <c r="E40" s="566">
        <f>开发补偿费!AI12*10000</f>
        <v>147100</v>
      </c>
      <c r="F40" s="567">
        <f>LOOKUP(E40,118:118,119:119)-LOOKUP(C40,118:118,119:119)+100</f>
        <v>100</v>
      </c>
      <c r="G40" s="566">
        <f>开发补偿费!AI13*10000</f>
        <v>528100</v>
      </c>
      <c r="H40" s="567">
        <f>LOOKUP(G40,118:118,119:119)-LOOKUP(C40,118:118,119:119)+100</f>
        <v>100</v>
      </c>
      <c r="I40" s="568">
        <f>'案例（海淀）'!$D$4</f>
        <v>187577</v>
      </c>
      <c r="J40" s="567">
        <f>LOOKUP(I40,118:118,119:119)-LOOKUP(C40,118:118,119:119)+100</f>
        <v>100</v>
      </c>
      <c r="K40" s="551"/>
      <c r="L40" s="1863"/>
      <c r="M40" s="1853"/>
      <c r="N40" s="1853"/>
      <c r="O40" s="1862"/>
      <c r="P40" s="3909"/>
      <c r="Q40" s="1383" t="str">
        <f>B40</f>
        <v>宗地面积</v>
      </c>
      <c r="R40" s="1384" t="s">
        <v>5</v>
      </c>
      <c r="S40" s="1385">
        <f t="shared" si="9"/>
        <v>100</v>
      </c>
      <c r="T40" s="1384" t="s">
        <v>5</v>
      </c>
      <c r="U40" s="1385">
        <f t="shared" si="10"/>
        <v>100</v>
      </c>
      <c r="V40" s="1384" t="s">
        <v>5</v>
      </c>
      <c r="W40" s="1385">
        <f t="shared" si="11"/>
        <v>100</v>
      </c>
      <c r="X40" s="1378"/>
      <c r="Y40" s="3909"/>
      <c r="Z40" s="1386" t="str">
        <f t="shared" si="12"/>
        <v>宗地面积</v>
      </c>
      <c r="AA40" s="1387">
        <f t="shared" si="3"/>
        <v>1</v>
      </c>
      <c r="AB40" s="1387">
        <f t="shared" si="4"/>
        <v>1</v>
      </c>
      <c r="AC40" s="1387">
        <f t="shared" si="5"/>
        <v>1</v>
      </c>
    </row>
    <row r="41" spans="1:29" ht="21">
      <c r="A41" s="564"/>
      <c r="B41" s="497" t="s">
        <v>502</v>
      </c>
      <c r="C41" s="569" t="s">
        <v>3368</v>
      </c>
      <c r="D41" s="510">
        <v>100</v>
      </c>
      <c r="E41" s="569" t="s">
        <v>3368</v>
      </c>
      <c r="F41" s="510">
        <f>SUMIF(120:120,E41,121:121)-SUMIF(120:120,C41,121:121)+100</f>
        <v>100</v>
      </c>
      <c r="G41" s="569" t="s">
        <v>3368</v>
      </c>
      <c r="H41" s="510">
        <f>SUMIF(120:120,G41,121:121)-SUMIF(120:120,C41,121:121)+100</f>
        <v>100</v>
      </c>
      <c r="I41" s="569" t="s">
        <v>3368</v>
      </c>
      <c r="J41" s="510">
        <f>SUMIF(120:120,I41,121:121)-SUMIF(120:120,C41,121:121)+100</f>
        <v>100</v>
      </c>
      <c r="K41" s="554"/>
      <c r="L41" s="1863"/>
      <c r="M41" s="1853"/>
      <c r="N41" s="1853"/>
      <c r="O41" s="1862"/>
      <c r="P41" s="3909"/>
      <c r="Q41" s="1383" t="str">
        <f t="shared" ref="Q41:Q47" si="13">B41</f>
        <v>宗地形状</v>
      </c>
      <c r="R41" s="1384" t="s">
        <v>5</v>
      </c>
      <c r="S41" s="1385">
        <f t="shared" si="9"/>
        <v>100</v>
      </c>
      <c r="T41" s="1384" t="s">
        <v>5</v>
      </c>
      <c r="U41" s="1385">
        <f t="shared" si="10"/>
        <v>100</v>
      </c>
      <c r="V41" s="1384" t="s">
        <v>5</v>
      </c>
      <c r="W41" s="1385">
        <f t="shared" si="11"/>
        <v>100</v>
      </c>
      <c r="X41" s="1378"/>
      <c r="Y41" s="3909"/>
      <c r="Z41" s="1386" t="str">
        <f t="shared" si="12"/>
        <v>宗地形状</v>
      </c>
      <c r="AA41" s="1387">
        <f t="shared" si="3"/>
        <v>1</v>
      </c>
      <c r="AB41" s="1387">
        <f t="shared" si="4"/>
        <v>1</v>
      </c>
      <c r="AC41" s="1387">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3909"/>
      <c r="Q42" s="1383" t="str">
        <f t="shared" si="13"/>
        <v>临街宽度及深度</v>
      </c>
      <c r="R42" s="1384" t="s">
        <v>5</v>
      </c>
      <c r="S42" s="1385">
        <f t="shared" si="9"/>
        <v>100</v>
      </c>
      <c r="T42" s="1384" t="s">
        <v>5</v>
      </c>
      <c r="U42" s="1385">
        <f t="shared" si="10"/>
        <v>100</v>
      </c>
      <c r="V42" s="1384" t="s">
        <v>5</v>
      </c>
      <c r="W42" s="1385">
        <f t="shared" si="11"/>
        <v>100</v>
      </c>
      <c r="X42" s="1378"/>
      <c r="Y42" s="3909"/>
      <c r="Z42" s="1386" t="str">
        <f t="shared" si="12"/>
        <v>临街宽度及深度</v>
      </c>
      <c r="AA42" s="1387">
        <f t="shared" si="3"/>
        <v>1</v>
      </c>
      <c r="AB42" s="1387">
        <f t="shared" si="4"/>
        <v>1</v>
      </c>
      <c r="AC42" s="1387">
        <f t="shared" si="5"/>
        <v>1</v>
      </c>
    </row>
    <row r="43" spans="1:29" s="1116" customFormat="1" ht="21">
      <c r="A43" s="570"/>
      <c r="B43" s="1649" t="s">
        <v>1776</v>
      </c>
      <c r="C43" s="571" t="s">
        <v>3364</v>
      </c>
      <c r="D43" s="246">
        <v>100</v>
      </c>
      <c r="E43" s="571" t="s">
        <v>3561</v>
      </c>
      <c r="F43" s="510">
        <f>SUMIF(124:124,E43,125:125)-SUMIF(124:124,C43,125:125)+100</f>
        <v>95</v>
      </c>
      <c r="G43" s="571" t="s">
        <v>3364</v>
      </c>
      <c r="H43" s="510">
        <f>SUMIF(124:124,G43,125:125)-SUMIF(124:124,C43,125:125)+100</f>
        <v>100</v>
      </c>
      <c r="I43" s="571" t="s">
        <v>3364</v>
      </c>
      <c r="J43" s="510">
        <f>SUMIF(124:124,I43,125:125)-SUMIF(124:124,C43,125:125)+100</f>
        <v>100</v>
      </c>
      <c r="K43" s="554">
        <v>5</v>
      </c>
      <c r="L43" s="1856"/>
      <c r="M43" s="1853"/>
      <c r="N43" s="1853"/>
      <c r="O43" s="1858"/>
      <c r="P43" s="3909"/>
      <c r="Q43" s="1383" t="str">
        <f t="shared" si="13"/>
        <v>宗地开发程度</v>
      </c>
      <c r="R43" s="1379" t="s">
        <v>5</v>
      </c>
      <c r="S43" s="1380">
        <f t="shared" si="9"/>
        <v>95</v>
      </c>
      <c r="T43" s="1379" t="s">
        <v>5</v>
      </c>
      <c r="U43" s="1380">
        <f t="shared" si="10"/>
        <v>100</v>
      </c>
      <c r="V43" s="1379" t="s">
        <v>5</v>
      </c>
      <c r="W43" s="1380">
        <f t="shared" si="11"/>
        <v>100</v>
      </c>
      <c r="X43" s="1381"/>
      <c r="Y43" s="3909"/>
      <c r="Z43" s="1047" t="str">
        <f t="shared" si="12"/>
        <v>宗地开发程度</v>
      </c>
      <c r="AA43" s="1382">
        <f t="shared" si="3"/>
        <v>1.0526315789473684</v>
      </c>
      <c r="AB43" s="1382">
        <f t="shared" si="4"/>
        <v>1</v>
      </c>
      <c r="AC43" s="1382">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3909" t="s">
        <v>499</v>
      </c>
      <c r="Q44" s="1383" t="str">
        <f t="shared" si="13"/>
        <v>工程地质条件</v>
      </c>
      <c r="R44" s="1384" t="s">
        <v>5</v>
      </c>
      <c r="S44" s="1385">
        <f t="shared" si="9"/>
        <v>100</v>
      </c>
      <c r="T44" s="1384" t="s">
        <v>5</v>
      </c>
      <c r="U44" s="1385">
        <f t="shared" si="10"/>
        <v>100</v>
      </c>
      <c r="V44" s="1384" t="s">
        <v>5</v>
      </c>
      <c r="W44" s="1385">
        <f t="shared" si="11"/>
        <v>100</v>
      </c>
      <c r="X44" s="1378"/>
      <c r="Y44" s="3909" t="s">
        <v>499</v>
      </c>
      <c r="Z44" s="1386" t="str">
        <f t="shared" si="12"/>
        <v>工程地质条件</v>
      </c>
      <c r="AA44" s="1387">
        <f t="shared" si="3"/>
        <v>1</v>
      </c>
      <c r="AB44" s="1387">
        <f t="shared" si="4"/>
        <v>1</v>
      </c>
      <c r="AC44" s="1387">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09"/>
      <c r="Q45" s="1383">
        <f t="shared" si="13"/>
        <v>111</v>
      </c>
      <c r="R45" s="1384" t="s">
        <v>5</v>
      </c>
      <c r="S45" s="1385">
        <f t="shared" si="9"/>
        <v>100</v>
      </c>
      <c r="T45" s="1384" t="s">
        <v>5</v>
      </c>
      <c r="U45" s="1385">
        <f t="shared" si="10"/>
        <v>100</v>
      </c>
      <c r="V45" s="1384" t="s">
        <v>5</v>
      </c>
      <c r="W45" s="1385">
        <f t="shared" si="11"/>
        <v>100</v>
      </c>
      <c r="X45" s="1378"/>
      <c r="Y45" s="3909"/>
      <c r="Z45" s="1386">
        <f t="shared" si="12"/>
        <v>111</v>
      </c>
      <c r="AA45" s="1387">
        <f t="shared" si="3"/>
        <v>1</v>
      </c>
      <c r="AB45" s="1387">
        <f t="shared" si="4"/>
        <v>1</v>
      </c>
      <c r="AC45" s="1387">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09"/>
      <c r="Q46" s="1383">
        <f t="shared" si="13"/>
        <v>111</v>
      </c>
      <c r="R46" s="1384" t="s">
        <v>5</v>
      </c>
      <c r="S46" s="1385">
        <f t="shared" si="9"/>
        <v>100</v>
      </c>
      <c r="T46" s="1384" t="s">
        <v>5</v>
      </c>
      <c r="U46" s="1385">
        <f t="shared" si="10"/>
        <v>100</v>
      </c>
      <c r="V46" s="1384" t="s">
        <v>5</v>
      </c>
      <c r="W46" s="1385">
        <f t="shared" si="11"/>
        <v>100</v>
      </c>
      <c r="X46" s="1378"/>
      <c r="Y46" s="3909"/>
      <c r="Z46" s="1386">
        <f t="shared" si="12"/>
        <v>111</v>
      </c>
      <c r="AA46" s="1387">
        <f t="shared" si="3"/>
        <v>1</v>
      </c>
      <c r="AB46" s="1387">
        <f t="shared" si="4"/>
        <v>1</v>
      </c>
      <c r="AC46" s="1387">
        <f t="shared" si="5"/>
        <v>1</v>
      </c>
    </row>
    <row r="47" spans="1:29" s="1198"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09"/>
      <c r="Q47" s="1383">
        <f t="shared" si="13"/>
        <v>111</v>
      </c>
      <c r="R47" s="1388" t="s">
        <v>5</v>
      </c>
      <c r="S47" s="1389">
        <f t="shared" si="9"/>
        <v>100</v>
      </c>
      <c r="T47" s="1388" t="s">
        <v>5</v>
      </c>
      <c r="U47" s="1389">
        <f t="shared" si="10"/>
        <v>100</v>
      </c>
      <c r="V47" s="1388" t="s">
        <v>5</v>
      </c>
      <c r="W47" s="1389">
        <f t="shared" si="11"/>
        <v>100</v>
      </c>
      <c r="X47" s="1390"/>
      <c r="Y47" s="3909"/>
      <c r="Z47" s="1391">
        <f t="shared" si="12"/>
        <v>111</v>
      </c>
      <c r="AA47" s="1387">
        <f t="shared" si="3"/>
        <v>1</v>
      </c>
      <c r="AB47" s="1387">
        <f t="shared" si="4"/>
        <v>1</v>
      </c>
      <c r="AC47" s="1387">
        <f t="shared" si="5"/>
        <v>1</v>
      </c>
    </row>
    <row r="48" spans="1:29" ht="21">
      <c r="A48" s="577" t="s">
        <v>505</v>
      </c>
      <c r="B48" s="578" t="s">
        <v>2197</v>
      </c>
      <c r="C48" s="579" t="s">
        <v>0</v>
      </c>
      <c r="D48" s="580"/>
      <c r="E48" s="581">
        <f>开发补偿费!BB12</f>
        <v>8352</v>
      </c>
      <c r="F48" s="582"/>
      <c r="G48" s="583">
        <f>开发补偿费!BB13</f>
        <v>10682</v>
      </c>
      <c r="H48" s="584"/>
      <c r="I48" s="581">
        <f>'案例（海淀）'!$J$4</f>
        <v>8875</v>
      </c>
      <c r="J48" s="584"/>
      <c r="K48" s="1199"/>
      <c r="L48" s="1865"/>
      <c r="M48" s="1853"/>
      <c r="N48" s="1853"/>
      <c r="O48" s="1866"/>
      <c r="P48" s="3904" t="str">
        <f>A48</f>
        <v>成交单价</v>
      </c>
      <c r="Q48" s="3904"/>
      <c r="R48" s="3920">
        <f>E48</f>
        <v>8352</v>
      </c>
      <c r="S48" s="3920"/>
      <c r="T48" s="3920">
        <f>G48</f>
        <v>10682</v>
      </c>
      <c r="U48" s="3920"/>
      <c r="V48" s="3920">
        <f>I48</f>
        <v>8875</v>
      </c>
      <c r="W48" s="3920"/>
      <c r="X48" s="1373"/>
      <c r="Y48" s="1392"/>
      <c r="Z48" s="1373"/>
      <c r="AA48" s="1373"/>
      <c r="AB48" s="1373"/>
      <c r="AC48" s="1373"/>
    </row>
    <row r="49" spans="1:29" ht="21.6" thickBot="1">
      <c r="A49" s="585" t="s">
        <v>1975</v>
      </c>
      <c r="B49" s="586"/>
      <c r="C49" s="587">
        <f>R50</f>
        <v>8769</v>
      </c>
      <c r="D49" s="2754" t="s">
        <v>2261</v>
      </c>
      <c r="E49" s="587">
        <f>R49</f>
        <v>8247</v>
      </c>
      <c r="F49" s="2755"/>
      <c r="G49" s="588">
        <f>T49</f>
        <v>9865</v>
      </c>
      <c r="H49" s="2755"/>
      <c r="I49" s="587">
        <f>V49</f>
        <v>8196</v>
      </c>
      <c r="J49" s="2755"/>
      <c r="K49" s="2756">
        <f>F49+H49+J49</f>
        <v>0</v>
      </c>
      <c r="L49" s="1865"/>
      <c r="M49" s="1853"/>
      <c r="N49" s="1853"/>
      <c r="O49" s="1866"/>
      <c r="P49" s="3904" t="str">
        <f>A49</f>
        <v>比较价格（元/平方米）</v>
      </c>
      <c r="Q49" s="3904"/>
      <c r="R49" s="3928">
        <f>ROUND(PRODUCT(R48,AA9:AA47),0)</f>
        <v>8247</v>
      </c>
      <c r="S49" s="3928"/>
      <c r="T49" s="3928">
        <f>ROUND(PRODUCT(T48,AB9:AB47),0)</f>
        <v>9865</v>
      </c>
      <c r="U49" s="3928"/>
      <c r="V49" s="3928">
        <f>ROUND(PRODUCT(V48,AC9:AC47),0)</f>
        <v>8196</v>
      </c>
      <c r="W49" s="3928"/>
      <c r="X49" s="1373"/>
      <c r="Y49" s="1373"/>
      <c r="Z49" s="1373"/>
      <c r="AA49" s="1373"/>
      <c r="AB49" s="1373"/>
      <c r="AC49" s="1373"/>
    </row>
    <row r="50" spans="1:29" ht="21.6" thickBot="1">
      <c r="A50" s="589" t="s">
        <v>2198</v>
      </c>
      <c r="B50" s="590"/>
      <c r="C50" s="591">
        <f>R50</f>
        <v>8769</v>
      </c>
      <c r="D50" s="591"/>
      <c r="E50" s="591"/>
      <c r="F50" s="591"/>
      <c r="G50" s="591"/>
      <c r="H50" s="591"/>
      <c r="I50" s="591"/>
      <c r="J50" s="591"/>
      <c r="K50" s="1200"/>
      <c r="L50" s="1865"/>
      <c r="M50" s="1853"/>
      <c r="N50" s="1853"/>
      <c r="O50" s="1866"/>
      <c r="P50" s="3910" t="str">
        <f>A50</f>
        <v>估价对象XX用房的比较价格（楼面单价，元/平方米）</v>
      </c>
      <c r="Q50" s="3911"/>
      <c r="R50" s="3927">
        <f>ROUND(IF(D49="简单平均",AVERAGE(R49:W49),R49*F49+T49*H49+V49*J49),0)</f>
        <v>8769</v>
      </c>
      <c r="S50" s="3927"/>
      <c r="T50" s="3927"/>
      <c r="U50" s="3927"/>
      <c r="V50" s="3927"/>
      <c r="W50" s="3927"/>
      <c r="X50" s="1373"/>
      <c r="Y50" s="1373"/>
      <c r="Z50" s="1373"/>
      <c r="AA50" s="1373"/>
      <c r="AB50" s="1373"/>
      <c r="AC50" s="1373"/>
    </row>
    <row r="51" spans="1:29" ht="21">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1">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f>IF(E48&lt;E49,E49/E48-1,E48/E49-1)</f>
        <v>1.2731902510003668E-2</v>
      </c>
      <c r="F53" s="595" t="str">
        <f>IF(OR(E53&gt;=0.3,E53&lt;=-0.3),"超过30%","")</f>
        <v/>
      </c>
      <c r="G53" s="594">
        <f>IF(G48&lt;G49,G49/G48-1,G48/G49-1)</f>
        <v>8.2818043588444024E-2</v>
      </c>
      <c r="H53" s="595" t="str">
        <f>IF(OR(G53&gt;=0.3,G53&lt;=-0.3),"超过30%","")</f>
        <v/>
      </c>
      <c r="I53" s="594">
        <f>IF(I48&lt;I49,I49/I48-1,I48/I49-1)</f>
        <v>8.2845290385553882E-2</v>
      </c>
      <c r="J53" s="595" t="str">
        <f>IF(OR(I53&gt;=0.3,I53&lt;=-0.3),"超过30%","")</f>
        <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f>IF(E49&lt;G49,G49/E49-1,E49/G49-1)</f>
        <v>0.1961925548684369</v>
      </c>
      <c r="F54" s="595" t="str">
        <f>IF(OR(E54&gt;=0.2,E54&lt;=-0.2),"超过20%","")</f>
        <v/>
      </c>
      <c r="G54" s="594">
        <f>IF(G49&lt;I49,I49/G49-1,G49/I49-1)</f>
        <v>0.20363591996095654</v>
      </c>
      <c r="H54" s="595" t="str">
        <f>IF(OR(G54&gt;=0.2,G54&lt;=-0.2),"超过20%","")</f>
        <v>超过20%</v>
      </c>
      <c r="I54" s="594">
        <f>IF(I49&lt;E49,E49/I49-1,I49/E49-1)</f>
        <v>6.2225475841874989E-3</v>
      </c>
      <c r="J54" s="595" t="str">
        <f>IF(OR(I54&gt;=0.2,I54&lt;=-0.2),"超过20%","")</f>
        <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f>IF(E48&lt;G48,G48/E48-1,E48/G48-1)</f>
        <v>0.27897509578544066</v>
      </c>
      <c r="F55" s="595" t="str">
        <f>IF(OR(E55&gt;=0.3,E55&lt;=-0.3),"超过30%","")</f>
        <v/>
      </c>
      <c r="G55" s="594">
        <f>IF(G48&lt;I48,I48/G48-1,G48/I48-1)</f>
        <v>0.20360563380281693</v>
      </c>
      <c r="H55" s="595" t="str">
        <f>IF(OR(G55&gt;=0.3,G55&lt;=-0.3),"超过30%","")</f>
        <v/>
      </c>
      <c r="I55" s="594">
        <f>IF(I48&lt;E48,E48/I48-1,I48/E48-1)</f>
        <v>6.2619731800766187E-2</v>
      </c>
      <c r="J55" s="595" t="str">
        <f>IF(OR(I55&gt;=0.3,I55&lt;=-0.3),"超过30%","")</f>
        <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6"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89" t="s">
        <v>1639</v>
      </c>
      <c r="H57" s="3890"/>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3.2">
      <c r="A58" s="601" t="s">
        <v>513</v>
      </c>
      <c r="B58" s="602">
        <f>C50</f>
        <v>8769</v>
      </c>
      <c r="C58" s="603">
        <v>1</v>
      </c>
      <c r="D58" s="1945">
        <v>1</v>
      </c>
      <c r="E58" s="603">
        <f>'数据-汇总表'!E8+'数据-汇总表'!E9</f>
        <v>543.88</v>
      </c>
      <c r="F58" s="604">
        <f t="shared" ref="F58:F66" si="14">ROUND(B58*E58/10000,0)</f>
        <v>477</v>
      </c>
      <c r="G58" s="3891"/>
      <c r="H58" s="3892"/>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514</v>
      </c>
      <c r="B59" s="606">
        <f>ROUND($C$50*C59*D59,0)</f>
        <v>0</v>
      </c>
      <c r="C59" s="365">
        <f t="shared" ref="C59:C66" si="15">IF($C$57="北京市系数",I59,J59)</f>
        <v>0</v>
      </c>
      <c r="D59" s="1946">
        <v>0.25</v>
      </c>
      <c r="E59" s="607">
        <v>0</v>
      </c>
      <c r="F59" s="604">
        <f t="shared" si="14"/>
        <v>0</v>
      </c>
      <c r="G59" s="3272" t="s">
        <v>1640</v>
      </c>
      <c r="H59" s="1702">
        <f>项目基本情况!B43</f>
        <v>0</v>
      </c>
      <c r="I59" s="1371">
        <f>SUMIF(修正!$A$59:$A$70,H59,修正!B59:B70)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515</v>
      </c>
      <c r="B60" s="606">
        <f t="shared" ref="B60:B66" si="16">ROUND($C$50*C60*D60,0)</f>
        <v>0</v>
      </c>
      <c r="C60" s="365">
        <f t="shared" si="15"/>
        <v>0</v>
      </c>
      <c r="D60" s="1946">
        <v>0.25</v>
      </c>
      <c r="E60" s="607">
        <v>0</v>
      </c>
      <c r="F60" s="604">
        <f t="shared" si="14"/>
        <v>0</v>
      </c>
      <c r="G60" s="3273"/>
      <c r="H60" s="1702">
        <f>项目基本情况!B43</f>
        <v>0</v>
      </c>
      <c r="I60" s="1371">
        <f>SUMIF(修正!$A$59:$A$70,H60,修正!C59:C70)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2">
      <c r="A61" s="605" t="s">
        <v>516</v>
      </c>
      <c r="B61" s="606">
        <f t="shared" si="16"/>
        <v>0</v>
      </c>
      <c r="C61" s="365">
        <f t="shared" si="15"/>
        <v>0</v>
      </c>
      <c r="D61" s="1946">
        <v>0.25</v>
      </c>
      <c r="E61" s="607">
        <v>0</v>
      </c>
      <c r="F61" s="604">
        <f t="shared" si="14"/>
        <v>0</v>
      </c>
      <c r="G61" s="3273"/>
      <c r="H61" s="1702">
        <f>项目基本情况!B43</f>
        <v>0</v>
      </c>
      <c r="I61" s="1371">
        <f>SUMIF(修正!$A$59:$A$70,H61,修正!D59:D70)</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2">
      <c r="A62" s="2048" t="s">
        <v>1685</v>
      </c>
      <c r="B62" s="606">
        <f t="shared" si="16"/>
        <v>548</v>
      </c>
      <c r="C62" s="365">
        <f t="shared" si="15"/>
        <v>0.25</v>
      </c>
      <c r="D62" s="1946">
        <v>0.25</v>
      </c>
      <c r="E62" s="609">
        <f>'数据-汇总表'!E11</f>
        <v>0</v>
      </c>
      <c r="F62" s="604">
        <f t="shared" si="14"/>
        <v>0</v>
      </c>
      <c r="G62" s="1699" t="s">
        <v>1641</v>
      </c>
      <c r="H62" s="1702" t="str">
        <f>项目基本情况!C43</f>
        <v>六级</v>
      </c>
      <c r="I62" s="1371">
        <f>SUMIF(修正!$A$59:$A$70,H62,修正!E59:E70)</f>
        <v>0.25</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3.2">
      <c r="A63" s="605" t="s">
        <v>517</v>
      </c>
      <c r="B63" s="606">
        <f t="shared" si="16"/>
        <v>548</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1">
        <f>SUMIF(修正!$A$59:$A$70,H63,修正!F59:F70)</f>
        <v>0.25</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3.2">
      <c r="A64" s="605" t="s">
        <v>518</v>
      </c>
      <c r="B64" s="606">
        <f t="shared" si="16"/>
        <v>0</v>
      </c>
      <c r="C64" s="365">
        <f t="shared" si="15"/>
        <v>0</v>
      </c>
      <c r="D64" s="1946">
        <v>0.25</v>
      </c>
      <c r="E64" s="609">
        <f>'数据-汇总表'!E13</f>
        <v>0</v>
      </c>
      <c r="F64" s="604">
        <f t="shared" si="14"/>
        <v>0</v>
      </c>
      <c r="G64" s="1700" t="s">
        <v>851</v>
      </c>
      <c r="H64" s="1698">
        <f>IF(G64="商业",项目基本情况!B43,IF(G64="办公",项目基本情况!C43,IF(G64="住宅",项目基本情况!D43,项目基本情况!E43)))</f>
        <v>0</v>
      </c>
      <c r="I64" s="1371">
        <f>SUMIF(修正!$A$59:$A$70,H64,修正!G59:G70)</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3.2">
      <c r="A65" s="605" t="s">
        <v>519</v>
      </c>
      <c r="B65" s="606">
        <f t="shared" si="16"/>
        <v>0</v>
      </c>
      <c r="C65" s="365">
        <f t="shared" si="15"/>
        <v>0</v>
      </c>
      <c r="D65" s="1946">
        <v>0.25</v>
      </c>
      <c r="E65" s="609">
        <f>'数据-汇总表'!E14</f>
        <v>0</v>
      </c>
      <c r="F65" s="604">
        <f t="shared" si="14"/>
        <v>0</v>
      </c>
      <c r="G65" s="1699" t="s">
        <v>1640</v>
      </c>
      <c r="H65" s="1702">
        <f>项目基本情况!B43</f>
        <v>0</v>
      </c>
      <c r="I65" s="1371">
        <f>SUMIF(修正!$A$59:$A$70,H65,修正!G59:G70)</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thickBot="1">
      <c r="A66" s="605" t="s">
        <v>520</v>
      </c>
      <c r="B66" s="606">
        <f t="shared" si="16"/>
        <v>329</v>
      </c>
      <c r="C66" s="365">
        <f t="shared" si="15"/>
        <v>0.15</v>
      </c>
      <c r="D66" s="1946">
        <v>0.25</v>
      </c>
      <c r="E66" s="609">
        <f>'数据-汇总表'!E15</f>
        <v>0</v>
      </c>
      <c r="F66" s="604">
        <f t="shared" si="14"/>
        <v>0</v>
      </c>
      <c r="G66" s="1701" t="s">
        <v>1641</v>
      </c>
      <c r="H66" s="1703" t="str">
        <f>项目基本情况!C43</f>
        <v>六级</v>
      </c>
      <c r="I66" s="1371">
        <f>SUMIF(修正!$A$59:$A$70,H66,修正!G59:G70)</f>
        <v>0.15</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thickBot="1">
      <c r="A67" s="610" t="s">
        <v>521</v>
      </c>
      <c r="B67" s="611" t="s">
        <v>11</v>
      </c>
      <c r="C67" s="611" t="s">
        <v>12</v>
      </c>
      <c r="D67" s="611" t="s">
        <v>1651</v>
      </c>
      <c r="E67" s="611">
        <f>IF(B48="楼面地价",SUM(E58:E66),'数据-汇总表'!D3)</f>
        <v>271.94</v>
      </c>
      <c r="F67" s="612">
        <f>IF(B48="楼面地价",SUM(F58:F66),ROUND(C50*E67/10000,0))</f>
        <v>238</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2025-7-1</v>
      </c>
      <c r="D69" s="2276">
        <f>EDATE(C69,-3)</f>
        <v>45748</v>
      </c>
      <c r="E69" s="2276">
        <f t="shared" ref="E69:N69" si="17">EDATE(D69,-3)</f>
        <v>45658</v>
      </c>
      <c r="F69" s="2276">
        <f t="shared" si="17"/>
        <v>45566</v>
      </c>
      <c r="G69" s="2276">
        <f t="shared" si="17"/>
        <v>45474</v>
      </c>
      <c r="H69" s="2276">
        <f t="shared" si="17"/>
        <v>45383</v>
      </c>
      <c r="I69" s="2276">
        <f t="shared" si="17"/>
        <v>45292</v>
      </c>
      <c r="J69" s="2276">
        <f t="shared" si="17"/>
        <v>45200</v>
      </c>
      <c r="K69" s="2276">
        <f t="shared" si="17"/>
        <v>45108</v>
      </c>
      <c r="L69" s="2276">
        <f t="shared" si="17"/>
        <v>45017</v>
      </c>
      <c r="M69" s="2276">
        <f t="shared" si="17"/>
        <v>44927</v>
      </c>
      <c r="N69" s="2276">
        <f t="shared" si="17"/>
        <v>44835</v>
      </c>
      <c r="O69" s="1866"/>
      <c r="P69" s="1866"/>
      <c r="Q69" s="1866"/>
      <c r="R69" s="1866"/>
      <c r="S69" s="1866"/>
      <c r="T69" s="1866"/>
      <c r="U69" s="1866"/>
      <c r="V69" s="1866"/>
      <c r="W69" s="1866"/>
      <c r="X69" s="1866"/>
      <c r="Y69" s="1866"/>
      <c r="Z69" s="1866"/>
      <c r="AA69" s="1866"/>
      <c r="AB69" s="1866"/>
      <c r="AC69" s="1866"/>
    </row>
    <row r="70" spans="1:29" ht="22.2"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4.4">
      <c r="A71" s="2183" t="s">
        <v>1815</v>
      </c>
      <c r="B71" s="2184"/>
      <c r="C71" s="2273" t="str">
        <f>YEAR(C69)&amp;"-"&amp;ROUNDUP(MONTH(C69)/3,0)</f>
        <v>2025-3</v>
      </c>
      <c r="D71" s="2278" t="str">
        <f>YEAR(D69)&amp;"-"&amp;ROUNDUP(MONTH(D69)/3,0)</f>
        <v>2025-2</v>
      </c>
      <c r="E71" s="2278" t="str">
        <f t="shared" ref="E71:N71" si="18">YEAR(E69)&amp;"-"&amp;ROUNDUP(MONTH(E69)/3,0)</f>
        <v>2025-1</v>
      </c>
      <c r="F71" s="2278" t="str">
        <f t="shared" si="18"/>
        <v>2024-4</v>
      </c>
      <c r="G71" s="2278" t="str">
        <f t="shared" si="18"/>
        <v>2024-3</v>
      </c>
      <c r="H71" s="2278" t="str">
        <f t="shared" si="18"/>
        <v>2024-2</v>
      </c>
      <c r="I71" s="2278" t="str">
        <f t="shared" si="18"/>
        <v>2024-1</v>
      </c>
      <c r="J71" s="2278" t="str">
        <f t="shared" si="18"/>
        <v>2023-4</v>
      </c>
      <c r="K71" s="2278" t="str">
        <f t="shared" si="18"/>
        <v>2023-3</v>
      </c>
      <c r="L71" s="2278" t="str">
        <f t="shared" si="18"/>
        <v>2023-2</v>
      </c>
      <c r="M71" s="2278" t="str">
        <f t="shared" si="18"/>
        <v>2023-1</v>
      </c>
      <c r="N71" s="2278" t="str">
        <f t="shared" si="18"/>
        <v>2022-4</v>
      </c>
      <c r="O71" s="1879" t="s">
        <v>3370</v>
      </c>
      <c r="P71" s="1880" t="s">
        <v>3371</v>
      </c>
      <c r="Q71" s="1881" t="s">
        <v>3372</v>
      </c>
      <c r="R71" s="1881" t="s">
        <v>3373</v>
      </c>
      <c r="S71" s="1881" t="s">
        <v>3374</v>
      </c>
      <c r="T71" s="1881" t="s">
        <v>3375</v>
      </c>
      <c r="U71" s="1881"/>
      <c r="V71" s="1881"/>
      <c r="W71" s="1881"/>
      <c r="X71" s="1881"/>
      <c r="Y71" s="1881"/>
      <c r="Z71" s="1881"/>
      <c r="AA71" s="1881"/>
      <c r="AB71" s="1881"/>
      <c r="AC71" s="1881"/>
    </row>
    <row r="72" spans="1:29" s="1116" customFormat="1" ht="27" customHeight="1">
      <c r="A72" s="2283" t="s">
        <v>1929</v>
      </c>
      <c r="B72" s="465" t="str">
        <f>"北京市平均增长率"&amp;TEXT(SUMIF(基准地价!N25:N29,A72,基准地价!P25:P29),"0.00%")</f>
        <v>北京市平均增长率0.00%</v>
      </c>
      <c r="C72" s="855">
        <v>100</v>
      </c>
      <c r="D72" s="698">
        <f>ROUND(C72/(1+D73/100),2)</f>
        <v>101.06</v>
      </c>
      <c r="E72" s="698">
        <f t="shared" ref="E72:T72" si="19">ROUND(D72/(1+E73/100),2)</f>
        <v>101.98</v>
      </c>
      <c r="F72" s="698">
        <f t="shared" si="19"/>
        <v>102.75</v>
      </c>
      <c r="G72" s="698">
        <f t="shared" si="19"/>
        <v>103.05</v>
      </c>
      <c r="H72" s="698">
        <f t="shared" si="19"/>
        <v>104.49</v>
      </c>
      <c r="I72" s="698">
        <f t="shared" si="19"/>
        <v>104.66</v>
      </c>
      <c r="J72" s="698">
        <f t="shared" si="19"/>
        <v>104.83</v>
      </c>
      <c r="K72" s="698">
        <f t="shared" si="19"/>
        <v>104.51</v>
      </c>
      <c r="L72" s="698">
        <f t="shared" si="19"/>
        <v>104.02</v>
      </c>
      <c r="M72" s="698">
        <f t="shared" si="19"/>
        <v>103.43</v>
      </c>
      <c r="N72" s="698">
        <f t="shared" si="19"/>
        <v>103.32</v>
      </c>
      <c r="O72" s="698">
        <f t="shared" si="19"/>
        <v>103.08</v>
      </c>
      <c r="P72" s="698">
        <f t="shared" si="19"/>
        <v>103.07</v>
      </c>
      <c r="Q72" s="698">
        <f t="shared" si="19"/>
        <v>102.69</v>
      </c>
      <c r="R72" s="698">
        <f t="shared" si="19"/>
        <v>102.62</v>
      </c>
      <c r="S72" s="698">
        <f t="shared" si="19"/>
        <v>102.37</v>
      </c>
      <c r="T72" s="698">
        <f t="shared" si="19"/>
        <v>101.95</v>
      </c>
      <c r="U72" s="1744"/>
      <c r="V72" s="1744"/>
      <c r="W72" s="1744"/>
      <c r="X72" s="1744"/>
      <c r="Y72" s="1744"/>
      <c r="Z72" s="1744"/>
      <c r="AA72" s="1744"/>
      <c r="AB72" s="1744"/>
      <c r="AC72" s="1744"/>
    </row>
    <row r="73" spans="1:29" s="1116" customFormat="1" ht="15" customHeight="1" thickBot="1">
      <c r="A73" s="2274" t="s">
        <v>1928</v>
      </c>
      <c r="B73" s="2282"/>
      <c r="C73" s="2269">
        <v>0</v>
      </c>
      <c r="D73" s="3699">
        <v>-1.05</v>
      </c>
      <c r="E73" s="3699">
        <v>-0.9</v>
      </c>
      <c r="F73" s="3699">
        <v>-0.75</v>
      </c>
      <c r="G73" s="3699">
        <v>-0.28999999999999998</v>
      </c>
      <c r="H73" s="3699">
        <v>-1.38</v>
      </c>
      <c r="I73" s="3699">
        <v>-0.16</v>
      </c>
      <c r="J73" s="3699">
        <v>-0.16</v>
      </c>
      <c r="K73" s="3699">
        <v>0.31</v>
      </c>
      <c r="L73" s="3699">
        <v>0.47</v>
      </c>
      <c r="M73" s="3699">
        <v>0.56999999999999995</v>
      </c>
      <c r="N73" s="3699">
        <v>0.11</v>
      </c>
      <c r="O73" s="3700">
        <v>0.23</v>
      </c>
      <c r="P73" s="3700">
        <v>0.01</v>
      </c>
      <c r="Q73" s="3700">
        <v>0.37</v>
      </c>
      <c r="R73" s="3701">
        <v>7.0000000000000007E-2</v>
      </c>
      <c r="S73" s="1744">
        <v>0.24</v>
      </c>
      <c r="T73" s="1744">
        <v>0.41</v>
      </c>
      <c r="U73" s="1744"/>
      <c r="V73" s="1744"/>
      <c r="W73" s="1744"/>
      <c r="X73" s="1744"/>
      <c r="Y73" s="1744"/>
      <c r="Z73" s="1744"/>
      <c r="AA73" s="1744"/>
      <c r="AB73" s="1744"/>
      <c r="AC73" s="1744"/>
    </row>
    <row r="74" spans="1:29" s="1116" customFormat="1" ht="14.4">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4.4"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14.4">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4.4"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9.4"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649" t="s">
        <v>487</v>
      </c>
      <c r="C80" s="650" t="str">
        <f>C81&amp;"（含）"&amp;"-"&amp;D81</f>
        <v>1（含）-3</v>
      </c>
      <c r="D80" s="650" t="str">
        <f t="shared" ref="D80:L80" si="20">D81&amp;"（含）"&amp;"-"&amp;E81</f>
        <v>3（含）-</v>
      </c>
      <c r="E80" s="650" t="str">
        <f t="shared" si="20"/>
        <v>（含）-</v>
      </c>
      <c r="F80" s="650" t="str">
        <f t="shared" si="20"/>
        <v>（含）-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c r="A81" s="637"/>
      <c r="B81" s="651"/>
      <c r="C81" s="511">
        <v>1</v>
      </c>
      <c r="D81" s="511">
        <v>3</v>
      </c>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4.4" thickBot="1">
      <c r="A82" s="637"/>
      <c r="B82" s="638"/>
      <c r="C82" s="647">
        <v>100</v>
      </c>
      <c r="D82" s="647">
        <f t="shared" ref="D82:M82" si="21">IF($B$48="单位面积地价",C82+$K13,C82-$K13)</f>
        <v>100</v>
      </c>
      <c r="E82" s="647">
        <f t="shared" si="21"/>
        <v>100</v>
      </c>
      <c r="F82" s="647">
        <f t="shared" si="21"/>
        <v>100</v>
      </c>
      <c r="G82" s="647">
        <f t="shared" si="21"/>
        <v>100</v>
      </c>
      <c r="H82" s="647">
        <f t="shared" si="21"/>
        <v>100</v>
      </c>
      <c r="I82" s="647">
        <f t="shared" si="21"/>
        <v>100</v>
      </c>
      <c r="J82" s="647">
        <f t="shared" si="21"/>
        <v>100</v>
      </c>
      <c r="K82" s="647">
        <f t="shared" si="21"/>
        <v>100</v>
      </c>
      <c r="L82" s="647">
        <f t="shared" si="21"/>
        <v>100</v>
      </c>
      <c r="M82" s="647">
        <f t="shared" si="21"/>
        <v>100</v>
      </c>
      <c r="N82" s="1886"/>
      <c r="O82" s="1886"/>
      <c r="P82" s="1885"/>
      <c r="Q82" s="1878"/>
      <c r="R82" s="1866"/>
      <c r="S82" s="1866"/>
      <c r="T82" s="1866"/>
      <c r="U82" s="1866"/>
      <c r="V82" s="1866"/>
      <c r="W82" s="1866"/>
      <c r="X82" s="1866"/>
      <c r="Y82" s="1866"/>
      <c r="Z82" s="1866"/>
      <c r="AA82" s="1866"/>
      <c r="AB82" s="1866"/>
      <c r="AC82" s="1866"/>
    </row>
    <row r="83" spans="1:29" s="1198" customFormat="1" ht="1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4.4"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4.4"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4.4"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4.4"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4.4"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ht="14.4">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9.4"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4.4"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9.4"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 thickTop="1">
      <c r="A103" s="655"/>
      <c r="B103" s="2202" t="s">
        <v>1833</v>
      </c>
      <c r="C103" s="2203" t="s">
        <v>1834</v>
      </c>
      <c r="D103" s="2203" t="s">
        <v>1835</v>
      </c>
      <c r="E103" s="2203" t="s">
        <v>1836</v>
      </c>
      <c r="F103" s="2203" t="s">
        <v>1837</v>
      </c>
      <c r="G103" s="2203"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9"/>
      <c r="C104" s="647">
        <v>100</v>
      </c>
      <c r="D104" s="647">
        <f>C104-$K31</f>
        <v>100</v>
      </c>
      <c r="E104" s="647">
        <f>D104-$K31</f>
        <v>100</v>
      </c>
      <c r="F104" s="647">
        <f>E104-$K31</f>
        <v>100</v>
      </c>
      <c r="G104" s="647">
        <f>F104-$K31</f>
        <v>100</v>
      </c>
      <c r="H104" s="651"/>
      <c r="I104" s="651"/>
      <c r="J104" s="651"/>
      <c r="K104" s="651"/>
      <c r="L104" s="651"/>
      <c r="M104" s="2195"/>
      <c r="N104" s="1887"/>
      <c r="O104" s="1887"/>
      <c r="P104" s="1888"/>
      <c r="Q104" s="1889"/>
      <c r="R104" s="1890"/>
      <c r="S104" s="1890"/>
      <c r="T104" s="1890"/>
      <c r="U104" s="1890"/>
      <c r="V104" s="1890"/>
      <c r="W104" s="1890"/>
      <c r="X104" s="1890"/>
      <c r="Y104" s="1890"/>
      <c r="Z104" s="1890"/>
      <c r="AA104" s="1890"/>
      <c r="AB104" s="1890"/>
      <c r="AC104" s="1890"/>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9.4"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637"/>
      <c r="B109" s="641" t="s">
        <v>498</v>
      </c>
      <c r="C109" s="3698" t="s">
        <v>3366</v>
      </c>
      <c r="D109" s="3698" t="s">
        <v>3367</v>
      </c>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4.4"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4.4"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4.4"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4.4"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4.4"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4.4"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7.6">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4" t="str">
        <f t="shared" si="25"/>
        <v>(含)-</v>
      </c>
      <c r="K117" s="2534" t="str">
        <f t="shared" si="25"/>
        <v>(含)-</v>
      </c>
      <c r="L117" s="2535" t="str">
        <f t="shared" si="25"/>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c r="A118" s="637"/>
      <c r="B118" s="649"/>
      <c r="C118" s="698">
        <v>0</v>
      </c>
      <c r="D118" s="698">
        <v>50000</v>
      </c>
      <c r="E118" s="698">
        <v>100000</v>
      </c>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8">
        <v>100</v>
      </c>
      <c r="D119" s="694">
        <v>100</v>
      </c>
      <c r="E119" s="694">
        <v>100</v>
      </c>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98" t="s">
        <v>3369</v>
      </c>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4.4" thickBot="1">
      <c r="A121" s="637"/>
      <c r="B121" s="646"/>
      <c r="C121" s="647">
        <v>100</v>
      </c>
      <c r="D121" s="647">
        <f t="shared" ref="D121:M121" si="26">C121-$K41</f>
        <v>100</v>
      </c>
      <c r="E121" s="647">
        <f t="shared" si="26"/>
        <v>100</v>
      </c>
      <c r="F121" s="647">
        <f t="shared" si="26"/>
        <v>100</v>
      </c>
      <c r="G121" s="647">
        <f t="shared" si="26"/>
        <v>100</v>
      </c>
      <c r="H121" s="647">
        <f t="shared" si="26"/>
        <v>100</v>
      </c>
      <c r="I121" s="647">
        <f t="shared" si="26"/>
        <v>100</v>
      </c>
      <c r="J121" s="647">
        <f t="shared" si="26"/>
        <v>100</v>
      </c>
      <c r="K121" s="647">
        <f t="shared" si="26"/>
        <v>100</v>
      </c>
      <c r="L121" s="647">
        <f t="shared" si="26"/>
        <v>100</v>
      </c>
      <c r="M121" s="648">
        <f t="shared" si="26"/>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t="s">
        <v>3560</v>
      </c>
      <c r="D124" s="1231" t="s">
        <v>3562</v>
      </c>
      <c r="E124" s="1231" t="s">
        <v>3563</v>
      </c>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4.4" thickBot="1">
      <c r="A125" s="655"/>
      <c r="B125" s="646"/>
      <c r="C125" s="647">
        <v>100</v>
      </c>
      <c r="D125" s="647">
        <f t="shared" ref="D125:M125" si="28">C125-$K43</f>
        <v>95</v>
      </c>
      <c r="E125" s="647">
        <f t="shared" si="28"/>
        <v>90</v>
      </c>
      <c r="F125" s="647">
        <f t="shared" si="28"/>
        <v>85</v>
      </c>
      <c r="G125" s="647">
        <f t="shared" si="28"/>
        <v>80</v>
      </c>
      <c r="H125" s="647">
        <f t="shared" si="28"/>
        <v>75</v>
      </c>
      <c r="I125" s="647">
        <f t="shared" si="28"/>
        <v>70</v>
      </c>
      <c r="J125" s="647">
        <f t="shared" si="28"/>
        <v>65</v>
      </c>
      <c r="K125" s="647">
        <f t="shared" si="28"/>
        <v>60</v>
      </c>
      <c r="L125" s="647">
        <f t="shared" si="28"/>
        <v>55</v>
      </c>
      <c r="M125" s="648">
        <f t="shared" si="28"/>
        <v>50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4.4" thickBot="1">
      <c r="A127" s="637"/>
      <c r="B127" s="646"/>
      <c r="C127" s="647">
        <v>100</v>
      </c>
      <c r="D127" s="647">
        <f t="shared" ref="D127:M127" si="29">C127-$K44</f>
        <v>100</v>
      </c>
      <c r="E127" s="647">
        <f t="shared" si="29"/>
        <v>100</v>
      </c>
      <c r="F127" s="647">
        <f t="shared" si="29"/>
        <v>100</v>
      </c>
      <c r="G127" s="647">
        <f t="shared" si="29"/>
        <v>100</v>
      </c>
      <c r="H127" s="647">
        <f t="shared" si="29"/>
        <v>100</v>
      </c>
      <c r="I127" s="647">
        <f t="shared" si="29"/>
        <v>100</v>
      </c>
      <c r="J127" s="647">
        <f t="shared" si="29"/>
        <v>100</v>
      </c>
      <c r="K127" s="647">
        <f t="shared" si="29"/>
        <v>100</v>
      </c>
      <c r="L127" s="647">
        <f t="shared" si="29"/>
        <v>100</v>
      </c>
      <c r="M127" s="648">
        <f t="shared" si="29"/>
        <v>100</v>
      </c>
      <c r="N127" s="1886"/>
      <c r="O127" s="1886"/>
      <c r="P127" s="1885"/>
      <c r="Q127" s="1878"/>
      <c r="R127" s="1866"/>
      <c r="S127" s="1866"/>
      <c r="T127" s="1866"/>
      <c r="U127" s="1866"/>
      <c r="V127" s="1866"/>
      <c r="W127" s="1866"/>
      <c r="X127" s="1866"/>
      <c r="Y127" s="1866"/>
      <c r="Z127" s="1866"/>
      <c r="AA127" s="1866"/>
      <c r="AB127" s="1866"/>
      <c r="AC127" s="1866"/>
    </row>
    <row r="128" spans="1:29" ht="14.4"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4.4"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4.4"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4.4"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478" t="e">
        <f>F62</f>
        <v>#DIV/0!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80"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1"/>
      <c r="D4" s="2961"/>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2953"/>
      <c r="AC5" s="1783"/>
    </row>
    <row r="6" spans="1:29" ht="14.4">
      <c r="A6" s="482" t="s">
        <v>470</v>
      </c>
      <c r="B6" s="483"/>
      <c r="C6" s="3912" t="s">
        <v>471</v>
      </c>
      <c r="D6" s="3913"/>
      <c r="E6" s="3934" t="s">
        <v>472</v>
      </c>
      <c r="F6" s="3935"/>
      <c r="G6" s="3912" t="s">
        <v>473</v>
      </c>
      <c r="H6" s="3913"/>
      <c r="I6" s="3912" t="s">
        <v>474</v>
      </c>
      <c r="J6" s="3913"/>
      <c r="K6" s="484" t="s">
        <v>475</v>
      </c>
      <c r="L6" s="1854"/>
      <c r="M6" s="1855"/>
      <c r="N6" s="1855"/>
      <c r="O6" s="1855"/>
      <c r="P6" s="3914" t="s">
        <v>476</v>
      </c>
      <c r="Q6" s="3915"/>
      <c r="R6" s="3898" t="s">
        <v>472</v>
      </c>
      <c r="S6" s="3899"/>
      <c r="T6" s="3898" t="s">
        <v>473</v>
      </c>
      <c r="U6" s="3899"/>
      <c r="V6" s="3920" t="s">
        <v>474</v>
      </c>
      <c r="W6" s="3920"/>
      <c r="X6" s="1378"/>
      <c r="Y6" s="3898" t="s">
        <v>476</v>
      </c>
      <c r="Z6" s="3899"/>
      <c r="AA6" s="3893" t="s">
        <v>472</v>
      </c>
      <c r="AB6" s="3894" t="s">
        <v>473</v>
      </c>
      <c r="AC6" s="3893" t="s">
        <v>474</v>
      </c>
    </row>
    <row r="7" spans="1:29">
      <c r="A7" s="485"/>
      <c r="B7" s="486"/>
      <c r="C7" s="3923" t="s">
        <v>2192</v>
      </c>
      <c r="D7" s="3924"/>
      <c r="E7" s="3936" t="s">
        <v>2193</v>
      </c>
      <c r="F7" s="3937"/>
      <c r="G7" s="3923" t="s">
        <v>2194</v>
      </c>
      <c r="H7" s="3924"/>
      <c r="I7" s="3923" t="s">
        <v>2195</v>
      </c>
      <c r="J7" s="3924"/>
      <c r="K7" s="484"/>
      <c r="L7" s="1854"/>
      <c r="M7" s="1855"/>
      <c r="N7" s="1855"/>
      <c r="O7" s="1855"/>
      <c r="P7" s="3916"/>
      <c r="Q7" s="3917"/>
      <c r="R7" s="3900"/>
      <c r="S7" s="3901"/>
      <c r="T7" s="3900"/>
      <c r="U7" s="3901"/>
      <c r="V7" s="3920"/>
      <c r="W7" s="3920"/>
      <c r="X7" s="1378"/>
      <c r="Y7" s="3900"/>
      <c r="Z7" s="3901"/>
      <c r="AA7" s="3894"/>
      <c r="AB7" s="3894"/>
      <c r="AC7" s="3894"/>
    </row>
    <row r="8" spans="1:29" ht="15" thickBot="1">
      <c r="A8" s="487"/>
      <c r="B8" s="488"/>
      <c r="C8" s="3921" t="s">
        <v>2196</v>
      </c>
      <c r="D8" s="3922"/>
      <c r="E8" s="3938" t="s">
        <v>2196</v>
      </c>
      <c r="F8" s="3939"/>
      <c r="G8" s="3921" t="s">
        <v>2196</v>
      </c>
      <c r="H8" s="3922"/>
      <c r="I8" s="3921" t="s">
        <v>2196</v>
      </c>
      <c r="J8" s="3922"/>
      <c r="K8" s="484" t="s">
        <v>477</v>
      </c>
      <c r="L8" s="1854"/>
      <c r="M8" s="1855"/>
      <c r="N8" s="1855"/>
      <c r="O8" s="1855"/>
      <c r="P8" s="3918"/>
      <c r="Q8" s="3919"/>
      <c r="R8" s="3900"/>
      <c r="S8" s="3901"/>
      <c r="T8" s="3902"/>
      <c r="U8" s="3903"/>
      <c r="V8" s="3920"/>
      <c r="W8" s="3920"/>
      <c r="X8" s="1378"/>
      <c r="Y8" s="3902"/>
      <c r="Z8" s="3903"/>
      <c r="AA8" s="3895"/>
      <c r="AB8" s="3895"/>
      <c r="AC8" s="3895"/>
    </row>
    <row r="9" spans="1:29" s="1116" customFormat="1" ht="15" thickBot="1">
      <c r="A9" s="2389"/>
      <c r="B9" s="2396" t="s">
        <v>478</v>
      </c>
      <c r="C9" s="489">
        <f>'数据-取费表'!B2</f>
        <v>45839</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96" t="s">
        <v>479</v>
      </c>
      <c r="Q9" s="3905"/>
      <c r="R9" s="1379" t="s">
        <v>5</v>
      </c>
      <c r="S9" s="1380">
        <f t="shared" ref="S9:S17" si="0">F9</f>
        <v>0</v>
      </c>
      <c r="T9" s="1379" t="s">
        <v>5</v>
      </c>
      <c r="U9" s="1380">
        <f t="shared" ref="U9:U17" si="1">H9</f>
        <v>0</v>
      </c>
      <c r="V9" s="1379" t="s">
        <v>5</v>
      </c>
      <c r="W9" s="1380">
        <f t="shared" ref="W9:W17" si="2">J9</f>
        <v>0</v>
      </c>
      <c r="X9" s="1381"/>
      <c r="Y9" s="3896" t="s">
        <v>479</v>
      </c>
      <c r="Z9" s="3897"/>
      <c r="AA9" s="1382" t="e">
        <f>D9/F9</f>
        <v>#DIV/0!</v>
      </c>
      <c r="AB9" s="1382" t="e">
        <f>D9/H9</f>
        <v>#DIV/0!</v>
      </c>
      <c r="AC9" s="1382" t="e">
        <f>D9/J9</f>
        <v>#DIV/0!</v>
      </c>
    </row>
    <row r="10" spans="1:29" s="1116" customFormat="1" ht="1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96" t="s">
        <v>482</v>
      </c>
      <c r="Q10" s="3897"/>
      <c r="R10" s="1379" t="s">
        <v>5</v>
      </c>
      <c r="S10" s="1380">
        <f t="shared" si="0"/>
        <v>0</v>
      </c>
      <c r="T10" s="1379" t="s">
        <v>5</v>
      </c>
      <c r="U10" s="1380">
        <f t="shared" si="1"/>
        <v>0</v>
      </c>
      <c r="V10" s="1379" t="s">
        <v>5</v>
      </c>
      <c r="W10" s="1380">
        <f t="shared" si="2"/>
        <v>0</v>
      </c>
      <c r="X10" s="1381"/>
      <c r="Y10" s="3896" t="s">
        <v>482</v>
      </c>
      <c r="Z10" s="3897"/>
      <c r="AA10" s="1382" t="e">
        <f t="shared" ref="AA10:AA42" si="3">D10/F10</f>
        <v>#DIV/0!</v>
      </c>
      <c r="AB10" s="1382" t="e">
        <f t="shared" ref="AB10:AB42" si="4">D10/H10</f>
        <v>#DIV/0!</v>
      </c>
      <c r="AC10" s="1382" t="e">
        <f t="shared" ref="AC10:AC42" si="5">D10/J10</f>
        <v>#DIV/0!</v>
      </c>
    </row>
    <row r="11" spans="1:29" s="1116" customFormat="1" ht="14.4">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04" t="s">
        <v>484</v>
      </c>
      <c r="Q11" s="1048" t="str">
        <f t="shared" ref="Q11:Q17" si="6">B11</f>
        <v>用途</v>
      </c>
      <c r="R11" s="1379" t="s">
        <v>5</v>
      </c>
      <c r="S11" s="1380">
        <f t="shared" si="0"/>
        <v>100</v>
      </c>
      <c r="T11" s="1379" t="s">
        <v>5</v>
      </c>
      <c r="U11" s="1380">
        <f t="shared" si="1"/>
        <v>100</v>
      </c>
      <c r="V11" s="1379" t="s">
        <v>5</v>
      </c>
      <c r="W11" s="1380">
        <f t="shared" si="2"/>
        <v>100</v>
      </c>
      <c r="X11" s="1381"/>
      <c r="Y11" s="3851" t="s">
        <v>485</v>
      </c>
      <c r="Z11" s="1047" t="str">
        <f t="shared" ref="Z11:Z17" si="7">Q11</f>
        <v>用途</v>
      </c>
      <c r="AA11" s="1382">
        <f t="shared" si="3"/>
        <v>1</v>
      </c>
      <c r="AB11" s="1382">
        <f t="shared" si="4"/>
        <v>1</v>
      </c>
      <c r="AC11" s="1382">
        <f t="shared" si="5"/>
        <v>1</v>
      </c>
    </row>
    <row r="12" spans="1:29" s="1197" customFormat="1" ht="28.8">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904"/>
      <c r="Q12" s="1048" t="str">
        <f t="shared" si="6"/>
        <v>土地使用年限（年）</v>
      </c>
      <c r="R12" s="1379" t="s">
        <v>5</v>
      </c>
      <c r="S12" s="1380">
        <f t="shared" si="0"/>
        <v>100</v>
      </c>
      <c r="T12" s="1379" t="s">
        <v>5</v>
      </c>
      <c r="U12" s="1380">
        <f t="shared" si="1"/>
        <v>100</v>
      </c>
      <c r="V12" s="1379" t="s">
        <v>5</v>
      </c>
      <c r="W12" s="1380">
        <f t="shared" si="2"/>
        <v>100</v>
      </c>
      <c r="X12" s="1381"/>
      <c r="Y12" s="3851"/>
      <c r="Z12" s="1047" t="str">
        <f t="shared" si="7"/>
        <v>土地使用年限（年）</v>
      </c>
      <c r="AA12" s="1382">
        <f t="shared" si="3"/>
        <v>1</v>
      </c>
      <c r="AB12" s="1382">
        <f t="shared" si="4"/>
        <v>1</v>
      </c>
      <c r="AC12" s="1382">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04"/>
      <c r="Q13" s="1048" t="str">
        <f t="shared" si="6"/>
        <v>容积率</v>
      </c>
      <c r="R13" s="1379" t="s">
        <v>5</v>
      </c>
      <c r="S13" s="1380" t="e">
        <f t="shared" si="0"/>
        <v>#N/A</v>
      </c>
      <c r="T13" s="1379" t="s">
        <v>5</v>
      </c>
      <c r="U13" s="1380" t="e">
        <f t="shared" si="1"/>
        <v>#N/A</v>
      </c>
      <c r="V13" s="1379" t="s">
        <v>5</v>
      </c>
      <c r="W13" s="1380" t="e">
        <f t="shared" si="2"/>
        <v>#N/A</v>
      </c>
      <c r="X13" s="1381"/>
      <c r="Y13" s="3851"/>
      <c r="Z13" s="1047" t="str">
        <f t="shared" si="7"/>
        <v>容积率</v>
      </c>
      <c r="AA13" s="1382" t="e">
        <f t="shared" si="3"/>
        <v>#N/A</v>
      </c>
      <c r="AB13" s="1382" t="e">
        <f t="shared" si="4"/>
        <v>#N/A</v>
      </c>
      <c r="AC13" s="1382" t="e">
        <f t="shared" si="5"/>
        <v>#N/A</v>
      </c>
    </row>
    <row r="14" spans="1:29" s="1116"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D14/F14</f>
        <v>1</v>
      </c>
      <c r="AB14" s="1382">
        <f>D14/H14</f>
        <v>1</v>
      </c>
      <c r="AC14" s="1382">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04"/>
      <c r="Q15" s="1048">
        <f t="shared" si="6"/>
        <v>111</v>
      </c>
      <c r="R15" s="1379" t="s">
        <v>5</v>
      </c>
      <c r="S15" s="1380">
        <f t="shared" si="0"/>
        <v>100</v>
      </c>
      <c r="T15" s="1379" t="s">
        <v>5</v>
      </c>
      <c r="U15" s="1380">
        <f t="shared" si="1"/>
        <v>100</v>
      </c>
      <c r="V15" s="1379" t="s">
        <v>5</v>
      </c>
      <c r="W15" s="1380">
        <f t="shared" si="2"/>
        <v>100</v>
      </c>
      <c r="X15" s="1381"/>
      <c r="Y15" s="3851"/>
      <c r="Z15" s="1047">
        <f t="shared" si="7"/>
        <v>111</v>
      </c>
      <c r="AA15" s="1382">
        <f t="shared" si="3"/>
        <v>1</v>
      </c>
      <c r="AB15" s="1382">
        <f t="shared" si="4"/>
        <v>1</v>
      </c>
      <c r="AC15" s="1382">
        <f t="shared" si="5"/>
        <v>1</v>
      </c>
    </row>
    <row r="16" spans="1:29" ht="15.6"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04"/>
      <c r="Q16" s="1048">
        <f t="shared" si="6"/>
        <v>111</v>
      </c>
      <c r="R16" s="1379" t="s">
        <v>5</v>
      </c>
      <c r="S16" s="1380">
        <f t="shared" si="0"/>
        <v>100</v>
      </c>
      <c r="T16" s="1379" t="s">
        <v>5</v>
      </c>
      <c r="U16" s="1380">
        <f t="shared" si="1"/>
        <v>100</v>
      </c>
      <c r="V16" s="1379" t="s">
        <v>5</v>
      </c>
      <c r="W16" s="1380">
        <f t="shared" si="2"/>
        <v>100</v>
      </c>
      <c r="X16" s="1381"/>
      <c r="Y16" s="3851"/>
      <c r="Z16" s="1047">
        <f t="shared" si="7"/>
        <v>111</v>
      </c>
      <c r="AA16" s="1382">
        <f t="shared" si="3"/>
        <v>1</v>
      </c>
      <c r="AB16" s="1382">
        <f t="shared" si="4"/>
        <v>1</v>
      </c>
      <c r="AC16" s="1382">
        <f t="shared" si="5"/>
        <v>1</v>
      </c>
    </row>
    <row r="17" spans="1:29" ht="69">
      <c r="A17" s="2387"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06" t="s">
        <v>489</v>
      </c>
      <c r="Q17" s="1383" t="str">
        <f t="shared" si="6"/>
        <v>产业集聚程度</v>
      </c>
      <c r="R17" s="1384" t="s">
        <v>5</v>
      </c>
      <c r="S17" s="1385">
        <f t="shared" si="0"/>
        <v>100</v>
      </c>
      <c r="T17" s="1384" t="s">
        <v>5</v>
      </c>
      <c r="U17" s="1385">
        <f t="shared" si="1"/>
        <v>100</v>
      </c>
      <c r="V17" s="1384" t="s">
        <v>5</v>
      </c>
      <c r="W17" s="1385">
        <f t="shared" si="2"/>
        <v>100</v>
      </c>
      <c r="X17" s="1378"/>
      <c r="Y17" s="3906"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3907"/>
      <c r="Q18" s="1383"/>
      <c r="R18" s="1384"/>
      <c r="S18" s="1385"/>
      <c r="T18" s="1384"/>
      <c r="U18" s="1385"/>
      <c r="V18" s="1384"/>
      <c r="W18" s="1385"/>
      <c r="X18" s="1378"/>
      <c r="Y18" s="3907"/>
      <c r="Z18" s="1386"/>
      <c r="AA18" s="1387">
        <v>1</v>
      </c>
      <c r="AB18" s="1387">
        <v>1</v>
      </c>
      <c r="AC18" s="1387">
        <v>1</v>
      </c>
    </row>
    <row r="19" spans="1:29" ht="96.6">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07"/>
      <c r="Q19" s="1383" t="str">
        <f>B19</f>
        <v>交通便捷度</v>
      </c>
      <c r="R19" s="1384" t="s">
        <v>5</v>
      </c>
      <c r="S19" s="1385">
        <f>F19</f>
        <v>100</v>
      </c>
      <c r="T19" s="1384" t="s">
        <v>5</v>
      </c>
      <c r="U19" s="1385">
        <f>H19</f>
        <v>100</v>
      </c>
      <c r="V19" s="1384" t="s">
        <v>5</v>
      </c>
      <c r="W19" s="1385">
        <f>J19</f>
        <v>100</v>
      </c>
      <c r="X19" s="1378"/>
      <c r="Y19" s="3907"/>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3907"/>
      <c r="Q20" s="1383"/>
      <c r="R20" s="1384"/>
      <c r="S20" s="1385"/>
      <c r="T20" s="1384"/>
      <c r="U20" s="1385"/>
      <c r="V20" s="1384"/>
      <c r="W20" s="1385"/>
      <c r="X20" s="1378"/>
      <c r="Y20" s="3907"/>
      <c r="Z20" s="1386"/>
      <c r="AA20" s="1387">
        <v>1</v>
      </c>
      <c r="AB20" s="1387">
        <v>1</v>
      </c>
      <c r="AC20" s="1387">
        <v>1</v>
      </c>
    </row>
    <row r="21" spans="1:29" ht="28.8">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3907"/>
      <c r="Q21" s="1383" t="str">
        <f t="shared" ref="Q21:Q35" si="8">B21</f>
        <v>区域土地利用方向</v>
      </c>
      <c r="R21" s="1384" t="s">
        <v>5</v>
      </c>
      <c r="S21" s="1385">
        <f>F21</f>
        <v>100</v>
      </c>
      <c r="T21" s="1384" t="s">
        <v>5</v>
      </c>
      <c r="U21" s="1385">
        <f>H21</f>
        <v>100</v>
      </c>
      <c r="V21" s="1384" t="s">
        <v>5</v>
      </c>
      <c r="W21" s="1385">
        <f>J21</f>
        <v>100</v>
      </c>
      <c r="X21" s="1378"/>
      <c r="Y21" s="3907"/>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3907"/>
      <c r="Q22" s="1383"/>
      <c r="R22" s="1384"/>
      <c r="S22" s="1385"/>
      <c r="T22" s="1384"/>
      <c r="U22" s="1385"/>
      <c r="V22" s="1384"/>
      <c r="W22" s="1385"/>
      <c r="X22" s="1378"/>
      <c r="Y22" s="3907"/>
      <c r="Z22" s="1386"/>
      <c r="AA22" s="1387"/>
      <c r="AB22" s="1387"/>
      <c r="AC22" s="1387"/>
    </row>
    <row r="23" spans="1:29" ht="82.8">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07"/>
      <c r="Q23" s="1383" t="str">
        <f t="shared" si="8"/>
        <v>环境状况</v>
      </c>
      <c r="R23" s="1384" t="s">
        <v>5</v>
      </c>
      <c r="S23" s="1385">
        <f>F23</f>
        <v>100</v>
      </c>
      <c r="T23" s="1384" t="s">
        <v>5</v>
      </c>
      <c r="U23" s="1385">
        <f>H23</f>
        <v>100</v>
      </c>
      <c r="V23" s="1384" t="s">
        <v>5</v>
      </c>
      <c r="W23" s="1385">
        <f>J23</f>
        <v>100</v>
      </c>
      <c r="X23" s="1378"/>
      <c r="Y23" s="3907"/>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907"/>
      <c r="Q24" s="1383"/>
      <c r="R24" s="1384"/>
      <c r="S24" s="1385"/>
      <c r="T24" s="1384"/>
      <c r="U24" s="1385"/>
      <c r="V24" s="1384"/>
      <c r="W24" s="1385"/>
      <c r="X24" s="1378"/>
      <c r="Y24" s="3907"/>
      <c r="Z24" s="1386"/>
      <c r="AA24" s="1387">
        <v>1</v>
      </c>
      <c r="AB24" s="1387">
        <v>1</v>
      </c>
      <c r="AC24" s="1387">
        <v>1</v>
      </c>
    </row>
    <row r="25" spans="1:29" s="1116" customFormat="1" ht="41.4">
      <c r="A25" s="547"/>
      <c r="B25" s="2198"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07"/>
      <c r="Q25" s="1048" t="str">
        <f t="shared" si="8"/>
        <v>公共配套设施</v>
      </c>
      <c r="R25" s="1379" t="s">
        <v>5</v>
      </c>
      <c r="S25" s="1380">
        <f>F25</f>
        <v>100</v>
      </c>
      <c r="T25" s="1379" t="s">
        <v>5</v>
      </c>
      <c r="U25" s="1380">
        <f>H25</f>
        <v>100</v>
      </c>
      <c r="V25" s="1379" t="s">
        <v>5</v>
      </c>
      <c r="W25" s="1380">
        <f>J25</f>
        <v>100</v>
      </c>
      <c r="X25" s="1381"/>
      <c r="Y25" s="3907"/>
      <c r="Z25" s="1047" t="str">
        <f>Q25</f>
        <v>公共配套设施</v>
      </c>
      <c r="AA25" s="1387">
        <f>D25/F25</f>
        <v>1</v>
      </c>
      <c r="AB25" s="1387">
        <f>D25/H25</f>
        <v>1</v>
      </c>
      <c r="AC25" s="1387">
        <f>D25/J25</f>
        <v>1</v>
      </c>
    </row>
    <row r="26" spans="1:29" s="1116" customFormat="1" ht="15">
      <c r="A26" s="547"/>
      <c r="B26" s="565"/>
      <c r="C26" s="2197"/>
      <c r="D26" s="525"/>
      <c r="E26" s="524"/>
      <c r="F26" s="525"/>
      <c r="G26" s="524"/>
      <c r="H26" s="525"/>
      <c r="I26" s="546"/>
      <c r="J26" s="525"/>
      <c r="K26" s="501"/>
      <c r="L26" s="1856"/>
      <c r="M26" s="1857"/>
      <c r="N26" s="1857"/>
      <c r="O26" s="1858"/>
      <c r="P26" s="3907"/>
      <c r="Q26" s="1048"/>
      <c r="R26" s="1379"/>
      <c r="S26" s="1380"/>
      <c r="T26" s="1379"/>
      <c r="U26" s="1380"/>
      <c r="V26" s="1379"/>
      <c r="W26" s="1380"/>
      <c r="X26" s="1381"/>
      <c r="Y26" s="3907"/>
      <c r="Z26" s="1047"/>
      <c r="AA26" s="1382">
        <v>1</v>
      </c>
      <c r="AB26" s="1382">
        <v>1</v>
      </c>
      <c r="AC26" s="1382">
        <v>1</v>
      </c>
    </row>
    <row r="27" spans="1:29" s="1116" customFormat="1" ht="41.4">
      <c r="A27" s="547"/>
      <c r="B27" s="2198"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07"/>
      <c r="Q27" s="2189" t="str">
        <f>B27</f>
        <v>基础设施水平</v>
      </c>
      <c r="R27" s="1379" t="s">
        <v>5</v>
      </c>
      <c r="S27" s="1380">
        <f>F27</f>
        <v>100</v>
      </c>
      <c r="T27" s="1379" t="s">
        <v>5</v>
      </c>
      <c r="U27" s="1380">
        <f>H27</f>
        <v>100</v>
      </c>
      <c r="V27" s="1379" t="s">
        <v>5</v>
      </c>
      <c r="W27" s="1380">
        <f>J27</f>
        <v>100</v>
      </c>
      <c r="X27" s="1381"/>
      <c r="Y27" s="3907"/>
      <c r="Z27" s="2188" t="str">
        <f>Q27</f>
        <v>基础设施水平</v>
      </c>
      <c r="AA27" s="1387">
        <f>D27/F27</f>
        <v>1</v>
      </c>
      <c r="AB27" s="1387">
        <f>D27/H27</f>
        <v>1</v>
      </c>
      <c r="AC27" s="1387">
        <f>D27/J27</f>
        <v>1</v>
      </c>
    </row>
    <row r="28" spans="1:29" s="1116" customFormat="1" ht="15">
      <c r="A28" s="547"/>
      <c r="B28" s="565"/>
      <c r="C28" s="2197"/>
      <c r="D28" s="525"/>
      <c r="E28" s="549"/>
      <c r="F28" s="525"/>
      <c r="G28" s="549"/>
      <c r="H28" s="525"/>
      <c r="I28" s="549"/>
      <c r="J28" s="525"/>
      <c r="K28" s="501"/>
      <c r="L28" s="1856"/>
      <c r="M28" s="1857"/>
      <c r="N28" s="1857"/>
      <c r="O28" s="1858"/>
      <c r="P28" s="3907"/>
      <c r="Q28" s="2189"/>
      <c r="R28" s="1379"/>
      <c r="S28" s="1380"/>
      <c r="T28" s="1379"/>
      <c r="U28" s="1380"/>
      <c r="V28" s="1379"/>
      <c r="W28" s="1380"/>
      <c r="X28" s="1381"/>
      <c r="Y28" s="3907"/>
      <c r="Z28" s="2188"/>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07"/>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07"/>
      <c r="Z29" s="1386" t="str">
        <f t="shared" ref="Z29:Z42" si="12">Q29</f>
        <v>临街状况</v>
      </c>
      <c r="AA29" s="1387">
        <f t="shared" si="3"/>
        <v>1</v>
      </c>
      <c r="AB29" s="1387">
        <f t="shared" si="4"/>
        <v>1</v>
      </c>
      <c r="AC29" s="1387">
        <f t="shared" si="5"/>
        <v>1</v>
      </c>
    </row>
    <row r="30" spans="1:29" ht="28.8">
      <c r="A30" s="502"/>
      <c r="B30" s="883"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07"/>
      <c r="Q30" s="1383" t="str">
        <f t="shared" si="8"/>
        <v>毗邻道路的类型与等级</v>
      </c>
      <c r="R30" s="1384" t="s">
        <v>5</v>
      </c>
      <c r="S30" s="1385">
        <f t="shared" si="9"/>
        <v>100</v>
      </c>
      <c r="T30" s="1384" t="s">
        <v>5</v>
      </c>
      <c r="U30" s="1385">
        <f t="shared" si="10"/>
        <v>100</v>
      </c>
      <c r="V30" s="1384" t="s">
        <v>5</v>
      </c>
      <c r="W30" s="1385">
        <f t="shared" si="11"/>
        <v>100</v>
      </c>
      <c r="X30" s="1378"/>
      <c r="Y30" s="3907"/>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907"/>
      <c r="Q31" s="1383"/>
      <c r="R31" s="1384"/>
      <c r="S31" s="1385"/>
      <c r="T31" s="1384"/>
      <c r="U31" s="1385"/>
      <c r="V31" s="1384"/>
      <c r="W31" s="1385"/>
      <c r="X31" s="1378"/>
      <c r="Y31" s="3907"/>
      <c r="Z31" s="1386"/>
      <c r="AA31" s="1387">
        <v>1</v>
      </c>
      <c r="AB31" s="1387">
        <v>1</v>
      </c>
      <c r="AC31" s="1387">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07"/>
      <c r="Q32" s="1383" t="str">
        <f t="shared" si="8"/>
        <v>土地级别</v>
      </c>
      <c r="R32" s="1384" t="s">
        <v>5</v>
      </c>
      <c r="S32" s="1385">
        <f t="shared" si="9"/>
        <v>100</v>
      </c>
      <c r="T32" s="1384" t="s">
        <v>5</v>
      </c>
      <c r="U32" s="1385">
        <f t="shared" si="10"/>
        <v>100</v>
      </c>
      <c r="V32" s="1384" t="s">
        <v>5</v>
      </c>
      <c r="W32" s="1385">
        <f t="shared" si="11"/>
        <v>100</v>
      </c>
      <c r="X32" s="1378"/>
      <c r="Y32" s="3907"/>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07"/>
      <c r="Q33" s="1383">
        <f t="shared" si="8"/>
        <v>111</v>
      </c>
      <c r="R33" s="1384" t="s">
        <v>5</v>
      </c>
      <c r="S33" s="1385">
        <f t="shared" si="9"/>
        <v>100</v>
      </c>
      <c r="T33" s="1384" t="s">
        <v>5</v>
      </c>
      <c r="U33" s="1385">
        <f t="shared" si="10"/>
        <v>100</v>
      </c>
      <c r="V33" s="1384" t="s">
        <v>5</v>
      </c>
      <c r="W33" s="1385">
        <f t="shared" si="11"/>
        <v>100</v>
      </c>
      <c r="X33" s="1378"/>
      <c r="Y33" s="3907"/>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08" t="s">
        <v>499</v>
      </c>
      <c r="Q34" s="1383">
        <f t="shared" si="8"/>
        <v>111</v>
      </c>
      <c r="R34" s="1384" t="s">
        <v>5</v>
      </c>
      <c r="S34" s="1385">
        <f t="shared" si="9"/>
        <v>100</v>
      </c>
      <c r="T34" s="1384" t="s">
        <v>5</v>
      </c>
      <c r="U34" s="1385">
        <f t="shared" si="10"/>
        <v>100</v>
      </c>
      <c r="V34" s="1384" t="s">
        <v>5</v>
      </c>
      <c r="W34" s="1385">
        <f t="shared" si="11"/>
        <v>100</v>
      </c>
      <c r="X34" s="1378"/>
      <c r="Y34" s="3909" t="s">
        <v>499</v>
      </c>
      <c r="Z34" s="1386">
        <f t="shared" si="12"/>
        <v>111</v>
      </c>
      <c r="AA34" s="1387">
        <f t="shared" si="3"/>
        <v>1</v>
      </c>
      <c r="AB34" s="1387">
        <f t="shared" si="4"/>
        <v>1</v>
      </c>
      <c r="AC34" s="1387">
        <f t="shared" si="5"/>
        <v>1</v>
      </c>
    </row>
    <row r="35" spans="1:29" s="1198" customFormat="1" ht="15.6"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09"/>
      <c r="Q35" s="1383">
        <f t="shared" si="8"/>
        <v>111</v>
      </c>
      <c r="R35" s="1388" t="s">
        <v>5</v>
      </c>
      <c r="S35" s="1389">
        <f t="shared" si="9"/>
        <v>100</v>
      </c>
      <c r="T35" s="1388" t="s">
        <v>5</v>
      </c>
      <c r="U35" s="1389">
        <f t="shared" si="10"/>
        <v>100</v>
      </c>
      <c r="V35" s="1388" t="s">
        <v>5</v>
      </c>
      <c r="W35" s="1389">
        <f t="shared" si="11"/>
        <v>100</v>
      </c>
      <c r="X35" s="1390"/>
      <c r="Y35" s="3909"/>
      <c r="Z35" s="1391">
        <f t="shared" si="12"/>
        <v>111</v>
      </c>
      <c r="AA35" s="1387">
        <f t="shared" si="3"/>
        <v>1</v>
      </c>
      <c r="AB35" s="1387">
        <f t="shared" si="4"/>
        <v>1</v>
      </c>
      <c r="AC35" s="1387">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09"/>
      <c r="Q36" s="1383" t="str">
        <f>B36</f>
        <v>宗地面积</v>
      </c>
      <c r="R36" s="1384" t="s">
        <v>5</v>
      </c>
      <c r="S36" s="1385" t="e">
        <f t="shared" si="9"/>
        <v>#N/A</v>
      </c>
      <c r="T36" s="1384" t="s">
        <v>5</v>
      </c>
      <c r="U36" s="1385" t="e">
        <f t="shared" si="10"/>
        <v>#N/A</v>
      </c>
      <c r="V36" s="1384" t="s">
        <v>5</v>
      </c>
      <c r="W36" s="1385" t="e">
        <f t="shared" si="11"/>
        <v>#N/A</v>
      </c>
      <c r="X36" s="1378"/>
      <c r="Y36" s="3909"/>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09"/>
      <c r="Q37" s="1383" t="str">
        <f t="shared" ref="Q37:Q42" si="13">B37</f>
        <v>宗地形状</v>
      </c>
      <c r="R37" s="1384" t="s">
        <v>5</v>
      </c>
      <c r="S37" s="1385">
        <f t="shared" si="9"/>
        <v>100</v>
      </c>
      <c r="T37" s="1384" t="s">
        <v>5</v>
      </c>
      <c r="U37" s="1385">
        <f t="shared" si="10"/>
        <v>100</v>
      </c>
      <c r="V37" s="1384" t="s">
        <v>5</v>
      </c>
      <c r="W37" s="1385">
        <f t="shared" si="11"/>
        <v>100</v>
      </c>
      <c r="X37" s="1378"/>
      <c r="Y37" s="3909"/>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09"/>
      <c r="Q38" s="1383" t="str">
        <f t="shared" si="13"/>
        <v>宗地开发程度</v>
      </c>
      <c r="R38" s="1379" t="s">
        <v>5</v>
      </c>
      <c r="S38" s="1380">
        <f t="shared" si="9"/>
        <v>100</v>
      </c>
      <c r="T38" s="1379" t="s">
        <v>5</v>
      </c>
      <c r="U38" s="1380">
        <f t="shared" si="10"/>
        <v>100</v>
      </c>
      <c r="V38" s="1379" t="s">
        <v>5</v>
      </c>
      <c r="W38" s="1380">
        <f t="shared" si="11"/>
        <v>100</v>
      </c>
      <c r="X38" s="1381"/>
      <c r="Y38" s="3909"/>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09" t="s">
        <v>549</v>
      </c>
      <c r="Q39" s="1383" t="str">
        <f t="shared" si="13"/>
        <v>工程地质条件</v>
      </c>
      <c r="R39" s="1384" t="s">
        <v>5</v>
      </c>
      <c r="S39" s="1385">
        <f t="shared" si="9"/>
        <v>100</v>
      </c>
      <c r="T39" s="1384" t="s">
        <v>5</v>
      </c>
      <c r="U39" s="1385">
        <f t="shared" si="10"/>
        <v>100</v>
      </c>
      <c r="V39" s="1384" t="s">
        <v>5</v>
      </c>
      <c r="W39" s="1385">
        <f t="shared" si="11"/>
        <v>100</v>
      </c>
      <c r="X39" s="1378"/>
      <c r="Y39" s="3909"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09"/>
      <c r="Q40" s="1383">
        <f t="shared" si="13"/>
        <v>111</v>
      </c>
      <c r="R40" s="1384" t="s">
        <v>5</v>
      </c>
      <c r="S40" s="1385">
        <f t="shared" si="9"/>
        <v>100</v>
      </c>
      <c r="T40" s="1384" t="s">
        <v>5</v>
      </c>
      <c r="U40" s="1385">
        <f t="shared" si="10"/>
        <v>100</v>
      </c>
      <c r="V40" s="1384" t="s">
        <v>5</v>
      </c>
      <c r="W40" s="1385">
        <f t="shared" si="11"/>
        <v>100</v>
      </c>
      <c r="X40" s="1378"/>
      <c r="Y40" s="3909"/>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09"/>
      <c r="Q41" s="1383">
        <f t="shared" si="13"/>
        <v>111</v>
      </c>
      <c r="R41" s="1384" t="s">
        <v>5</v>
      </c>
      <c r="S41" s="1385">
        <f t="shared" si="9"/>
        <v>100</v>
      </c>
      <c r="T41" s="1384" t="s">
        <v>5</v>
      </c>
      <c r="U41" s="1385">
        <f t="shared" si="10"/>
        <v>100</v>
      </c>
      <c r="V41" s="1384" t="s">
        <v>5</v>
      </c>
      <c r="W41" s="1385">
        <f t="shared" si="11"/>
        <v>100</v>
      </c>
      <c r="X41" s="1378"/>
      <c r="Y41" s="3909"/>
      <c r="Z41" s="1386">
        <f t="shared" si="12"/>
        <v>111</v>
      </c>
      <c r="AA41" s="1387">
        <f t="shared" si="3"/>
        <v>1</v>
      </c>
      <c r="AB41" s="1387">
        <f t="shared" si="4"/>
        <v>1</v>
      </c>
      <c r="AC41" s="1387">
        <f t="shared" si="5"/>
        <v>1</v>
      </c>
    </row>
    <row r="42" spans="1:29" s="1198"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09"/>
      <c r="Q42" s="1383">
        <f t="shared" si="13"/>
        <v>111</v>
      </c>
      <c r="R42" s="1388" t="s">
        <v>5</v>
      </c>
      <c r="S42" s="1389">
        <f t="shared" si="9"/>
        <v>100</v>
      </c>
      <c r="T42" s="1388" t="s">
        <v>5</v>
      </c>
      <c r="U42" s="1389">
        <f t="shared" si="10"/>
        <v>100</v>
      </c>
      <c r="V42" s="1388" t="s">
        <v>5</v>
      </c>
      <c r="W42" s="1389">
        <f t="shared" si="11"/>
        <v>100</v>
      </c>
      <c r="X42" s="1390"/>
      <c r="Y42" s="3909"/>
      <c r="Z42" s="1391">
        <f t="shared" si="12"/>
        <v>111</v>
      </c>
      <c r="AA42" s="1387">
        <f t="shared" si="3"/>
        <v>1</v>
      </c>
      <c r="AB42" s="1387">
        <f t="shared" si="4"/>
        <v>1</v>
      </c>
      <c r="AC42" s="1387">
        <f t="shared" si="5"/>
        <v>1</v>
      </c>
    </row>
    <row r="43" spans="1:29" ht="14.4">
      <c r="A43" s="577" t="s">
        <v>505</v>
      </c>
      <c r="B43" s="578" t="s">
        <v>2197</v>
      </c>
      <c r="C43" s="579" t="s">
        <v>0</v>
      </c>
      <c r="D43" s="580"/>
      <c r="E43" s="581"/>
      <c r="F43" s="582"/>
      <c r="G43" s="583"/>
      <c r="H43" s="584"/>
      <c r="I43" s="581"/>
      <c r="J43" s="584"/>
      <c r="K43" s="1199"/>
      <c r="L43" s="1865"/>
      <c r="M43" s="1855"/>
      <c r="N43" s="1855"/>
      <c r="O43" s="1866"/>
      <c r="P43" s="3904" t="str">
        <f>A43</f>
        <v>成交单价</v>
      </c>
      <c r="Q43" s="3904"/>
      <c r="R43" s="3920">
        <f>E43</f>
        <v>0</v>
      </c>
      <c r="S43" s="3920"/>
      <c r="T43" s="3920">
        <f>G43</f>
        <v>0</v>
      </c>
      <c r="U43" s="3920"/>
      <c r="V43" s="3920">
        <f>I43</f>
        <v>0</v>
      </c>
      <c r="W43" s="3920"/>
      <c r="X43" s="1373"/>
      <c r="Y43" s="1392"/>
      <c r="Z43" s="1373"/>
      <c r="AA43" s="1373"/>
      <c r="AB43" s="1373"/>
      <c r="AC43" s="1373"/>
    </row>
    <row r="44" spans="1:29" ht="15" thickBot="1">
      <c r="A44" s="585" t="s">
        <v>1975</v>
      </c>
      <c r="B44" s="586"/>
      <c r="C44" s="587" t="e">
        <f>R45</f>
        <v>#DIV/0!</v>
      </c>
      <c r="D44" s="2754" t="s">
        <v>2261</v>
      </c>
      <c r="E44" s="587" t="e">
        <f>R44</f>
        <v>#DIV/0!</v>
      </c>
      <c r="F44" s="2755"/>
      <c r="G44" s="588" t="e">
        <f>T44</f>
        <v>#DIV/0!</v>
      </c>
      <c r="H44" s="2755"/>
      <c r="I44" s="587" t="e">
        <f>V44</f>
        <v>#DIV/0!</v>
      </c>
      <c r="J44" s="2755"/>
      <c r="K44" s="2756">
        <f>F44+H44+J44</f>
        <v>0</v>
      </c>
      <c r="L44" s="1865"/>
      <c r="M44" s="1855"/>
      <c r="N44" s="1855"/>
      <c r="O44" s="1866"/>
      <c r="P44" s="3904" t="str">
        <f>A44</f>
        <v>比较价格（元/平方米）</v>
      </c>
      <c r="Q44" s="3904"/>
      <c r="R44" s="3928" t="e">
        <f>ROUND(PRODUCT(R43,AA9:AA42),0)</f>
        <v>#DIV/0!</v>
      </c>
      <c r="S44" s="3928"/>
      <c r="T44" s="3928" t="e">
        <f>ROUND(PRODUCT(T43,AB9:AB42),0)</f>
        <v>#DIV/0!</v>
      </c>
      <c r="U44" s="3928"/>
      <c r="V44" s="3928" t="e">
        <f>ROUND(PRODUCT(V43,AC9:AC42),0)</f>
        <v>#DIV/0!</v>
      </c>
      <c r="W44" s="3928"/>
      <c r="X44" s="1373"/>
      <c r="Y44" s="1373"/>
      <c r="Z44" s="1373"/>
      <c r="AA44" s="1373"/>
      <c r="AB44" s="1373"/>
      <c r="AC44" s="1373"/>
    </row>
    <row r="45" spans="1:29" ht="15" thickBot="1">
      <c r="A45" s="589" t="s">
        <v>2198</v>
      </c>
      <c r="B45" s="590"/>
      <c r="C45" s="591" t="e">
        <f>R45</f>
        <v>#DIV/0!</v>
      </c>
      <c r="D45" s="591"/>
      <c r="E45" s="591"/>
      <c r="F45" s="591"/>
      <c r="G45" s="591"/>
      <c r="H45" s="591"/>
      <c r="I45" s="591"/>
      <c r="J45" s="591"/>
      <c r="K45" s="1200"/>
      <c r="L45" s="1865"/>
      <c r="M45" s="1855"/>
      <c r="N45" s="1855"/>
      <c r="O45" s="1866"/>
      <c r="P45" s="3910" t="str">
        <f>A45</f>
        <v>估价对象XX用房的比较价格（楼面单价，元/平方米）</v>
      </c>
      <c r="Q45" s="3911"/>
      <c r="R45" s="3933" t="e">
        <f>ROUND(IF(D44="简单平均",AVERAGE(R44:W44),R44*F44+T44*H44+V44*J44),0)</f>
        <v>#DIV/0!</v>
      </c>
      <c r="S45" s="3933"/>
      <c r="T45" s="3933"/>
      <c r="U45" s="3933"/>
      <c r="V45" s="3933"/>
      <c r="W45" s="3933"/>
      <c r="X45" s="1373"/>
      <c r="Y45" s="1373"/>
      <c r="Z45" s="1373"/>
      <c r="AA45" s="1373"/>
      <c r="AB45" s="1373"/>
      <c r="AC45" s="1373"/>
    </row>
    <row r="46" spans="1:29">
      <c r="A46" s="2954"/>
      <c r="B46" s="2954"/>
      <c r="C46" s="2954"/>
      <c r="D46" s="2954"/>
      <c r="E46" s="2954"/>
      <c r="F46" s="2954"/>
      <c r="G46" s="2956"/>
      <c r="H46" s="2954"/>
      <c r="I46" s="2954"/>
      <c r="J46" s="2954"/>
      <c r="K46" s="2957"/>
      <c r="L46" s="1870"/>
      <c r="M46" s="1855"/>
      <c r="N46" s="1855"/>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c r="F47" s="2954"/>
      <c r="G47" s="2954"/>
      <c r="H47" s="2954"/>
      <c r="I47" s="2954"/>
      <c r="J47" s="2954"/>
      <c r="K47" s="2957"/>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4.4"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8.8">
      <c r="A52" s="597" t="s">
        <v>509</v>
      </c>
      <c r="B52" s="598" t="s">
        <v>510</v>
      </c>
      <c r="C52" s="1374" t="s">
        <v>1253</v>
      </c>
      <c r="D52" s="1944" t="s">
        <v>1650</v>
      </c>
      <c r="E52" s="599" t="s">
        <v>511</v>
      </c>
      <c r="F52" s="1705" t="s">
        <v>512</v>
      </c>
      <c r="G52" s="3929" t="s">
        <v>1642</v>
      </c>
      <c r="H52" s="393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3.2">
      <c r="A53" s="601" t="s">
        <v>513</v>
      </c>
      <c r="B53" s="602" t="e">
        <f>C45</f>
        <v>#DIV/0!</v>
      </c>
      <c r="C53" s="603">
        <v>1</v>
      </c>
      <c r="D53" s="1945">
        <v>1</v>
      </c>
      <c r="E53" s="603">
        <f>'数据-汇总表'!E8+'数据-汇总表'!E9</f>
        <v>543.88</v>
      </c>
      <c r="F53" s="1704" t="e">
        <f t="shared" ref="F53:F61" si="14">ROUND(B53*E53/10000,0)</f>
        <v>#DIV/0!</v>
      </c>
      <c r="G53" s="3931"/>
      <c r="H53" s="3932"/>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3.2">
      <c r="A54" s="605" t="s">
        <v>514</v>
      </c>
      <c r="B54" s="606" t="e">
        <f>ROUND($C$45*C54*D54,0)</f>
        <v>#DIV/0!</v>
      </c>
      <c r="C54" s="365">
        <f t="shared" ref="C54:C61" si="15">IF($C$52="北京市系数",I54,J54)</f>
        <v>0</v>
      </c>
      <c r="D54" s="1946">
        <v>0.25</v>
      </c>
      <c r="E54" s="607"/>
      <c r="F54" s="1704" t="e">
        <f t="shared" si="14"/>
        <v>#DIV/0!</v>
      </c>
      <c r="G54" s="3274" t="s">
        <v>1643</v>
      </c>
      <c r="H54" s="1708">
        <f>项目基本情况!B43</f>
        <v>0</v>
      </c>
      <c r="I54" s="1707">
        <f>SUMIF(修正!$A$59:$A$70,H54,修正!B59:B70)</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3.2">
      <c r="A55" s="605" t="s">
        <v>515</v>
      </c>
      <c r="B55" s="606" t="e">
        <f t="shared" ref="B55:B61" si="16">ROUND($C$45*C55*D55,0)</f>
        <v>#DIV/0!</v>
      </c>
      <c r="C55" s="365">
        <f t="shared" si="15"/>
        <v>0</v>
      </c>
      <c r="D55" s="1946">
        <v>0.25</v>
      </c>
      <c r="E55" s="607"/>
      <c r="F55" s="1704" t="e">
        <f t="shared" si="14"/>
        <v>#DIV/0!</v>
      </c>
      <c r="G55" s="3275"/>
      <c r="H55" s="1709">
        <f>项目基本情况!B43</f>
        <v>0</v>
      </c>
      <c r="I55" s="1707">
        <f>SUMIF(修正!$A$59:$A$70,H55,修正!C59:C70)</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3.2">
      <c r="A56" s="605" t="s">
        <v>516</v>
      </c>
      <c r="B56" s="606" t="e">
        <f t="shared" si="16"/>
        <v>#DIV/0!</v>
      </c>
      <c r="C56" s="365">
        <f t="shared" si="15"/>
        <v>0</v>
      </c>
      <c r="D56" s="1946">
        <v>0.25</v>
      </c>
      <c r="E56" s="607"/>
      <c r="F56" s="1704" t="e">
        <f t="shared" si="14"/>
        <v>#DIV/0!</v>
      </c>
      <c r="G56" s="3275"/>
      <c r="H56" s="1709">
        <f>项目基本情况!B43</f>
        <v>0</v>
      </c>
      <c r="I56" s="1707">
        <f>SUMIF(修正!$A$59:$A$70,H56,修正!D59:D70)</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3.2">
      <c r="A57" s="2048" t="s">
        <v>1685</v>
      </c>
      <c r="B57" s="606" t="e">
        <f t="shared" si="16"/>
        <v>#DIV/0!</v>
      </c>
      <c r="C57" s="365">
        <f t="shared" si="15"/>
        <v>0.25</v>
      </c>
      <c r="D57" s="1946">
        <v>0.25</v>
      </c>
      <c r="E57" s="609">
        <f>'数据-汇总表'!E11</f>
        <v>0</v>
      </c>
      <c r="F57" s="1704" t="e">
        <f t="shared" si="14"/>
        <v>#DIV/0!</v>
      </c>
      <c r="G57" s="1710" t="s">
        <v>1644</v>
      </c>
      <c r="H57" s="1709" t="str">
        <f>项目基本情况!C43</f>
        <v>六级</v>
      </c>
      <c r="I57" s="1707">
        <f>SUMIF(修正!$A$59:$A$70,H57,修正!E59:E70)</f>
        <v>0.25</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3.2">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SUMIF(修正!$A$59:$A$70,H58,修正!F59:F70)</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SUMIF(修正!$A$59:$A$70,H59,修正!G59:G70)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SUMIF(修正!$A$59:$A$70,H60,修正!G59:G70)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thickBot="1">
      <c r="A61" s="605" t="s">
        <v>520</v>
      </c>
      <c r="B61" s="606" t="e">
        <f t="shared" si="16"/>
        <v>#DIV/0!</v>
      </c>
      <c r="C61" s="365">
        <f t="shared" si="15"/>
        <v>0.15</v>
      </c>
      <c r="D61" s="1946">
        <v>0.25</v>
      </c>
      <c r="E61" s="609">
        <f>'数据-汇总表'!E15</f>
        <v>0</v>
      </c>
      <c r="F61" s="1704" t="e">
        <f t="shared" si="14"/>
        <v>#DIV/0!</v>
      </c>
      <c r="G61" s="1711" t="s">
        <v>1644</v>
      </c>
      <c r="H61" s="1712" t="str">
        <f>项目基本情况!C43</f>
        <v>六级</v>
      </c>
      <c r="I61" s="1707">
        <f>SUMIF(修正!$A$59:$A$70,H61,修正!G59:G70)</f>
        <v>0.15</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thickBot="1">
      <c r="A62" s="610" t="s">
        <v>521</v>
      </c>
      <c r="B62" s="611" t="s">
        <v>11</v>
      </c>
      <c r="C62" s="611" t="s">
        <v>12</v>
      </c>
      <c r="D62" s="611" t="s">
        <v>1651</v>
      </c>
      <c r="E62" s="611">
        <f>IF(B43="楼面地价",SUM(E53:E61),'数据-汇总表'!D3)</f>
        <v>271.94</v>
      </c>
      <c r="F62" s="612" t="e">
        <f>IF(B43="楼面地价",SUM(F53:F61),ROUND(C45*E62/10000,0))</f>
        <v>#DIV/0!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2025-7-1</v>
      </c>
      <c r="D64" s="2276">
        <f>EDATE(C64,-3)</f>
        <v>45748</v>
      </c>
      <c r="E64" s="2276">
        <f t="shared" ref="E64:N64" si="17">EDATE(D64,-3)</f>
        <v>45658</v>
      </c>
      <c r="F64" s="2276">
        <f t="shared" si="17"/>
        <v>45566</v>
      </c>
      <c r="G64" s="2276">
        <f t="shared" si="17"/>
        <v>45474</v>
      </c>
      <c r="H64" s="2276">
        <f t="shared" si="17"/>
        <v>45383</v>
      </c>
      <c r="I64" s="2276">
        <f t="shared" si="17"/>
        <v>45292</v>
      </c>
      <c r="J64" s="2276">
        <f t="shared" si="17"/>
        <v>45200</v>
      </c>
      <c r="K64" s="2276">
        <f t="shared" si="17"/>
        <v>45108</v>
      </c>
      <c r="L64" s="2276">
        <f t="shared" si="17"/>
        <v>45017</v>
      </c>
      <c r="M64" s="2276">
        <f t="shared" si="17"/>
        <v>44927</v>
      </c>
      <c r="N64" s="2276">
        <f t="shared" si="17"/>
        <v>44835</v>
      </c>
      <c r="O64" s="1866"/>
      <c r="P64" s="1866"/>
      <c r="Q64" s="1866"/>
      <c r="R64" s="1866"/>
      <c r="S64" s="1866"/>
      <c r="T64" s="1866"/>
      <c r="U64" s="1866"/>
      <c r="V64" s="1866"/>
      <c r="W64" s="1866"/>
      <c r="X64" s="1866"/>
      <c r="Y64" s="1866"/>
      <c r="Z64" s="1866"/>
      <c r="AA64" s="1866"/>
      <c r="AB64" s="1866"/>
      <c r="AC64" s="1866"/>
    </row>
    <row r="65" spans="1:29" ht="22.2"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4.4">
      <c r="A66" s="2183" t="s">
        <v>1816</v>
      </c>
      <c r="B66" s="614"/>
      <c r="C66" s="2273" t="str">
        <f>YEAR(C64)&amp;"-"&amp;ROUNDUP(MONTH(C64)/3,0)</f>
        <v>2025-3</v>
      </c>
      <c r="D66" s="2278" t="str">
        <f t="shared" ref="D66:N66" si="18">YEAR(D64)&amp;"-"&amp;ROUNDUP(MONTH(D64)/3,0)</f>
        <v>2025-2</v>
      </c>
      <c r="E66" s="2278" t="str">
        <f t="shared" si="18"/>
        <v>2025-1</v>
      </c>
      <c r="F66" s="2278" t="str">
        <f t="shared" si="18"/>
        <v>2024-4</v>
      </c>
      <c r="G66" s="2278" t="str">
        <f t="shared" si="18"/>
        <v>2024-3</v>
      </c>
      <c r="H66" s="2278" t="str">
        <f t="shared" si="18"/>
        <v>2024-2</v>
      </c>
      <c r="I66" s="2278" t="str">
        <f t="shared" si="18"/>
        <v>2024-1</v>
      </c>
      <c r="J66" s="2278" t="str">
        <f t="shared" si="18"/>
        <v>2023-4</v>
      </c>
      <c r="K66" s="2278" t="str">
        <f t="shared" si="18"/>
        <v>2023-3</v>
      </c>
      <c r="L66" s="2278" t="str">
        <f t="shared" si="18"/>
        <v>2023-2</v>
      </c>
      <c r="M66" s="2278" t="str">
        <f t="shared" si="18"/>
        <v>2023-1</v>
      </c>
      <c r="N66" s="2278" t="str">
        <f t="shared" si="18"/>
        <v>2022-4</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5" t="str">
        <f>"北京市平均增长率"&amp;TEXT(基准地价!P28,"0.00%")</f>
        <v>北京市平均增长率0.00%</v>
      </c>
      <c r="C67" s="855">
        <v>100</v>
      </c>
      <c r="D67" s="698"/>
      <c r="E67" s="698"/>
      <c r="F67" s="698"/>
      <c r="G67" s="698"/>
      <c r="H67" s="698"/>
      <c r="I67" s="698"/>
      <c r="J67" s="698"/>
      <c r="K67" s="698"/>
      <c r="L67" s="698"/>
      <c r="M67" s="2271"/>
      <c r="N67" s="2272"/>
      <c r="O67" s="1882"/>
      <c r="P67" s="1878"/>
      <c r="Q67" s="1744"/>
      <c r="R67" s="1744"/>
      <c r="S67" s="1744"/>
      <c r="T67" s="1744"/>
      <c r="U67" s="1744"/>
      <c r="V67" s="1744"/>
      <c r="W67" s="1744"/>
      <c r="X67" s="1744"/>
      <c r="Y67" s="1744"/>
      <c r="Z67" s="1744"/>
      <c r="AA67" s="1744"/>
      <c r="AB67" s="1744"/>
      <c r="AC67" s="1744"/>
    </row>
    <row r="68" spans="1:29" s="1116" customFormat="1" ht="15" thickBot="1">
      <c r="A68" s="621" t="s">
        <v>523</v>
      </c>
      <c r="B68" s="622"/>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4.4">
      <c r="A69" s="627" t="s">
        <v>480</v>
      </c>
      <c r="B69" s="616"/>
      <c r="C69" s="628" t="s">
        <v>524</v>
      </c>
      <c r="D69" s="629"/>
      <c r="E69" s="629"/>
      <c r="F69" s="629"/>
      <c r="G69" s="629"/>
      <c r="H69" s="629"/>
      <c r="I69" s="629"/>
      <c r="J69" s="629"/>
      <c r="K69" s="629"/>
      <c r="L69" s="630"/>
      <c r="M69" s="631"/>
      <c r="N69" s="2968"/>
      <c r="O69" s="1882"/>
      <c r="P69" s="1883"/>
      <c r="Q69" s="1878"/>
      <c r="R69" s="1744"/>
      <c r="S69" s="1744"/>
      <c r="T69" s="1744"/>
      <c r="U69" s="1744"/>
      <c r="V69" s="1744"/>
      <c r="W69" s="1744"/>
      <c r="X69" s="1744"/>
      <c r="Y69" s="1744"/>
      <c r="Z69" s="1744"/>
      <c r="AA69" s="1744"/>
      <c r="AB69" s="1744"/>
      <c r="AC69" s="1744"/>
    </row>
    <row r="70" spans="1:29" s="1116" customFormat="1" ht="14.4" thickBot="1">
      <c r="A70" s="627"/>
      <c r="B70" s="616"/>
      <c r="C70" s="617">
        <v>100</v>
      </c>
      <c r="D70" s="618"/>
      <c r="E70" s="618"/>
      <c r="F70" s="618"/>
      <c r="G70" s="618"/>
      <c r="H70" s="618"/>
      <c r="I70" s="618"/>
      <c r="J70" s="618"/>
      <c r="K70" s="618"/>
      <c r="L70" s="618"/>
      <c r="M70" s="620"/>
      <c r="N70" s="2968"/>
      <c r="O70" s="1882"/>
      <c r="P70" s="1878"/>
      <c r="Q70" s="1878"/>
      <c r="R70" s="1744"/>
      <c r="S70" s="1744"/>
      <c r="T70" s="1744"/>
      <c r="U70" s="1744"/>
      <c r="V70" s="1744"/>
      <c r="W70" s="1744"/>
      <c r="X70" s="1744"/>
      <c r="Y70" s="1744"/>
      <c r="Z70" s="1744"/>
      <c r="AA70" s="1744"/>
      <c r="AB70" s="1744"/>
      <c r="AC70" s="1744"/>
    </row>
    <row r="71" spans="1:29" ht="14.4">
      <c r="A71" s="632" t="s">
        <v>525</v>
      </c>
      <c r="B71" s="633" t="s">
        <v>483</v>
      </c>
      <c r="C71" s="568"/>
      <c r="D71" s="568"/>
      <c r="E71" s="568"/>
      <c r="F71" s="568"/>
      <c r="G71" s="568"/>
      <c r="H71" s="568"/>
      <c r="I71" s="568"/>
      <c r="J71" s="568"/>
      <c r="K71" s="634"/>
      <c r="L71" s="635"/>
      <c r="M71" s="636"/>
      <c r="N71" s="2969"/>
      <c r="O71" s="1884"/>
      <c r="P71" s="1885"/>
      <c r="Q71" s="1878"/>
      <c r="R71" s="1866"/>
      <c r="S71" s="1866"/>
      <c r="T71" s="1866"/>
      <c r="U71" s="1866"/>
      <c r="V71" s="1866"/>
      <c r="W71" s="1866"/>
      <c r="X71" s="1866"/>
      <c r="Y71" s="1866"/>
      <c r="Z71" s="1866"/>
      <c r="AA71" s="1866"/>
      <c r="AB71" s="1866"/>
      <c r="AC71" s="1866"/>
    </row>
    <row r="72" spans="1:29" ht="14.4" thickBot="1">
      <c r="A72" s="637"/>
      <c r="B72" s="638"/>
      <c r="C72" s="639"/>
      <c r="D72" s="639"/>
      <c r="E72" s="639"/>
      <c r="F72" s="639"/>
      <c r="G72" s="639"/>
      <c r="H72" s="639"/>
      <c r="I72" s="639"/>
      <c r="J72" s="639"/>
      <c r="K72" s="639"/>
      <c r="L72" s="639"/>
      <c r="M72" s="640"/>
      <c r="N72" s="2970"/>
      <c r="O72" s="1886"/>
      <c r="P72" s="1885"/>
      <c r="Q72" s="1878"/>
      <c r="R72" s="1866"/>
      <c r="S72" s="1866"/>
      <c r="T72" s="1866"/>
      <c r="U72" s="1866"/>
      <c r="V72" s="1866"/>
      <c r="W72" s="1866"/>
      <c r="X72" s="1866"/>
      <c r="Y72" s="1866"/>
      <c r="Z72" s="1866"/>
      <c r="AA72" s="1866"/>
      <c r="AB72" s="1866"/>
      <c r="AC72" s="1866"/>
    </row>
    <row r="73" spans="1:29" ht="29.4" thickTop="1">
      <c r="A73" s="637"/>
      <c r="B73" s="641" t="s">
        <v>486</v>
      </c>
      <c r="C73" s="642"/>
      <c r="D73" s="642"/>
      <c r="E73" s="642"/>
      <c r="F73" s="642"/>
      <c r="G73" s="642"/>
      <c r="H73" s="642"/>
      <c r="I73" s="642"/>
      <c r="J73" s="642"/>
      <c r="K73" s="643"/>
      <c r="L73" s="644"/>
      <c r="M73" s="645"/>
      <c r="N73" s="2969"/>
      <c r="O73" s="1884"/>
      <c r="P73" s="1885"/>
      <c r="Q73" s="1878"/>
      <c r="R73" s="1866"/>
      <c r="S73" s="1866"/>
      <c r="T73" s="1866"/>
      <c r="U73" s="1866"/>
      <c r="V73" s="1866"/>
      <c r="W73" s="1866"/>
      <c r="X73" s="1866"/>
      <c r="Y73" s="1866"/>
      <c r="Z73" s="1866"/>
      <c r="AA73" s="1866"/>
      <c r="AB73" s="1866"/>
      <c r="AC73" s="1866"/>
    </row>
    <row r="74" spans="1:29" ht="14.4" thickBot="1">
      <c r="A74" s="637"/>
      <c r="B74" s="646"/>
      <c r="C74" s="647"/>
      <c r="D74" s="647"/>
      <c r="E74" s="647"/>
      <c r="F74" s="647"/>
      <c r="G74" s="647"/>
      <c r="H74" s="647"/>
      <c r="I74" s="647"/>
      <c r="J74" s="647"/>
      <c r="K74" s="647"/>
      <c r="L74" s="647"/>
      <c r="M74" s="648"/>
      <c r="N74" s="2970"/>
      <c r="O74" s="1886"/>
      <c r="P74" s="1885"/>
      <c r="Q74" s="1878"/>
      <c r="R74" s="1866"/>
      <c r="S74" s="1866"/>
      <c r="T74" s="1866"/>
      <c r="U74" s="1866"/>
      <c r="V74" s="1866"/>
      <c r="W74" s="1866"/>
      <c r="X74" s="1866"/>
      <c r="Y74" s="1866"/>
      <c r="Z74" s="1866"/>
      <c r="AA74" s="1866"/>
      <c r="AB74" s="1866"/>
      <c r="AC74" s="1866"/>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6"/>
      <c r="P75" s="1885"/>
      <c r="Q75" s="1878"/>
      <c r="R75" s="1866"/>
      <c r="S75" s="1866"/>
      <c r="T75" s="1866"/>
      <c r="U75" s="1866"/>
      <c r="V75" s="1866"/>
      <c r="W75" s="1866"/>
      <c r="X75" s="1866"/>
      <c r="Y75" s="1866"/>
      <c r="Z75" s="1866"/>
      <c r="AA75" s="1866"/>
      <c r="AB75" s="1866"/>
      <c r="AC75" s="1866"/>
    </row>
    <row r="76" spans="1:29">
      <c r="A76" s="637"/>
      <c r="B76" s="651"/>
      <c r="C76" s="511"/>
      <c r="D76" s="511"/>
      <c r="E76" s="511"/>
      <c r="F76" s="511"/>
      <c r="G76" s="511"/>
      <c r="H76" s="511"/>
      <c r="I76" s="511"/>
      <c r="J76" s="511"/>
      <c r="K76" s="652"/>
      <c r="L76" s="653"/>
      <c r="M76" s="654"/>
      <c r="N76" s="2969"/>
      <c r="O76" s="1884"/>
      <c r="P76" s="1885"/>
      <c r="Q76" s="1878"/>
      <c r="R76" s="1866"/>
      <c r="S76" s="1866"/>
      <c r="T76" s="1866"/>
      <c r="U76" s="1866"/>
      <c r="V76" s="1866"/>
      <c r="W76" s="1866"/>
      <c r="X76" s="1866"/>
      <c r="Y76" s="1866"/>
      <c r="Z76" s="1866"/>
      <c r="AA76" s="1866"/>
      <c r="AB76" s="1866"/>
      <c r="AC76" s="1866"/>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6"/>
      <c r="P77" s="1885"/>
      <c r="Q77" s="1878"/>
      <c r="R77" s="1866"/>
      <c r="S77" s="1866"/>
      <c r="T77" s="1866"/>
      <c r="U77" s="1866"/>
      <c r="V77" s="1866"/>
      <c r="W77" s="1866"/>
      <c r="X77" s="1866"/>
      <c r="Y77" s="1866"/>
      <c r="Z77" s="1866"/>
      <c r="AA77" s="1866"/>
      <c r="AB77" s="1866"/>
      <c r="AC77" s="1866"/>
    </row>
    <row r="78" spans="1:29" s="1198" customFormat="1" ht="14.4" thickTop="1">
      <c r="A78" s="655"/>
      <c r="B78" s="641">
        <f>B14</f>
        <v>111</v>
      </c>
      <c r="C78" s="656"/>
      <c r="D78" s="656"/>
      <c r="E78" s="656"/>
      <c r="F78" s="656"/>
      <c r="G78" s="656"/>
      <c r="H78" s="657"/>
      <c r="I78" s="657"/>
      <c r="J78" s="657"/>
      <c r="K78" s="657"/>
      <c r="L78" s="658"/>
      <c r="M78" s="659"/>
      <c r="N78" s="2971"/>
      <c r="O78" s="1887"/>
      <c r="P78" s="1888"/>
      <c r="Q78" s="1889"/>
      <c r="R78" s="1890"/>
      <c r="S78" s="1890"/>
      <c r="T78" s="1890"/>
      <c r="U78" s="1890"/>
      <c r="V78" s="1890"/>
      <c r="W78" s="1890"/>
      <c r="X78" s="1890"/>
      <c r="Y78" s="1890"/>
      <c r="Z78" s="1890"/>
      <c r="AA78" s="1890"/>
      <c r="AB78" s="1890"/>
      <c r="AC78" s="1890"/>
    </row>
    <row r="79" spans="1:29" s="1198" customFormat="1" ht="14.4" thickBot="1">
      <c r="A79" s="655"/>
      <c r="B79" s="646"/>
      <c r="C79" s="660"/>
      <c r="D79" s="639"/>
      <c r="E79" s="639"/>
      <c r="F79" s="639"/>
      <c r="G79" s="639"/>
      <c r="H79" s="639"/>
      <c r="I79" s="639"/>
      <c r="J79" s="639"/>
      <c r="K79" s="639"/>
      <c r="L79" s="639"/>
      <c r="M79" s="640"/>
      <c r="N79" s="2970"/>
      <c r="O79" s="1886"/>
      <c r="P79" s="1888"/>
      <c r="Q79" s="1889"/>
      <c r="R79" s="1890"/>
      <c r="S79" s="1890"/>
      <c r="T79" s="1890"/>
      <c r="U79" s="1890"/>
      <c r="V79" s="1890"/>
      <c r="W79" s="1890"/>
      <c r="X79" s="1890"/>
      <c r="Y79" s="1890"/>
      <c r="Z79" s="1890"/>
      <c r="AA79" s="1890"/>
      <c r="AB79" s="1890"/>
      <c r="AC79" s="1890"/>
    </row>
    <row r="80" spans="1:29" s="1198" customFormat="1" ht="14.4" thickTop="1">
      <c r="A80" s="655"/>
      <c r="B80" s="641">
        <f>B15</f>
        <v>111</v>
      </c>
      <c r="C80" s="656"/>
      <c r="D80" s="656"/>
      <c r="E80" s="656"/>
      <c r="F80" s="656"/>
      <c r="G80" s="656"/>
      <c r="H80" s="657"/>
      <c r="I80" s="657"/>
      <c r="J80" s="657"/>
      <c r="K80" s="657"/>
      <c r="L80" s="658"/>
      <c r="M80" s="659"/>
      <c r="N80" s="2971"/>
      <c r="O80" s="1887"/>
      <c r="P80" s="1891"/>
      <c r="Q80" s="1892"/>
      <c r="R80" s="1890"/>
      <c r="S80" s="1890"/>
      <c r="T80" s="1890"/>
      <c r="U80" s="1890"/>
      <c r="V80" s="1890"/>
      <c r="W80" s="1890"/>
      <c r="X80" s="1890"/>
      <c r="Y80" s="1890"/>
      <c r="Z80" s="1890"/>
      <c r="AA80" s="1890"/>
      <c r="AB80" s="1890"/>
      <c r="AC80" s="1890"/>
    </row>
    <row r="81" spans="1:29" s="1198" customFormat="1" ht="14.4" thickBot="1">
      <c r="A81" s="655"/>
      <c r="B81" s="646"/>
      <c r="C81" s="660"/>
      <c r="D81" s="660"/>
      <c r="E81" s="660"/>
      <c r="F81" s="660"/>
      <c r="G81" s="660"/>
      <c r="H81" s="661"/>
      <c r="I81" s="661"/>
      <c r="J81" s="661"/>
      <c r="K81" s="661"/>
      <c r="L81" s="661"/>
      <c r="M81" s="662"/>
      <c r="N81" s="2971"/>
      <c r="O81" s="1887"/>
      <c r="P81" s="1888"/>
      <c r="Q81" s="1889"/>
      <c r="R81" s="1890"/>
      <c r="S81" s="1890"/>
      <c r="T81" s="1890"/>
      <c r="U81" s="1890"/>
      <c r="V81" s="1890"/>
      <c r="W81" s="1890"/>
      <c r="X81" s="1890"/>
      <c r="Y81" s="1890"/>
      <c r="Z81" s="1890"/>
      <c r="AA81" s="1890"/>
      <c r="AB81" s="1890"/>
      <c r="AC81" s="1890"/>
    </row>
    <row r="82" spans="1:29" s="1198" customFormat="1" ht="14.4" thickTop="1">
      <c r="A82" s="655"/>
      <c r="B82" s="649">
        <f>B16</f>
        <v>111</v>
      </c>
      <c r="C82" s="629"/>
      <c r="D82" s="629"/>
      <c r="E82" s="629"/>
      <c r="F82" s="629"/>
      <c r="G82" s="629"/>
      <c r="H82" s="663"/>
      <c r="I82" s="663"/>
      <c r="J82" s="663"/>
      <c r="K82" s="663"/>
      <c r="L82" s="664"/>
      <c r="M82" s="665"/>
      <c r="N82" s="2971"/>
      <c r="O82" s="1887"/>
      <c r="P82" s="1893"/>
      <c r="Q82" s="1889"/>
      <c r="R82" s="1890"/>
      <c r="S82" s="1890"/>
      <c r="T82" s="1890"/>
      <c r="U82" s="1890"/>
      <c r="V82" s="1890"/>
      <c r="W82" s="1890"/>
      <c r="X82" s="1890"/>
      <c r="Y82" s="1890"/>
      <c r="Z82" s="1890"/>
      <c r="AA82" s="1890"/>
      <c r="AB82" s="1890"/>
      <c r="AC82" s="1890"/>
    </row>
    <row r="83" spans="1:29" s="1198" customFormat="1" ht="14.4" thickBot="1">
      <c r="A83" s="666"/>
      <c r="B83" s="667"/>
      <c r="C83" s="668"/>
      <c r="D83" s="668"/>
      <c r="E83" s="668"/>
      <c r="F83" s="668"/>
      <c r="G83" s="668"/>
      <c r="H83" s="669"/>
      <c r="I83" s="669"/>
      <c r="J83" s="669"/>
      <c r="K83" s="669"/>
      <c r="L83" s="669"/>
      <c r="M83" s="670"/>
      <c r="N83" s="2971"/>
      <c r="O83" s="1887"/>
      <c r="P83" s="1888"/>
      <c r="Q83" s="1889"/>
      <c r="R83" s="1890"/>
      <c r="S83" s="1890"/>
      <c r="T83" s="1890"/>
      <c r="U83" s="1890"/>
      <c r="V83" s="1890"/>
      <c r="W83" s="1890"/>
      <c r="X83" s="1890"/>
      <c r="Y83" s="1890"/>
      <c r="Z83" s="1890"/>
      <c r="AA83" s="1890"/>
      <c r="AB83" s="1890"/>
      <c r="AC83" s="1890"/>
    </row>
    <row r="84" spans="1:29" ht="14.4">
      <c r="A84" s="632" t="s">
        <v>488</v>
      </c>
      <c r="B84" s="633" t="s">
        <v>550</v>
      </c>
      <c r="C84" s="671" t="s">
        <v>527</v>
      </c>
      <c r="D84" s="671" t="s">
        <v>528</v>
      </c>
      <c r="E84" s="671" t="s">
        <v>529</v>
      </c>
      <c r="F84" s="671" t="s">
        <v>530</v>
      </c>
      <c r="G84" s="671" t="s">
        <v>531</v>
      </c>
      <c r="H84" s="672"/>
      <c r="I84" s="672"/>
      <c r="J84" s="672"/>
      <c r="K84" s="673"/>
      <c r="L84" s="674"/>
      <c r="M84" s="675"/>
      <c r="N84" s="2969"/>
      <c r="O84" s="1884"/>
      <c r="P84" s="1894"/>
      <c r="Q84" s="1878"/>
      <c r="R84" s="1866"/>
      <c r="S84" s="1866"/>
      <c r="T84" s="1866"/>
      <c r="U84" s="1866"/>
      <c r="V84" s="1866"/>
      <c r="W84" s="1866"/>
      <c r="X84" s="1866"/>
      <c r="Y84" s="1866"/>
      <c r="Z84" s="1866"/>
      <c r="AA84" s="1866"/>
      <c r="AB84" s="1866"/>
      <c r="AC84" s="1866"/>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0"/>
      <c r="O85" s="1886"/>
      <c r="P85" s="1885"/>
      <c r="Q85" s="1878"/>
      <c r="R85" s="1866"/>
      <c r="S85" s="1866"/>
      <c r="T85" s="1866"/>
      <c r="U85" s="1866"/>
      <c r="V85" s="1866"/>
      <c r="W85" s="1866"/>
      <c r="X85" s="1866"/>
      <c r="Y85" s="1866"/>
      <c r="Z85" s="1866"/>
      <c r="AA85" s="1866"/>
      <c r="AB85" s="1866"/>
      <c r="AC85" s="1866"/>
    </row>
    <row r="86" spans="1:29" ht="15" thickTop="1">
      <c r="A86" s="637"/>
      <c r="B86" s="641" t="s">
        <v>534</v>
      </c>
      <c r="C86" s="676" t="s">
        <v>527</v>
      </c>
      <c r="D86" s="676" t="s">
        <v>528</v>
      </c>
      <c r="E86" s="676" t="s">
        <v>529</v>
      </c>
      <c r="F86" s="676" t="s">
        <v>530</v>
      </c>
      <c r="G86" s="676" t="s">
        <v>531</v>
      </c>
      <c r="H86" s="642"/>
      <c r="I86" s="642"/>
      <c r="J86" s="642"/>
      <c r="K86" s="643"/>
      <c r="L86" s="644"/>
      <c r="M86" s="645"/>
      <c r="N86" s="2969"/>
      <c r="O86" s="1884"/>
      <c r="P86" s="1885"/>
      <c r="Q86" s="1878"/>
      <c r="R86" s="1866"/>
      <c r="S86" s="1866"/>
      <c r="T86" s="1866"/>
      <c r="U86" s="1866"/>
      <c r="V86" s="1866"/>
      <c r="W86" s="1866"/>
      <c r="X86" s="1866"/>
      <c r="Y86" s="1866"/>
      <c r="Z86" s="1866"/>
      <c r="AA86" s="1866"/>
      <c r="AB86" s="1866"/>
      <c r="AC86" s="1866"/>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0"/>
      <c r="O87" s="1886"/>
      <c r="P87" s="1885"/>
      <c r="Q87" s="1878"/>
      <c r="R87" s="1866"/>
      <c r="S87" s="1866"/>
      <c r="T87" s="1866"/>
      <c r="U87" s="1866"/>
      <c r="V87" s="1866"/>
      <c r="W87" s="1866"/>
      <c r="X87" s="1866"/>
      <c r="Y87" s="1866"/>
      <c r="Z87" s="1866"/>
      <c r="AA87" s="1866"/>
      <c r="AB87" s="1866"/>
      <c r="AC87" s="1866"/>
    </row>
    <row r="88" spans="1:29" s="1116" customFormat="1" ht="29.4" thickTop="1">
      <c r="A88" s="677"/>
      <c r="B88" s="641" t="s">
        <v>535</v>
      </c>
      <c r="C88" s="676" t="s">
        <v>527</v>
      </c>
      <c r="D88" s="676" t="s">
        <v>528</v>
      </c>
      <c r="E88" s="676" t="s">
        <v>529</v>
      </c>
      <c r="F88" s="676" t="s">
        <v>530</v>
      </c>
      <c r="G88" s="676" t="s">
        <v>531</v>
      </c>
      <c r="H88" s="676"/>
      <c r="I88" s="676"/>
      <c r="J88" s="676"/>
      <c r="K88" s="676"/>
      <c r="L88" s="678"/>
      <c r="M88" s="679"/>
      <c r="N88" s="2968"/>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C89-$K21</f>
        <v>100</v>
      </c>
      <c r="E89" s="647">
        <f>D89-$K21</f>
        <v>100</v>
      </c>
      <c r="F89" s="647">
        <f>E89-$K21</f>
        <v>100</v>
      </c>
      <c r="G89" s="647">
        <f>F89-$K21</f>
        <v>100</v>
      </c>
      <c r="H89" s="647"/>
      <c r="I89" s="647"/>
      <c r="J89" s="647"/>
      <c r="K89" s="647"/>
      <c r="L89" s="647"/>
      <c r="M89" s="648"/>
      <c r="N89" s="2970"/>
      <c r="O89" s="1886"/>
      <c r="P89" s="1885"/>
      <c r="Q89" s="1878"/>
      <c r="R89" s="1744"/>
      <c r="S89" s="1744"/>
      <c r="T89" s="1744"/>
      <c r="U89" s="1744"/>
      <c r="V89" s="1744"/>
      <c r="W89" s="1744"/>
      <c r="X89" s="1744"/>
      <c r="Y89" s="1744"/>
      <c r="Z89" s="1744"/>
      <c r="AA89" s="1744"/>
      <c r="AB89" s="1744"/>
      <c r="AC89" s="1744"/>
    </row>
    <row r="90" spans="1:29" s="1116" customFormat="1" ht="29.4" thickTop="1">
      <c r="A90" s="677"/>
      <c r="B90" s="641" t="s">
        <v>536</v>
      </c>
      <c r="C90" s="671" t="s">
        <v>527</v>
      </c>
      <c r="D90" s="671" t="s">
        <v>528</v>
      </c>
      <c r="E90" s="671" t="s">
        <v>529</v>
      </c>
      <c r="F90" s="671" t="s">
        <v>530</v>
      </c>
      <c r="G90" s="671" t="s">
        <v>531</v>
      </c>
      <c r="H90" s="676"/>
      <c r="I90" s="676"/>
      <c r="J90" s="676"/>
      <c r="K90" s="676"/>
      <c r="L90" s="676"/>
      <c r="M90" s="679"/>
      <c r="N90" s="2968"/>
      <c r="O90" s="1882"/>
      <c r="P90" s="1885"/>
      <c r="Q90" s="1878"/>
      <c r="R90" s="1744"/>
      <c r="S90" s="1744"/>
      <c r="T90" s="1744"/>
      <c r="U90" s="1744"/>
      <c r="V90" s="1744"/>
      <c r="W90" s="1744"/>
      <c r="X90" s="1744"/>
      <c r="Y90" s="1744"/>
      <c r="Z90" s="1744"/>
      <c r="AA90" s="1744"/>
      <c r="AB90" s="1744"/>
      <c r="AC90" s="1744"/>
    </row>
    <row r="91" spans="1:29" s="1116" customFormat="1" ht="14.4" thickBot="1">
      <c r="A91" s="677"/>
      <c r="B91" s="646"/>
      <c r="C91" s="647">
        <v>100</v>
      </c>
      <c r="D91" s="647">
        <f>C91-$K23</f>
        <v>100</v>
      </c>
      <c r="E91" s="647">
        <f>D91-$K23</f>
        <v>100</v>
      </c>
      <c r="F91" s="647">
        <f>E91-$K23</f>
        <v>100</v>
      </c>
      <c r="G91" s="647">
        <f>F91-$K23</f>
        <v>100</v>
      </c>
      <c r="H91" s="647"/>
      <c r="I91" s="647"/>
      <c r="J91" s="647"/>
      <c r="K91" s="647"/>
      <c r="L91" s="647"/>
      <c r="M91" s="648"/>
      <c r="N91" s="2970"/>
      <c r="O91" s="1886"/>
      <c r="P91" s="1885"/>
      <c r="Q91" s="1878"/>
      <c r="R91" s="1744"/>
      <c r="S91" s="1744"/>
      <c r="T91" s="1744"/>
      <c r="U91" s="1744"/>
      <c r="V91" s="1744"/>
      <c r="W91" s="1744"/>
      <c r="X91" s="1744"/>
      <c r="Y91" s="1744"/>
      <c r="Z91" s="1744"/>
      <c r="AA91" s="1744"/>
      <c r="AB91" s="1744"/>
      <c r="AC91" s="1744"/>
    </row>
    <row r="92" spans="1:29" s="1198" customFormat="1" ht="15" thickTop="1">
      <c r="A92" s="655"/>
      <c r="B92" s="1650" t="s">
        <v>1831</v>
      </c>
      <c r="C92" s="671" t="s">
        <v>527</v>
      </c>
      <c r="D92" s="671" t="s">
        <v>528</v>
      </c>
      <c r="E92" s="671" t="s">
        <v>529</v>
      </c>
      <c r="F92" s="671" t="s">
        <v>530</v>
      </c>
      <c r="G92" s="671" t="s">
        <v>531</v>
      </c>
      <c r="H92" s="681"/>
      <c r="I92" s="681"/>
      <c r="J92" s="681"/>
      <c r="K92" s="681"/>
      <c r="L92" s="682"/>
      <c r="M92" s="683"/>
      <c r="N92" s="2971"/>
      <c r="O92" s="1887"/>
      <c r="P92" s="1888"/>
      <c r="Q92" s="1889"/>
      <c r="R92" s="1890"/>
      <c r="S92" s="1890"/>
      <c r="T92" s="1890"/>
      <c r="U92" s="1890"/>
      <c r="V92" s="1890"/>
      <c r="W92" s="1890"/>
      <c r="X92" s="1890"/>
      <c r="Y92" s="1890"/>
      <c r="Z92" s="1890"/>
      <c r="AA92" s="1890"/>
      <c r="AB92" s="1890"/>
      <c r="AC92" s="1890"/>
    </row>
    <row r="93" spans="1:29" s="1198" customFormat="1" ht="14.4" thickBot="1">
      <c r="A93" s="655"/>
      <c r="B93" s="646"/>
      <c r="C93" s="647">
        <v>100</v>
      </c>
      <c r="D93" s="647">
        <f>C93-$K25</f>
        <v>100</v>
      </c>
      <c r="E93" s="647">
        <f>D93-$K25</f>
        <v>100</v>
      </c>
      <c r="F93" s="647">
        <f>E93-$K25</f>
        <v>100</v>
      </c>
      <c r="G93" s="647">
        <f>F93-$K25</f>
        <v>100</v>
      </c>
      <c r="H93" s="684"/>
      <c r="I93" s="684"/>
      <c r="J93" s="684"/>
      <c r="K93" s="684"/>
      <c r="L93" s="684"/>
      <c r="M93" s="685"/>
      <c r="N93" s="2971"/>
      <c r="O93" s="1887"/>
      <c r="P93" s="1888"/>
      <c r="Q93" s="1889"/>
      <c r="R93" s="1890"/>
      <c r="S93" s="1890"/>
      <c r="T93" s="1890"/>
      <c r="U93" s="1890"/>
      <c r="V93" s="1890"/>
      <c r="W93" s="1890"/>
      <c r="X93" s="1890"/>
      <c r="Y93" s="1890"/>
      <c r="Z93" s="1890"/>
      <c r="AA93" s="1890"/>
      <c r="AB93" s="1890"/>
      <c r="AC93" s="1890"/>
    </row>
    <row r="94" spans="1:29" s="1198" customFormat="1" ht="15" thickTop="1">
      <c r="A94" s="655"/>
      <c r="B94" s="2202" t="s">
        <v>1833</v>
      </c>
      <c r="C94" s="2203" t="s">
        <v>1834</v>
      </c>
      <c r="D94" s="2203" t="s">
        <v>1835</v>
      </c>
      <c r="E94" s="2203" t="s">
        <v>1836</v>
      </c>
      <c r="F94" s="2203" t="s">
        <v>1837</v>
      </c>
      <c r="G94" s="2203" t="s">
        <v>1838</v>
      </c>
      <c r="H94" s="681"/>
      <c r="I94" s="681"/>
      <c r="J94" s="681"/>
      <c r="K94" s="681"/>
      <c r="L94" s="681"/>
      <c r="M94" s="683"/>
      <c r="N94" s="2971"/>
      <c r="O94" s="1887"/>
      <c r="P94" s="1888"/>
      <c r="Q94" s="1889"/>
      <c r="R94" s="1890"/>
      <c r="S94" s="1890"/>
      <c r="T94" s="1890"/>
      <c r="U94" s="1890"/>
      <c r="V94" s="1890"/>
      <c r="W94" s="1890"/>
      <c r="X94" s="1890"/>
      <c r="Y94" s="1890"/>
      <c r="Z94" s="1890"/>
      <c r="AA94" s="1890"/>
      <c r="AB94" s="1890"/>
      <c r="AC94" s="1890"/>
    </row>
    <row r="95" spans="1:29" s="1198" customFormat="1" ht="14.4" thickBot="1">
      <c r="A95" s="655"/>
      <c r="B95" s="649"/>
      <c r="C95" s="647">
        <v>100</v>
      </c>
      <c r="D95" s="647">
        <f>C95-$K27</f>
        <v>100</v>
      </c>
      <c r="E95" s="647">
        <f>D95-$K27</f>
        <v>100</v>
      </c>
      <c r="F95" s="647">
        <f>E95-$K27</f>
        <v>100</v>
      </c>
      <c r="G95" s="647">
        <f>F95-$K27</f>
        <v>100</v>
      </c>
      <c r="H95" s="651"/>
      <c r="I95" s="651"/>
      <c r="J95" s="651"/>
      <c r="K95" s="651"/>
      <c r="L95" s="651"/>
      <c r="M95" s="2195"/>
      <c r="N95" s="2971"/>
      <c r="O95" s="1887"/>
      <c r="P95" s="1888"/>
      <c r="Q95" s="1889"/>
      <c r="R95" s="1890"/>
      <c r="S95" s="1890"/>
      <c r="T95" s="1890"/>
      <c r="U95" s="1890"/>
      <c r="V95" s="1890"/>
      <c r="W95" s="1890"/>
      <c r="X95" s="1890"/>
      <c r="Y95" s="1890"/>
      <c r="Z95" s="1890"/>
      <c r="AA95" s="1890"/>
      <c r="AB95" s="1890"/>
      <c r="AC95" s="1890"/>
    </row>
    <row r="96" spans="1:29" ht="15" thickTop="1">
      <c r="A96" s="637"/>
      <c r="B96" s="641" t="str">
        <f>B29</f>
        <v>临街状况</v>
      </c>
      <c r="C96" s="642" t="s">
        <v>537</v>
      </c>
      <c r="D96" s="642" t="s">
        <v>538</v>
      </c>
      <c r="E96" s="642" t="s">
        <v>539</v>
      </c>
      <c r="F96" s="642" t="s">
        <v>540</v>
      </c>
      <c r="G96" s="642"/>
      <c r="H96" s="642"/>
      <c r="I96" s="642"/>
      <c r="J96" s="642"/>
      <c r="K96" s="643"/>
      <c r="L96" s="644"/>
      <c r="M96" s="645"/>
      <c r="N96" s="2969"/>
      <c r="O96" s="1884"/>
      <c r="P96" s="1885"/>
      <c r="Q96" s="1878"/>
      <c r="R96" s="1866"/>
      <c r="S96" s="1866"/>
      <c r="T96" s="1866"/>
      <c r="U96" s="1866"/>
      <c r="V96" s="1866"/>
      <c r="W96" s="1866"/>
      <c r="X96" s="1866"/>
      <c r="Y96" s="1866"/>
      <c r="Z96" s="1866"/>
      <c r="AA96" s="1866"/>
      <c r="AB96" s="1866"/>
      <c r="AC96" s="1866"/>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6"/>
      <c r="P97" s="1885"/>
      <c r="Q97" s="1878"/>
      <c r="R97" s="1866"/>
      <c r="S97" s="1866"/>
      <c r="T97" s="1866"/>
      <c r="U97" s="1866"/>
      <c r="V97" s="1866"/>
      <c r="W97" s="1866"/>
      <c r="X97" s="1866"/>
      <c r="Y97" s="1866"/>
      <c r="Z97" s="1866"/>
      <c r="AA97" s="1866"/>
      <c r="AB97" s="1866"/>
      <c r="AC97" s="1866"/>
    </row>
    <row r="98" spans="1:29" ht="29.4" thickTop="1">
      <c r="A98" s="637"/>
      <c r="B98" s="641" t="s">
        <v>497</v>
      </c>
      <c r="C98" s="656"/>
      <c r="D98" s="656"/>
      <c r="E98" s="656"/>
      <c r="F98" s="656"/>
      <c r="G98" s="656"/>
      <c r="H98" s="686"/>
      <c r="I98" s="686"/>
      <c r="J98" s="686"/>
      <c r="K98" s="687"/>
      <c r="L98" s="688"/>
      <c r="M98" s="689"/>
      <c r="N98" s="2969"/>
      <c r="O98" s="1884"/>
      <c r="P98" s="1885"/>
      <c r="Q98" s="1878"/>
      <c r="R98" s="1866"/>
      <c r="S98" s="1866"/>
      <c r="T98" s="1866"/>
      <c r="U98" s="1866"/>
      <c r="V98" s="1866"/>
      <c r="W98" s="1866"/>
      <c r="X98" s="1866"/>
      <c r="Y98" s="1866"/>
      <c r="Z98" s="1866"/>
      <c r="AA98" s="1866"/>
      <c r="AB98" s="1866"/>
      <c r="AC98" s="1866"/>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6"/>
      <c r="P99" s="1885"/>
      <c r="Q99" s="1878"/>
      <c r="R99" s="1866"/>
      <c r="S99" s="1866"/>
      <c r="T99" s="1866"/>
      <c r="U99" s="1866"/>
      <c r="V99" s="1866"/>
      <c r="W99" s="1866"/>
      <c r="X99" s="1866"/>
      <c r="Y99" s="1866"/>
      <c r="Z99" s="1866"/>
      <c r="AA99" s="1866"/>
      <c r="AB99" s="1866"/>
      <c r="AC99" s="1866"/>
    </row>
    <row r="100" spans="1:29" ht="15" thickTop="1">
      <c r="A100" s="637"/>
      <c r="B100" s="641" t="s">
        <v>498</v>
      </c>
      <c r="C100" s="686"/>
      <c r="D100" s="686"/>
      <c r="E100" s="686"/>
      <c r="F100" s="686"/>
      <c r="G100" s="686"/>
      <c r="H100" s="686"/>
      <c r="I100" s="686"/>
      <c r="J100" s="686"/>
      <c r="K100" s="687"/>
      <c r="L100" s="688"/>
      <c r="M100" s="689"/>
      <c r="N100" s="2969"/>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6"/>
      <c r="P101" s="1885"/>
      <c r="Q101" s="1878"/>
      <c r="R101" s="1866"/>
      <c r="S101" s="1866"/>
      <c r="T101" s="1866"/>
      <c r="U101" s="1866"/>
      <c r="V101" s="1866"/>
      <c r="W101" s="1866"/>
      <c r="X101" s="1866"/>
      <c r="Y101" s="1866"/>
      <c r="Z101" s="1866"/>
      <c r="AA101" s="1866"/>
      <c r="AB101" s="1866"/>
      <c r="AC101" s="1866"/>
    </row>
    <row r="102" spans="1:29" ht="14.4" thickTop="1">
      <c r="A102" s="637"/>
      <c r="B102" s="649">
        <f>B33</f>
        <v>111</v>
      </c>
      <c r="C102" s="656"/>
      <c r="D102" s="656"/>
      <c r="E102" s="656"/>
      <c r="F102" s="656"/>
      <c r="G102" s="690"/>
      <c r="H102" s="690"/>
      <c r="I102" s="690"/>
      <c r="J102" s="690"/>
      <c r="K102" s="691"/>
      <c r="L102" s="692"/>
      <c r="M102" s="693"/>
      <c r="N102" s="2969"/>
      <c r="O102" s="1884"/>
      <c r="P102" s="1885"/>
      <c r="Q102" s="1878"/>
      <c r="R102" s="1866"/>
      <c r="S102" s="1866"/>
      <c r="T102" s="1866"/>
      <c r="U102" s="1866"/>
      <c r="V102" s="1866"/>
      <c r="W102" s="1866"/>
      <c r="X102" s="1866"/>
      <c r="Y102" s="1866"/>
      <c r="Z102" s="1866"/>
      <c r="AA102" s="1866"/>
      <c r="AB102" s="1866"/>
      <c r="AC102" s="1866"/>
    </row>
    <row r="103" spans="1:29" ht="14.4" thickBot="1">
      <c r="A103" s="637"/>
      <c r="B103" s="667"/>
      <c r="C103" s="660"/>
      <c r="D103" s="639"/>
      <c r="E103" s="639"/>
      <c r="F103" s="639"/>
      <c r="G103" s="694"/>
      <c r="H103" s="694"/>
      <c r="I103" s="694"/>
      <c r="J103" s="694"/>
      <c r="K103" s="694"/>
      <c r="L103" s="694"/>
      <c r="M103" s="695"/>
      <c r="N103" s="2970"/>
      <c r="O103" s="1886"/>
      <c r="P103" s="1885"/>
      <c r="Q103" s="1878"/>
      <c r="R103" s="1866"/>
      <c r="S103" s="1866"/>
      <c r="T103" s="1866"/>
      <c r="U103" s="1866"/>
      <c r="V103" s="1866"/>
      <c r="W103" s="1866"/>
      <c r="X103" s="1866"/>
      <c r="Y103" s="1866"/>
      <c r="Z103" s="1866"/>
      <c r="AA103" s="1866"/>
      <c r="AB103" s="1866"/>
      <c r="AC103" s="1866"/>
    </row>
    <row r="104" spans="1:29" ht="14.4" thickTop="1">
      <c r="A104" s="557"/>
      <c r="B104" s="641">
        <f>B34</f>
        <v>111</v>
      </c>
      <c r="C104" s="656"/>
      <c r="D104" s="656"/>
      <c r="E104" s="656"/>
      <c r="F104" s="656"/>
      <c r="G104" s="686"/>
      <c r="H104" s="686"/>
      <c r="I104" s="686"/>
      <c r="J104" s="686"/>
      <c r="K104" s="687"/>
      <c r="L104" s="688"/>
      <c r="M104" s="689"/>
      <c r="N104" s="2969"/>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60"/>
      <c r="D105" s="660"/>
      <c r="E105" s="660"/>
      <c r="F105" s="660"/>
      <c r="G105" s="639"/>
      <c r="H105" s="639"/>
      <c r="I105" s="639"/>
      <c r="J105" s="639"/>
      <c r="K105" s="639"/>
      <c r="L105" s="639"/>
      <c r="M105" s="640"/>
      <c r="N105" s="2970"/>
      <c r="O105" s="1886"/>
      <c r="P105" s="1885"/>
      <c r="Q105" s="1878"/>
      <c r="R105" s="1866"/>
      <c r="S105" s="1866"/>
      <c r="T105" s="1866"/>
      <c r="U105" s="1866"/>
      <c r="V105" s="1866"/>
      <c r="W105" s="1866"/>
      <c r="X105" s="1866"/>
      <c r="Y105" s="1866"/>
      <c r="Z105" s="1866"/>
      <c r="AA105" s="1866"/>
      <c r="AB105" s="1866"/>
      <c r="AC105" s="1866"/>
    </row>
    <row r="106" spans="1:29" s="1198" customFormat="1" ht="14.4" thickTop="1">
      <c r="A106" s="696"/>
      <c r="B106" s="697">
        <f>B35</f>
        <v>111</v>
      </c>
      <c r="C106" s="629"/>
      <c r="D106" s="629"/>
      <c r="E106" s="629"/>
      <c r="F106" s="629"/>
      <c r="G106" s="698"/>
      <c r="H106" s="698"/>
      <c r="I106" s="698"/>
      <c r="J106" s="699"/>
      <c r="K106" s="699"/>
      <c r="L106" s="700"/>
      <c r="M106" s="701"/>
      <c r="N106" s="2971"/>
      <c r="O106" s="1887"/>
      <c r="P106" s="1888"/>
      <c r="Q106" s="1889"/>
      <c r="R106" s="1890"/>
      <c r="S106" s="1890"/>
      <c r="T106" s="1890"/>
      <c r="U106" s="1890"/>
      <c r="V106" s="1890"/>
      <c r="W106" s="1890"/>
      <c r="X106" s="1890"/>
      <c r="Y106" s="1890"/>
      <c r="Z106" s="1890"/>
      <c r="AA106" s="1890"/>
      <c r="AB106" s="1890"/>
      <c r="AC106" s="1890"/>
    </row>
    <row r="107" spans="1:29" s="1198" customFormat="1" ht="14.4" thickBot="1">
      <c r="A107" s="655"/>
      <c r="B107" s="649"/>
      <c r="C107" s="668"/>
      <c r="D107" s="668"/>
      <c r="E107" s="668"/>
      <c r="F107" s="668"/>
      <c r="G107" s="562"/>
      <c r="H107" s="562"/>
      <c r="I107" s="562"/>
      <c r="J107" s="562"/>
      <c r="K107" s="562"/>
      <c r="L107" s="562"/>
      <c r="M107" s="702"/>
      <c r="N107" s="2970"/>
      <c r="O107" s="1886"/>
      <c r="P107" s="1888"/>
      <c r="Q107" s="1889"/>
      <c r="R107" s="1890"/>
      <c r="S107" s="1890"/>
      <c r="T107" s="1890"/>
      <c r="U107" s="1890"/>
      <c r="V107" s="1890"/>
      <c r="W107" s="1890"/>
      <c r="X107" s="1890"/>
      <c r="Y107" s="1890"/>
      <c r="Z107" s="1890"/>
      <c r="AA107" s="1890"/>
      <c r="AB107" s="1890"/>
      <c r="AC107" s="1890"/>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c r="A109" s="637"/>
      <c r="B109" s="649"/>
      <c r="C109" s="698"/>
      <c r="D109" s="698"/>
      <c r="E109" s="698"/>
      <c r="F109" s="698"/>
      <c r="G109" s="698"/>
      <c r="H109" s="698"/>
      <c r="I109" s="698"/>
      <c r="J109" s="699"/>
      <c r="K109" s="699"/>
      <c r="L109" s="700"/>
      <c r="M109" s="701"/>
      <c r="N109" s="2969"/>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68"/>
      <c r="D110" s="694"/>
      <c r="E110" s="694"/>
      <c r="F110" s="694"/>
      <c r="G110" s="694"/>
      <c r="H110" s="694"/>
      <c r="I110" s="694"/>
      <c r="J110" s="694"/>
      <c r="K110" s="694"/>
      <c r="L110" s="694"/>
      <c r="M110" s="695"/>
      <c r="N110" s="2970"/>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9"/>
      <c r="O111" s="1884"/>
      <c r="P111" s="1885"/>
      <c r="Q111" s="1878"/>
      <c r="R111" s="1866"/>
      <c r="S111" s="1866"/>
      <c r="T111" s="1866"/>
      <c r="U111" s="1866"/>
      <c r="V111" s="1866"/>
      <c r="W111" s="1866"/>
      <c r="X111" s="1866"/>
      <c r="Y111" s="1866"/>
      <c r="Z111" s="1866"/>
      <c r="AA111" s="1866"/>
      <c r="AB111" s="1866"/>
      <c r="AC111" s="1866"/>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1"/>
      <c r="O113" s="1887"/>
      <c r="P113" s="1888"/>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9"/>
      <c r="O115" s="1884"/>
      <c r="P115" s="1885"/>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6"/>
      <c r="P116" s="1885"/>
      <c r="Q116" s="1878"/>
      <c r="R116" s="1866"/>
      <c r="S116" s="1866"/>
      <c r="T116" s="1866"/>
      <c r="U116" s="1866"/>
      <c r="V116" s="1866"/>
      <c r="W116" s="1866"/>
      <c r="X116" s="1866"/>
      <c r="Y116" s="1866"/>
      <c r="Z116" s="1866"/>
      <c r="AA116" s="1866"/>
      <c r="AB116" s="1866"/>
      <c r="AC116" s="1866"/>
    </row>
    <row r="117" spans="1:29" ht="14.4" thickTop="1">
      <c r="A117" s="703"/>
      <c r="B117" s="641">
        <f>B40</f>
        <v>111</v>
      </c>
      <c r="C117" s="656"/>
      <c r="D117" s="656"/>
      <c r="E117" s="656"/>
      <c r="F117" s="656"/>
      <c r="G117" s="656"/>
      <c r="H117" s="686"/>
      <c r="I117" s="686"/>
      <c r="J117" s="686"/>
      <c r="K117" s="687"/>
      <c r="L117" s="688"/>
      <c r="M117" s="689"/>
      <c r="N117" s="2969"/>
      <c r="O117" s="1884"/>
      <c r="P117" s="1885"/>
      <c r="Q117" s="1878"/>
      <c r="R117" s="1866"/>
      <c r="S117" s="1866"/>
      <c r="T117" s="1866"/>
      <c r="U117" s="1866"/>
      <c r="V117" s="1866"/>
      <c r="W117" s="1866"/>
      <c r="X117" s="1866"/>
      <c r="Y117" s="1866"/>
      <c r="Z117" s="1866"/>
      <c r="AA117" s="1866"/>
      <c r="AB117" s="1866"/>
      <c r="AC117" s="1866"/>
    </row>
    <row r="118" spans="1:29" ht="14.4" thickBot="1">
      <c r="A118" s="637"/>
      <c r="B118" s="646"/>
      <c r="C118" s="660"/>
      <c r="D118" s="639"/>
      <c r="E118" s="639"/>
      <c r="F118" s="639"/>
      <c r="G118" s="639"/>
      <c r="H118" s="639"/>
      <c r="I118" s="639"/>
      <c r="J118" s="639"/>
      <c r="K118" s="639"/>
      <c r="L118" s="639"/>
      <c r="M118" s="640"/>
      <c r="N118" s="2970"/>
      <c r="O118" s="1886"/>
      <c r="P118" s="1885"/>
      <c r="Q118" s="1878"/>
      <c r="R118" s="1866"/>
      <c r="S118" s="1866"/>
      <c r="T118" s="1866"/>
      <c r="U118" s="1866"/>
      <c r="V118" s="1866"/>
      <c r="W118" s="1866"/>
      <c r="X118" s="1866"/>
      <c r="Y118" s="1866"/>
      <c r="Z118" s="1866"/>
      <c r="AA118" s="1866"/>
      <c r="AB118" s="1866"/>
      <c r="AC118" s="1866"/>
    </row>
    <row r="119" spans="1:29" ht="14.4" thickTop="1">
      <c r="A119" s="703"/>
      <c r="B119" s="641">
        <f>B41</f>
        <v>111</v>
      </c>
      <c r="C119" s="656"/>
      <c r="D119" s="656"/>
      <c r="E119" s="656"/>
      <c r="F119" s="656"/>
      <c r="G119" s="686"/>
      <c r="H119" s="686"/>
      <c r="I119" s="686"/>
      <c r="J119" s="686"/>
      <c r="K119" s="687"/>
      <c r="L119" s="688"/>
      <c r="M119" s="689"/>
      <c r="N119" s="2969"/>
      <c r="O119" s="1884"/>
      <c r="P119" s="1885"/>
      <c r="Q119" s="1878"/>
      <c r="R119" s="1866"/>
      <c r="S119" s="1866"/>
      <c r="T119" s="1866"/>
      <c r="U119" s="1866"/>
      <c r="V119" s="1866"/>
      <c r="W119" s="1866"/>
      <c r="X119" s="1866"/>
      <c r="Y119" s="1866"/>
      <c r="Z119" s="1866"/>
      <c r="AA119" s="1866"/>
      <c r="AB119" s="1866"/>
      <c r="AC119" s="1866"/>
    </row>
    <row r="120" spans="1:29" ht="14.4" thickBot="1">
      <c r="A120" s="637"/>
      <c r="B120" s="646"/>
      <c r="C120" s="660"/>
      <c r="D120" s="660"/>
      <c r="E120" s="660"/>
      <c r="F120" s="660"/>
      <c r="G120" s="639"/>
      <c r="H120" s="639"/>
      <c r="I120" s="639"/>
      <c r="J120" s="639"/>
      <c r="K120" s="639"/>
      <c r="L120" s="639"/>
      <c r="M120" s="640"/>
      <c r="N120" s="2970"/>
      <c r="O120" s="1886"/>
      <c r="P120" s="1885"/>
      <c r="Q120" s="1878"/>
      <c r="R120" s="1866"/>
      <c r="S120" s="1866"/>
      <c r="T120" s="1866"/>
      <c r="U120" s="1866"/>
      <c r="V120" s="1866"/>
      <c r="W120" s="1866"/>
      <c r="X120" s="1866"/>
      <c r="Y120" s="1866"/>
      <c r="Z120" s="1866"/>
      <c r="AA120" s="1866"/>
      <c r="AB120" s="1866"/>
      <c r="AC120" s="1866"/>
    </row>
    <row r="121" spans="1:29" s="1198" customFormat="1" ht="14.4" thickTop="1">
      <c r="A121" s="696"/>
      <c r="B121" s="641">
        <f>B42</f>
        <v>111</v>
      </c>
      <c r="C121" s="629"/>
      <c r="D121" s="629"/>
      <c r="E121" s="629"/>
      <c r="F121" s="629"/>
      <c r="G121" s="657"/>
      <c r="H121" s="657"/>
      <c r="I121" s="657"/>
      <c r="J121" s="657"/>
      <c r="K121" s="657"/>
      <c r="L121" s="658"/>
      <c r="M121" s="659"/>
      <c r="N121" s="2971"/>
      <c r="O121" s="1887"/>
      <c r="P121" s="1888"/>
      <c r="Q121" s="1889"/>
      <c r="R121" s="1890"/>
      <c r="S121" s="1890"/>
      <c r="T121" s="1890"/>
      <c r="U121" s="1890"/>
      <c r="V121" s="1890"/>
      <c r="W121" s="1890"/>
      <c r="X121" s="1890"/>
      <c r="Y121" s="1890"/>
      <c r="Z121" s="1890"/>
      <c r="AA121" s="1890"/>
      <c r="AB121" s="1890"/>
      <c r="AC121" s="1890"/>
    </row>
    <row r="122" spans="1:29" s="1198" customFormat="1" ht="14.4" thickBot="1">
      <c r="A122" s="666"/>
      <c r="B122" s="704"/>
      <c r="C122" s="668"/>
      <c r="D122" s="668"/>
      <c r="E122" s="668"/>
      <c r="F122" s="668"/>
      <c r="G122" s="694"/>
      <c r="H122" s="694"/>
      <c r="I122" s="694"/>
      <c r="J122" s="694"/>
      <c r="K122" s="694"/>
      <c r="L122" s="694"/>
      <c r="M122" s="695"/>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workbookViewId="0">
      <selection activeCell="F61" sqref="F61"/>
    </sheetView>
  </sheetViews>
  <sheetFormatPr defaultColWidth="9" defaultRowHeight="14.4"/>
  <cols>
    <col min="1" max="1" width="5.77734375" style="3696" customWidth="1"/>
    <col min="2" max="2" width="47" style="3696" customWidth="1"/>
    <col min="3" max="3" width="9" style="3696"/>
    <col min="4" max="4" width="11" style="3696" customWidth="1"/>
    <col min="5" max="5" width="11.77734375" style="3696" customWidth="1"/>
    <col min="6" max="6" width="14.109375" style="3696" customWidth="1"/>
    <col min="7" max="7" width="14.21875" style="3696" customWidth="1"/>
    <col min="8" max="8" width="12.77734375" style="3696" bestFit="1" customWidth="1"/>
    <col min="9" max="9" width="11.6640625" style="3696" bestFit="1" customWidth="1"/>
    <col min="10" max="11" width="10.44140625" style="3696" customWidth="1"/>
    <col min="12" max="16384" width="9" style="3688"/>
  </cols>
  <sheetData>
    <row r="1" spans="1:12" ht="14.25" customHeight="1">
      <c r="A1" s="3940" t="s">
        <v>3339</v>
      </c>
      <c r="B1" s="3940" t="s">
        <v>3340</v>
      </c>
      <c r="C1" s="3940" t="s">
        <v>3341</v>
      </c>
      <c r="D1" s="3942" t="s">
        <v>3342</v>
      </c>
      <c r="E1" s="3943"/>
      <c r="F1" s="3944" t="s">
        <v>3343</v>
      </c>
      <c r="G1" s="3945"/>
      <c r="H1" s="3946" t="s">
        <v>3344</v>
      </c>
      <c r="I1" s="3940" t="s">
        <v>3345</v>
      </c>
      <c r="J1" s="3942" t="s">
        <v>3346</v>
      </c>
      <c r="K1" s="3943"/>
      <c r="L1" s="3687"/>
    </row>
    <row r="2" spans="1:12" ht="69.75" customHeight="1">
      <c r="A2" s="3941"/>
      <c r="B2" s="3941"/>
      <c r="C2" s="3941"/>
      <c r="D2" s="3689" t="s">
        <v>3347</v>
      </c>
      <c r="E2" s="3689" t="s">
        <v>3348</v>
      </c>
      <c r="F2" s="3690" t="s">
        <v>3349</v>
      </c>
      <c r="G2" s="3690" t="s">
        <v>3350</v>
      </c>
      <c r="H2" s="3947"/>
      <c r="I2" s="3941"/>
      <c r="J2" s="3690" t="s">
        <v>3351</v>
      </c>
      <c r="K2" s="3690" t="s">
        <v>3352</v>
      </c>
      <c r="L2" s="3687"/>
    </row>
    <row r="3" spans="1:12">
      <c r="A3" s="3691">
        <v>1</v>
      </c>
      <c r="B3" s="3692" t="s">
        <v>3353</v>
      </c>
      <c r="C3" s="3691" t="s">
        <v>3354</v>
      </c>
      <c r="D3" s="3691">
        <v>180055.75</v>
      </c>
      <c r="E3" s="3691">
        <v>114154.36</v>
      </c>
      <c r="F3" s="3691">
        <v>59468.76</v>
      </c>
      <c r="G3" s="3691">
        <v>125573.86</v>
      </c>
      <c r="H3" s="3691">
        <v>45702.91</v>
      </c>
      <c r="I3" s="3693">
        <v>44435</v>
      </c>
      <c r="J3" s="3691">
        <f>ROUND((F3+G3)/D3*10000,0)</f>
        <v>10277</v>
      </c>
      <c r="K3" s="3691">
        <f>ROUND(J3*J20*J19*J18*J17*J16*J15*J14*J13,0)</f>
        <v>0</v>
      </c>
      <c r="L3" s="3687"/>
    </row>
    <row r="4" spans="1:12">
      <c r="A4" s="3691">
        <v>2</v>
      </c>
      <c r="B4" s="3692" t="s">
        <v>3355</v>
      </c>
      <c r="C4" s="3691" t="s">
        <v>3356</v>
      </c>
      <c r="D4" s="3691">
        <v>187577</v>
      </c>
      <c r="E4" s="3691">
        <v>158604</v>
      </c>
      <c r="F4" s="3691">
        <v>42423.81</v>
      </c>
      <c r="G4" s="3691">
        <v>124048.85</v>
      </c>
      <c r="H4" s="3691">
        <v>39104.71</v>
      </c>
      <c r="I4" s="3693">
        <v>44704</v>
      </c>
      <c r="J4" s="3691">
        <f t="shared" ref="J4:J6" si="0">ROUND((F4+G4)/D4*10000,0)</f>
        <v>8875</v>
      </c>
      <c r="K4" s="3691">
        <f>ROUND(J4*J17*J16*J15*J14*J13,0)</f>
        <v>0</v>
      </c>
      <c r="L4" s="3687"/>
    </row>
    <row r="5" spans="1:12">
      <c r="A5" s="3691">
        <v>3</v>
      </c>
      <c r="B5" s="3691" t="s">
        <v>3357</v>
      </c>
      <c r="C5" s="3691" t="s">
        <v>3356</v>
      </c>
      <c r="D5" s="3691">
        <v>485752.79</v>
      </c>
      <c r="E5" s="3692" t="s">
        <v>3358</v>
      </c>
      <c r="F5" s="3691">
        <v>76356.42</v>
      </c>
      <c r="G5" s="3691">
        <v>274068.84999999998</v>
      </c>
      <c r="H5" s="3691">
        <v>110586.31</v>
      </c>
      <c r="I5" s="3693">
        <v>43795</v>
      </c>
      <c r="J5" s="3691">
        <f t="shared" si="0"/>
        <v>7214</v>
      </c>
      <c r="K5" s="3691">
        <f>ROUND(J5*J27*J26*J25*J24*J23*J22*J21*J20*J19*J18*J17*J16*J15*J14*J13,0)</f>
        <v>0</v>
      </c>
      <c r="L5" s="3687"/>
    </row>
    <row r="6" spans="1:12">
      <c r="A6" s="3691">
        <v>4</v>
      </c>
      <c r="B6" s="3692" t="s">
        <v>3359</v>
      </c>
      <c r="C6" s="3691" t="s">
        <v>3354</v>
      </c>
      <c r="D6" s="3691">
        <v>156502.60800000001</v>
      </c>
      <c r="E6" s="3691">
        <v>97812.236999999994</v>
      </c>
      <c r="F6" s="3691">
        <v>5325.24</v>
      </c>
      <c r="G6" s="3691">
        <v>121777.87</v>
      </c>
      <c r="H6" s="3691">
        <v>3604.32</v>
      </c>
      <c r="I6" s="3693">
        <v>45062</v>
      </c>
      <c r="J6" s="3691">
        <f t="shared" si="0"/>
        <v>8121</v>
      </c>
      <c r="K6" s="3691">
        <f>ROUND(J6*J13,0)</f>
        <v>0</v>
      </c>
      <c r="L6" s="3687"/>
    </row>
    <row r="7" spans="1:12">
      <c r="A7" s="3694"/>
      <c r="B7" s="3694"/>
      <c r="C7" s="3694"/>
      <c r="D7" s="3694"/>
      <c r="E7" s="3694"/>
      <c r="F7" s="3694"/>
      <c r="G7" s="3694"/>
      <c r="H7" s="3694"/>
      <c r="I7" s="3694"/>
      <c r="J7" s="3694"/>
      <c r="K7" s="3694"/>
      <c r="L7" s="3687"/>
    </row>
    <row r="8" spans="1:12">
      <c r="A8" s="3694"/>
      <c r="B8" s="3694"/>
      <c r="C8" s="3694"/>
      <c r="D8" s="3694"/>
      <c r="E8" s="3694"/>
      <c r="F8" s="3694"/>
      <c r="G8" s="3694"/>
      <c r="H8" s="3694"/>
      <c r="I8" s="3694"/>
      <c r="J8" s="3694"/>
      <c r="K8" s="3694"/>
      <c r="L8" s="3687"/>
    </row>
    <row r="9" spans="1:12">
      <c r="A9" s="3694"/>
      <c r="B9" s="3694"/>
      <c r="C9" s="3694"/>
      <c r="D9" s="3694"/>
      <c r="E9" s="3694"/>
      <c r="F9" s="3694"/>
      <c r="G9" s="3694"/>
      <c r="H9" s="3694"/>
      <c r="I9" s="3694"/>
      <c r="J9" s="3694"/>
      <c r="K9" s="3694"/>
      <c r="L9" s="3687"/>
    </row>
    <row r="10" spans="1:12">
      <c r="A10" s="3694"/>
      <c r="B10" s="3694"/>
      <c r="C10" s="3694"/>
      <c r="D10" s="3694"/>
      <c r="E10" s="3694"/>
      <c r="F10" s="3694"/>
      <c r="G10" s="3694"/>
      <c r="H10" s="3694"/>
      <c r="I10" s="3694"/>
      <c r="J10" s="3694"/>
      <c r="K10" s="3694"/>
      <c r="L10" s="3687"/>
    </row>
    <row r="11" spans="1:12">
      <c r="A11" s="3694"/>
      <c r="B11" s="3694"/>
      <c r="C11" s="3694"/>
      <c r="D11" s="3694"/>
      <c r="E11" s="3694"/>
      <c r="F11" s="3694"/>
      <c r="G11" s="3694"/>
      <c r="H11" s="3695"/>
      <c r="I11" s="3695"/>
      <c r="J11" s="3695"/>
      <c r="K11" s="3694"/>
      <c r="L11" s="3687"/>
    </row>
    <row r="12" spans="1:12">
      <c r="A12" s="3694"/>
      <c r="B12" s="3694"/>
      <c r="C12" s="3694"/>
      <c r="D12" s="3694"/>
      <c r="E12" s="3694"/>
      <c r="F12" s="3694"/>
      <c r="G12" s="3694"/>
      <c r="H12" s="3694"/>
      <c r="I12" s="3694"/>
      <c r="J12" s="3694"/>
      <c r="K12" s="3694"/>
      <c r="L12" s="3687"/>
    </row>
    <row r="13" spans="1:12">
      <c r="A13" s="3694"/>
      <c r="B13" s="3694"/>
      <c r="C13" s="3694"/>
      <c r="D13" s="3694"/>
      <c r="E13" s="3694"/>
      <c r="F13" s="3694"/>
      <c r="G13" s="3694"/>
      <c r="H13" s="3694"/>
      <c r="I13" s="3694"/>
      <c r="J13" s="3694"/>
      <c r="K13" s="3694"/>
      <c r="L13" s="3687"/>
    </row>
    <row r="14" spans="1:12">
      <c r="A14" s="3694"/>
      <c r="B14" s="3694"/>
      <c r="C14" s="3694"/>
      <c r="D14" s="3694"/>
      <c r="E14" s="3694"/>
      <c r="F14" s="3694"/>
      <c r="G14" s="3694"/>
      <c r="H14" s="3694"/>
      <c r="I14" s="3694"/>
      <c r="J14" s="3694"/>
      <c r="K14" s="3694"/>
      <c r="L14" s="3687"/>
    </row>
    <row r="15" spans="1:12">
      <c r="A15" s="3694"/>
      <c r="B15" s="3694"/>
      <c r="C15" s="3694"/>
      <c r="D15" s="3694"/>
      <c r="E15" s="3694"/>
      <c r="F15" s="3694"/>
      <c r="G15" s="3694"/>
      <c r="H15" s="3694"/>
      <c r="I15" s="3694"/>
      <c r="J15" s="3694"/>
      <c r="K15" s="3694"/>
      <c r="L15" s="3687"/>
    </row>
    <row r="16" spans="1:12">
      <c r="A16" s="3694"/>
      <c r="B16" s="3694"/>
      <c r="C16" s="3694"/>
      <c r="D16" s="3694"/>
      <c r="E16" s="3694"/>
      <c r="F16" s="3694"/>
      <c r="G16" s="3694"/>
      <c r="H16" s="3694"/>
      <c r="I16" s="3694"/>
      <c r="J16" s="3694"/>
      <c r="K16" s="3694"/>
      <c r="L16" s="3687"/>
    </row>
    <row r="17" spans="1:12">
      <c r="A17" s="3694"/>
      <c r="B17" s="3694"/>
      <c r="C17" s="3694"/>
      <c r="D17" s="3694"/>
      <c r="E17" s="3694"/>
      <c r="F17" s="3694"/>
      <c r="G17" s="3694"/>
      <c r="H17" s="3694"/>
      <c r="I17" s="3694"/>
      <c r="J17" s="3694"/>
      <c r="K17" s="3694"/>
      <c r="L17" s="3687"/>
    </row>
    <row r="18" spans="1:12">
      <c r="A18" s="3694"/>
      <c r="B18" s="3694"/>
      <c r="C18" s="3694"/>
      <c r="D18" s="3694"/>
      <c r="E18" s="3694"/>
      <c r="F18" s="3694"/>
      <c r="G18" s="3694"/>
      <c r="H18" s="3694"/>
      <c r="I18" s="3694"/>
      <c r="J18" s="3694"/>
      <c r="K18" s="3694"/>
      <c r="L18" s="3687"/>
    </row>
    <row r="19" spans="1:12">
      <c r="A19" s="3694"/>
      <c r="B19" s="3694"/>
      <c r="C19" s="3694"/>
      <c r="D19" s="3694"/>
      <c r="E19" s="3694"/>
      <c r="F19" s="3694"/>
      <c r="G19" s="3694"/>
      <c r="H19" s="3694"/>
      <c r="I19" s="3694"/>
      <c r="J19" s="3694"/>
      <c r="K19" s="3694"/>
      <c r="L19" s="3687"/>
    </row>
    <row r="20" spans="1:12">
      <c r="A20" s="3694"/>
      <c r="B20" s="3694"/>
      <c r="C20" s="3694"/>
      <c r="D20" s="3694"/>
      <c r="E20" s="3694"/>
      <c r="F20" s="3694"/>
      <c r="G20" s="3694"/>
      <c r="H20" s="3694"/>
      <c r="I20" s="3694"/>
      <c r="J20" s="3694"/>
      <c r="K20" s="3694"/>
      <c r="L20" s="3687"/>
    </row>
    <row r="21" spans="1:12">
      <c r="A21" s="3694"/>
      <c r="B21" s="3694"/>
      <c r="C21" s="3694"/>
      <c r="D21" s="3694"/>
      <c r="E21" s="3694"/>
      <c r="F21" s="3694"/>
      <c r="G21" s="3694"/>
      <c r="H21" s="3694"/>
      <c r="I21" s="3694"/>
      <c r="J21" s="3694"/>
      <c r="K21" s="3694"/>
      <c r="L21" s="3687"/>
    </row>
    <row r="22" spans="1:12">
      <c r="A22" s="3694"/>
      <c r="B22" s="3694"/>
      <c r="C22" s="3694"/>
      <c r="D22" s="3694"/>
      <c r="E22" s="3694"/>
      <c r="F22" s="3694"/>
      <c r="G22" s="3694"/>
      <c r="H22" s="3694"/>
      <c r="I22" s="3694"/>
      <c r="J22" s="3694"/>
      <c r="K22" s="3694"/>
      <c r="L22" s="3687"/>
    </row>
    <row r="23" spans="1:12">
      <c r="A23" s="3694"/>
      <c r="B23" s="3694"/>
      <c r="C23" s="3694"/>
      <c r="D23" s="3694"/>
      <c r="E23" s="3694"/>
      <c r="F23" s="3694"/>
      <c r="G23" s="3694"/>
      <c r="H23" s="3694"/>
      <c r="I23" s="3694"/>
      <c r="J23" s="3694"/>
      <c r="K23" s="3694"/>
      <c r="L23" s="3687"/>
    </row>
    <row r="24" spans="1:12">
      <c r="A24" s="3694"/>
      <c r="B24" s="3694"/>
      <c r="C24" s="3694"/>
      <c r="D24" s="3694"/>
      <c r="E24" s="3694"/>
      <c r="F24" s="3694"/>
      <c r="G24" s="3694"/>
      <c r="H24" s="3694"/>
      <c r="I24" s="3694"/>
      <c r="J24" s="3694"/>
      <c r="K24" s="3694"/>
      <c r="L24" s="3687"/>
    </row>
    <row r="25" spans="1:12">
      <c r="A25" s="3694"/>
      <c r="B25" s="3694"/>
      <c r="C25" s="3694"/>
      <c r="D25" s="3694"/>
      <c r="E25" s="3694"/>
      <c r="F25" s="3694"/>
      <c r="G25" s="3694"/>
      <c r="H25" s="3694"/>
      <c r="I25" s="3694"/>
      <c r="J25" s="3694"/>
      <c r="K25" s="3694"/>
      <c r="L25" s="3687"/>
    </row>
    <row r="26" spans="1:12">
      <c r="A26" s="3694"/>
      <c r="B26" s="3694"/>
      <c r="C26" s="3694"/>
      <c r="D26" s="3694"/>
      <c r="E26" s="3694"/>
      <c r="F26" s="3694"/>
      <c r="G26" s="3694"/>
      <c r="H26" s="3694"/>
      <c r="I26" s="3694"/>
      <c r="J26" s="3694"/>
      <c r="K26" s="3694"/>
      <c r="L26" s="3687"/>
    </row>
    <row r="27" spans="1:12">
      <c r="A27" s="3694"/>
      <c r="B27" s="3694"/>
      <c r="C27" s="3694"/>
      <c r="D27" s="3694"/>
      <c r="E27" s="3694"/>
      <c r="F27" s="3694"/>
      <c r="G27" s="3694"/>
      <c r="H27" s="3694"/>
      <c r="I27" s="3694"/>
      <c r="J27" s="3694"/>
      <c r="K27" s="3694"/>
      <c r="L27" s="3687"/>
    </row>
    <row r="28" spans="1:12">
      <c r="A28" s="3694"/>
      <c r="B28" s="3694"/>
      <c r="C28" s="3694"/>
      <c r="D28" s="3694"/>
      <c r="E28" s="3694"/>
      <c r="F28" s="3694"/>
      <c r="G28" s="3694"/>
      <c r="H28" s="3694"/>
      <c r="I28" s="3694"/>
      <c r="J28" s="3694"/>
      <c r="K28" s="3694"/>
      <c r="L28" s="3687"/>
    </row>
    <row r="29" spans="1:12">
      <c r="A29" s="3694"/>
      <c r="B29" s="3694"/>
      <c r="C29" s="3694"/>
      <c r="D29" s="3694"/>
      <c r="E29" s="3694"/>
      <c r="F29" s="3694"/>
      <c r="G29" s="3694"/>
      <c r="H29" s="3694"/>
      <c r="I29" s="3694"/>
      <c r="J29" s="3694"/>
      <c r="K29" s="3694"/>
      <c r="L29" s="3687"/>
    </row>
    <row r="30" spans="1:12">
      <c r="A30" s="3694"/>
      <c r="B30" s="3694"/>
      <c r="C30" s="3694"/>
      <c r="D30" s="3694"/>
      <c r="E30" s="3694"/>
      <c r="F30" s="3694"/>
      <c r="G30" s="3694"/>
      <c r="H30" s="3694"/>
      <c r="I30" s="3694"/>
      <c r="J30" s="3694"/>
      <c r="K30" s="3694"/>
      <c r="L30" s="3687"/>
    </row>
    <row r="31" spans="1:12">
      <c r="A31" s="3694"/>
      <c r="B31" s="3694"/>
      <c r="C31" s="3694"/>
      <c r="D31" s="3694"/>
      <c r="E31" s="3694"/>
      <c r="F31" s="3694"/>
      <c r="G31" s="3694"/>
      <c r="H31" s="3694"/>
      <c r="I31" s="3694"/>
      <c r="J31" s="3694"/>
      <c r="K31" s="3694"/>
      <c r="L31" s="3687"/>
    </row>
    <row r="32" spans="1:12">
      <c r="H32" s="3694"/>
      <c r="I32" s="3694"/>
      <c r="J32" s="3694"/>
    </row>
    <row r="33" spans="8:10">
      <c r="H33" s="3694"/>
      <c r="I33" s="3694"/>
      <c r="J33" s="3694"/>
    </row>
    <row r="34" spans="8:10">
      <c r="H34" s="3694"/>
      <c r="I34" s="3694"/>
      <c r="J34" s="3694"/>
    </row>
    <row r="35" spans="8:10">
      <c r="H35" s="3694"/>
      <c r="I35" s="3694"/>
      <c r="J35" s="3694"/>
    </row>
    <row r="36" spans="8:10">
      <c r="H36" s="3694"/>
      <c r="I36" s="3694"/>
      <c r="J36" s="3694"/>
    </row>
    <row r="37" spans="8:10">
      <c r="H37" s="3694"/>
      <c r="I37" s="3694"/>
      <c r="J37" s="3694"/>
    </row>
    <row r="38" spans="8:10">
      <c r="H38" s="3694"/>
      <c r="I38" s="3694"/>
      <c r="J38" s="3694"/>
    </row>
    <row r="39" spans="8:10">
      <c r="H39" s="3694"/>
      <c r="I39" s="3694"/>
      <c r="J39" s="3694"/>
    </row>
    <row r="40" spans="8:10">
      <c r="H40" s="3694"/>
      <c r="I40" s="3694"/>
      <c r="J40" s="3694"/>
    </row>
    <row r="41" spans="8:10">
      <c r="H41" s="3694"/>
      <c r="I41" s="3694"/>
      <c r="J41" s="3694"/>
    </row>
    <row r="42" spans="8:10">
      <c r="H42" s="3694"/>
      <c r="I42" s="3694"/>
      <c r="J42" s="3694"/>
    </row>
    <row r="43" spans="8:10">
      <c r="H43" s="3694"/>
      <c r="I43" s="3694"/>
      <c r="J43" s="3694"/>
    </row>
    <row r="44" spans="8:10">
      <c r="H44" s="3694"/>
      <c r="I44" s="3694"/>
      <c r="J44" s="3694"/>
    </row>
    <row r="45" spans="8:10">
      <c r="H45" s="3694"/>
      <c r="I45" s="3694"/>
      <c r="J45" s="3694"/>
    </row>
    <row r="46" spans="8:10">
      <c r="H46" s="3694"/>
      <c r="I46" s="3694"/>
      <c r="J46" s="3694"/>
    </row>
    <row r="47" spans="8:10">
      <c r="H47" s="3694"/>
      <c r="I47" s="3694"/>
      <c r="J47" s="3694"/>
    </row>
    <row r="48" spans="8:10">
      <c r="H48" s="3694"/>
      <c r="I48" s="3694"/>
      <c r="J48" s="3694"/>
    </row>
    <row r="49" spans="8:10">
      <c r="H49" s="3694"/>
      <c r="I49" s="3694"/>
      <c r="J49" s="3694"/>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C12" activePane="bottomRight" state="frozen"/>
      <selection pane="topRight" activeCell="C1" sqref="C1"/>
      <selection pane="bottomLeft" activeCell="A3" sqref="A3"/>
      <selection pane="bottomRight" activeCell="J13" sqref="J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4047" customFormat="1" ht="52.95" customHeight="1">
      <c r="A1" s="4038" t="s">
        <v>3388</v>
      </c>
      <c r="B1" s="4038" t="s">
        <v>3389</v>
      </c>
      <c r="C1" s="4038" t="s">
        <v>1729</v>
      </c>
      <c r="D1" s="4039" t="s">
        <v>3390</v>
      </c>
      <c r="E1" s="4039" t="s">
        <v>3391</v>
      </c>
      <c r="F1" s="4040" t="s">
        <v>3392</v>
      </c>
      <c r="G1" s="4038" t="s">
        <v>3393</v>
      </c>
      <c r="H1" s="4038" t="s">
        <v>3394</v>
      </c>
      <c r="I1" s="4038" t="s">
        <v>3395</v>
      </c>
      <c r="J1" s="4038" t="s">
        <v>3396</v>
      </c>
      <c r="K1" s="4041" t="s">
        <v>3397</v>
      </c>
      <c r="L1" s="4041"/>
      <c r="M1" s="4041" t="s">
        <v>3398</v>
      </c>
      <c r="N1" s="4041" t="s">
        <v>3399</v>
      </c>
      <c r="O1" s="4038" t="s">
        <v>3400</v>
      </c>
      <c r="P1" s="4038" t="s">
        <v>3401</v>
      </c>
      <c r="Q1" s="4038" t="s">
        <v>3402</v>
      </c>
      <c r="R1" s="4040" t="s">
        <v>3403</v>
      </c>
      <c r="S1" s="4038" t="s">
        <v>3404</v>
      </c>
      <c r="T1" s="4038" t="s">
        <v>3405</v>
      </c>
      <c r="U1" s="4042" t="s">
        <v>3406</v>
      </c>
      <c r="V1" s="4038" t="s">
        <v>3407</v>
      </c>
      <c r="W1" s="4038"/>
      <c r="X1" s="4038"/>
      <c r="Y1" s="4042" t="s">
        <v>3408</v>
      </c>
      <c r="Z1" s="4043" t="s">
        <v>3409</v>
      </c>
      <c r="AA1" s="4044" t="s">
        <v>3410</v>
      </c>
      <c r="AB1" s="4044" t="s">
        <v>3411</v>
      </c>
      <c r="AC1" s="4044" t="s">
        <v>3412</v>
      </c>
      <c r="AD1" s="4044" t="s">
        <v>3413</v>
      </c>
      <c r="AE1" s="4044" t="s">
        <v>3414</v>
      </c>
      <c r="AF1" s="4044" t="s">
        <v>3415</v>
      </c>
      <c r="AG1" s="4044" t="s">
        <v>3416</v>
      </c>
      <c r="AH1" s="4045" t="s">
        <v>3417</v>
      </c>
      <c r="AI1" s="4046" t="s">
        <v>3418</v>
      </c>
      <c r="AJ1" s="4046"/>
      <c r="AK1" s="4046"/>
      <c r="AL1" s="4046"/>
      <c r="AM1" s="4046"/>
      <c r="AN1" s="4046"/>
      <c r="AO1" s="4046"/>
      <c r="AP1" s="4046"/>
      <c r="AQ1" s="4046"/>
      <c r="AR1" s="4046"/>
      <c r="AS1" s="4046"/>
      <c r="AT1" s="4046"/>
      <c r="AU1" s="4046"/>
      <c r="AV1" s="4046"/>
      <c r="AW1" s="4046"/>
      <c r="AX1" s="4044" t="s">
        <v>3419</v>
      </c>
      <c r="AY1" s="4046" t="s">
        <v>3416</v>
      </c>
      <c r="AZ1" s="4046"/>
    </row>
    <row r="2" spans="1:16380" s="4047" customFormat="1" ht="52.95" customHeight="1">
      <c r="A2" s="4038"/>
      <c r="B2" s="4038"/>
      <c r="C2" s="4038"/>
      <c r="D2" s="4039"/>
      <c r="E2" s="4039"/>
      <c r="F2" s="4040"/>
      <c r="G2" s="4038"/>
      <c r="H2" s="4038"/>
      <c r="I2" s="4038"/>
      <c r="J2" s="4038"/>
      <c r="K2" s="4048" t="s">
        <v>3420</v>
      </c>
      <c r="L2" s="4048" t="s">
        <v>3421</v>
      </c>
      <c r="M2" s="4041"/>
      <c r="N2" s="4041"/>
      <c r="O2" s="4038"/>
      <c r="P2" s="4038"/>
      <c r="Q2" s="4038"/>
      <c r="R2" s="4040"/>
      <c r="S2" s="4038"/>
      <c r="T2" s="4038"/>
      <c r="U2" s="4042"/>
      <c r="V2" s="4049" t="s">
        <v>3422</v>
      </c>
      <c r="W2" s="4049" t="s">
        <v>3423</v>
      </c>
      <c r="X2" s="4049" t="s">
        <v>3424</v>
      </c>
      <c r="Y2" s="4042"/>
      <c r="Z2" s="4043"/>
      <c r="AA2" s="4044"/>
      <c r="AB2" s="4044"/>
      <c r="AC2" s="4044"/>
      <c r="AD2" s="4044"/>
      <c r="AE2" s="4044"/>
      <c r="AF2" s="4044"/>
      <c r="AG2" s="4044"/>
      <c r="AH2" s="4050"/>
      <c r="AI2" s="4051" t="s">
        <v>3425</v>
      </c>
      <c r="AJ2" s="4051" t="s">
        <v>3426</v>
      </c>
      <c r="AK2" s="4052" t="s">
        <v>3427</v>
      </c>
      <c r="AL2" s="4053" t="s">
        <v>3428</v>
      </c>
      <c r="AM2" s="4054" t="s">
        <v>3429</v>
      </c>
      <c r="AN2" s="4054" t="s">
        <v>3430</v>
      </c>
      <c r="AO2" s="4054" t="s">
        <v>3431</v>
      </c>
      <c r="AP2" s="4054" t="s">
        <v>3432</v>
      </c>
      <c r="AQ2" s="4054" t="s">
        <v>3433</v>
      </c>
      <c r="AR2" s="4054" t="s">
        <v>3434</v>
      </c>
      <c r="AS2" s="4054" t="s">
        <v>3435</v>
      </c>
      <c r="AT2" s="4054" t="s">
        <v>3436</v>
      </c>
      <c r="AU2" s="4054" t="s">
        <v>3437</v>
      </c>
      <c r="AV2" s="4054" t="s">
        <v>3438</v>
      </c>
      <c r="AW2" s="4054" t="s">
        <v>3439</v>
      </c>
      <c r="AX2" s="4044"/>
      <c r="AY2" s="4055" t="s">
        <v>3440</v>
      </c>
      <c r="AZ2" s="4055" t="s">
        <v>3441</v>
      </c>
    </row>
    <row r="3" spans="1:16380" s="4074" customFormat="1" ht="118.05" customHeight="1">
      <c r="A3" s="4056">
        <v>2022</v>
      </c>
      <c r="B3" s="4057">
        <v>1</v>
      </c>
      <c r="C3" s="4058">
        <v>1</v>
      </c>
      <c r="D3" s="4059" t="s">
        <v>3442</v>
      </c>
      <c r="E3" s="4059" t="s">
        <v>3443</v>
      </c>
      <c r="F3" s="4060" t="s">
        <v>3444</v>
      </c>
      <c r="G3" s="4060" t="s">
        <v>3445</v>
      </c>
      <c r="H3" s="4060" t="s">
        <v>3446</v>
      </c>
      <c r="I3" s="4061" t="s">
        <v>3447</v>
      </c>
      <c r="J3" s="4062" t="s">
        <v>3448</v>
      </c>
      <c r="K3" s="4059">
        <v>6.39</v>
      </c>
      <c r="L3" s="4059">
        <v>6.39</v>
      </c>
      <c r="M3" s="4063">
        <v>20.63</v>
      </c>
      <c r="N3" s="4059">
        <v>601170.94999999995</v>
      </c>
      <c r="O3" s="4064" t="s">
        <v>3449</v>
      </c>
      <c r="P3" s="4065" t="s">
        <v>3450</v>
      </c>
      <c r="Q3" s="4049">
        <v>112000</v>
      </c>
      <c r="R3" s="4066">
        <v>49525</v>
      </c>
      <c r="S3" s="4067" t="s">
        <v>3451</v>
      </c>
      <c r="T3" s="4068" t="s">
        <v>3452</v>
      </c>
      <c r="U3" s="4069">
        <v>10000</v>
      </c>
      <c r="V3" s="4055">
        <v>52475</v>
      </c>
      <c r="W3" s="4070">
        <v>0.53147321428571437</v>
      </c>
      <c r="X3" s="2354" t="s">
        <v>3453</v>
      </c>
      <c r="Y3" s="4066">
        <v>40000</v>
      </c>
      <c r="Z3" s="4066">
        <v>59525</v>
      </c>
      <c r="AA3" s="4071">
        <v>284698.5</v>
      </c>
      <c r="AB3" s="4071"/>
      <c r="AC3" s="4071">
        <v>86472.45</v>
      </c>
      <c r="AD3" s="4071">
        <v>230000</v>
      </c>
      <c r="AE3" s="4072"/>
      <c r="AF3" s="4071">
        <v>0</v>
      </c>
      <c r="AG3" s="4071"/>
      <c r="AH3" s="4060" t="s">
        <v>3546</v>
      </c>
      <c r="AI3" s="4071">
        <v>93</v>
      </c>
      <c r="AJ3" s="4071">
        <v>50.57</v>
      </c>
      <c r="AK3" s="4071">
        <v>128.13</v>
      </c>
      <c r="AL3" s="4071">
        <v>1116126.22</v>
      </c>
      <c r="AM3" s="4071">
        <v>7385.22</v>
      </c>
      <c r="AN3" s="4071">
        <v>132946.32</v>
      </c>
      <c r="AO3" s="4071">
        <v>619243.69999999995</v>
      </c>
      <c r="AP3" s="4071">
        <v>37485</v>
      </c>
      <c r="AQ3" s="4071">
        <v>4201.2</v>
      </c>
      <c r="AR3" s="4071">
        <v>175376.94</v>
      </c>
      <c r="AS3" s="4071">
        <v>60794.6</v>
      </c>
      <c r="AT3" s="4071">
        <v>11622.5</v>
      </c>
      <c r="AU3" s="4071">
        <v>661.13</v>
      </c>
      <c r="AV3" s="4071">
        <v>348.81</v>
      </c>
      <c r="AW3" s="4071">
        <v>66060.800000000003</v>
      </c>
      <c r="AX3" s="4073" t="s">
        <v>3454</v>
      </c>
      <c r="AY3" s="4056"/>
      <c r="AZ3" s="4056"/>
      <c r="BB3" s="4074">
        <f>ROUND((AN3+AO3)/AI3,0)</f>
        <v>8088</v>
      </c>
    </row>
    <row r="4" spans="1:16380" s="4082" customFormat="1" ht="118.05" customHeight="1">
      <c r="A4" s="4056">
        <v>2022</v>
      </c>
      <c r="B4" s="4057">
        <v>2</v>
      </c>
      <c r="C4" s="4058">
        <v>1</v>
      </c>
      <c r="D4" s="4059" t="s">
        <v>3442</v>
      </c>
      <c r="E4" s="4059" t="s">
        <v>3443</v>
      </c>
      <c r="F4" s="4059" t="s">
        <v>3455</v>
      </c>
      <c r="G4" s="4059" t="s">
        <v>3456</v>
      </c>
      <c r="H4" s="4059" t="s">
        <v>3446</v>
      </c>
      <c r="I4" s="4059" t="s">
        <v>3457</v>
      </c>
      <c r="J4" s="4062" t="s">
        <v>3458</v>
      </c>
      <c r="K4" s="4059">
        <v>3.97</v>
      </c>
      <c r="L4" s="4059">
        <v>3.97</v>
      </c>
      <c r="M4" s="4075">
        <v>6.33</v>
      </c>
      <c r="N4" s="4075">
        <v>192869.86</v>
      </c>
      <c r="O4" s="4076" t="s">
        <v>3459</v>
      </c>
      <c r="P4" s="4065" t="s">
        <v>3460</v>
      </c>
      <c r="Q4" s="4077">
        <v>75000</v>
      </c>
      <c r="R4" s="4077">
        <v>32250</v>
      </c>
      <c r="S4" s="4078" t="s">
        <v>3461</v>
      </c>
      <c r="T4" s="4068" t="s">
        <v>3462</v>
      </c>
      <c r="U4" s="4069">
        <v>7000</v>
      </c>
      <c r="V4" s="4055">
        <v>35750</v>
      </c>
      <c r="W4" s="4070">
        <v>0.52333333333333332</v>
      </c>
      <c r="X4" s="2354" t="s">
        <v>3453</v>
      </c>
      <c r="Y4" s="4066">
        <v>28000</v>
      </c>
      <c r="Z4" s="4066">
        <v>39250</v>
      </c>
      <c r="AA4" s="4079">
        <v>58169.86</v>
      </c>
      <c r="AB4" s="4079"/>
      <c r="AC4" s="4079"/>
      <c r="AD4" s="4079"/>
      <c r="AE4" s="4079"/>
      <c r="AF4" s="4079">
        <v>134700</v>
      </c>
      <c r="AG4" s="4079"/>
      <c r="AH4" s="4059" t="s">
        <v>3463</v>
      </c>
      <c r="AI4" s="4080">
        <v>73.989999999999995</v>
      </c>
      <c r="AJ4" s="4080">
        <v>20.41</v>
      </c>
      <c r="AK4" s="4080">
        <v>53.42</v>
      </c>
      <c r="AL4" s="4071">
        <v>517189.9800000001</v>
      </c>
      <c r="AM4" s="4080">
        <v>4503.1000000000004</v>
      </c>
      <c r="AN4" s="4080">
        <v>57435.3</v>
      </c>
      <c r="AO4" s="4080">
        <v>311629.83</v>
      </c>
      <c r="AP4" s="4080">
        <v>1724.59</v>
      </c>
      <c r="AQ4" s="4080">
        <v>4669.34</v>
      </c>
      <c r="AR4" s="4080">
        <v>102952.22</v>
      </c>
      <c r="AS4" s="4080">
        <v>29571.19</v>
      </c>
      <c r="AT4" s="4080">
        <v>4314.41</v>
      </c>
      <c r="AU4" s="4080">
        <v>390</v>
      </c>
      <c r="AV4" s="4080"/>
      <c r="AW4" s="4080"/>
      <c r="AX4" s="4081"/>
      <c r="AY4" s="4080"/>
      <c r="AZ4" s="4080"/>
      <c r="BB4" s="4074">
        <f t="shared" ref="BB4:BB13" si="0">ROUND((AN4+AO4)/AI4,0)</f>
        <v>4988</v>
      </c>
    </row>
    <row r="5" spans="1:16380" s="4088" customFormat="1" ht="118.05" customHeight="1">
      <c r="A5" s="4056">
        <v>2022</v>
      </c>
      <c r="B5" s="4057">
        <v>4</v>
      </c>
      <c r="C5" s="4058">
        <v>1</v>
      </c>
      <c r="D5" s="4059" t="s">
        <v>3442</v>
      </c>
      <c r="E5" s="4059" t="s">
        <v>3443</v>
      </c>
      <c r="F5" s="4059" t="s">
        <v>3464</v>
      </c>
      <c r="G5" s="4059" t="s">
        <v>3465</v>
      </c>
      <c r="H5" s="4059" t="s">
        <v>3446</v>
      </c>
      <c r="I5" s="4059" t="s">
        <v>3466</v>
      </c>
      <c r="J5" s="4083" t="s">
        <v>3467</v>
      </c>
      <c r="K5" s="4059">
        <v>9.06</v>
      </c>
      <c r="L5" s="4059">
        <v>9.06</v>
      </c>
      <c r="M5" s="4075">
        <v>19.690000000000001</v>
      </c>
      <c r="N5" s="4075">
        <v>619848.4</v>
      </c>
      <c r="O5" s="4076" t="s">
        <v>3468</v>
      </c>
      <c r="P5" s="4065" t="s">
        <v>3469</v>
      </c>
      <c r="Q5" s="4077"/>
      <c r="R5" s="4084" t="s">
        <v>3470</v>
      </c>
      <c r="S5" s="4085" t="s">
        <v>3471</v>
      </c>
      <c r="T5" s="4086" t="s">
        <v>3472</v>
      </c>
      <c r="U5" s="4049"/>
      <c r="V5" s="4055"/>
      <c r="W5" s="4070"/>
      <c r="X5" s="4073"/>
      <c r="Y5" s="4066" t="s">
        <v>3473</v>
      </c>
      <c r="Z5" s="4066" t="s">
        <v>3474</v>
      </c>
      <c r="AA5" s="4071">
        <v>431224.8</v>
      </c>
      <c r="AB5" s="4071">
        <v>188623.6</v>
      </c>
      <c r="AC5" s="4071"/>
      <c r="AD5" s="4071"/>
      <c r="AE5" s="4071"/>
      <c r="AF5" s="4071"/>
      <c r="AG5" s="4071"/>
      <c r="AH5" s="4059" t="s">
        <v>3475</v>
      </c>
      <c r="AI5" s="4071">
        <v>248.02</v>
      </c>
      <c r="AJ5" s="4071">
        <v>135.5</v>
      </c>
      <c r="AK5" s="4071">
        <v>207.86</v>
      </c>
      <c r="AL5" s="4071">
        <v>2141735.4299999997</v>
      </c>
      <c r="AM5" s="4071">
        <v>9981.18</v>
      </c>
      <c r="AN5" s="4071">
        <v>254796.04</v>
      </c>
      <c r="AO5" s="4071">
        <v>1336182</v>
      </c>
      <c r="AP5" s="4071">
        <v>10004.5</v>
      </c>
      <c r="AQ5" s="4071">
        <v>9410.23</v>
      </c>
      <c r="AR5" s="4071">
        <v>329931.39</v>
      </c>
      <c r="AS5" s="4071">
        <v>129629.91</v>
      </c>
      <c r="AT5" s="4071">
        <v>60281.440000000002</v>
      </c>
      <c r="AU5" s="4071">
        <v>1070.69</v>
      </c>
      <c r="AV5" s="4071">
        <v>448.05</v>
      </c>
      <c r="AW5" s="4071"/>
      <c r="AX5" s="4087"/>
      <c r="AY5" s="4071"/>
      <c r="AZ5" s="4071"/>
      <c r="BB5" s="4074">
        <f t="shared" si="0"/>
        <v>6415</v>
      </c>
      <c r="XEQ5" s="4082"/>
      <c r="XER5" s="4082"/>
      <c r="XES5" s="4082"/>
      <c r="XET5" s="4082"/>
      <c r="XEU5" s="4082"/>
      <c r="XEV5" s="4082"/>
      <c r="XEW5" s="4082"/>
      <c r="XEX5" s="4082"/>
      <c r="XEY5" s="4082"/>
      <c r="XEZ5" s="4082"/>
    </row>
    <row r="6" spans="1:16380" s="4088" customFormat="1" ht="118.05" customHeight="1">
      <c r="A6" s="4056">
        <v>2022</v>
      </c>
      <c r="B6" s="4057">
        <v>4</v>
      </c>
      <c r="C6" s="4058">
        <v>2</v>
      </c>
      <c r="D6" s="4059" t="s">
        <v>3442</v>
      </c>
      <c r="E6" s="4059" t="s">
        <v>3443</v>
      </c>
      <c r="F6" s="4059" t="s">
        <v>3476</v>
      </c>
      <c r="G6" s="4059" t="s">
        <v>3477</v>
      </c>
      <c r="H6" s="4059" t="s">
        <v>3446</v>
      </c>
      <c r="I6" s="4059" t="s">
        <v>3478</v>
      </c>
      <c r="J6" s="4083" t="s">
        <v>3479</v>
      </c>
      <c r="K6" s="4059">
        <v>2.2200000000000002</v>
      </c>
      <c r="L6" s="4059">
        <v>2.2200000000000002</v>
      </c>
      <c r="M6" s="4075">
        <v>5.55</v>
      </c>
      <c r="N6" s="4075">
        <v>286000</v>
      </c>
      <c r="O6" s="4076" t="s">
        <v>3480</v>
      </c>
      <c r="P6" s="4065" t="s">
        <v>3481</v>
      </c>
      <c r="Q6" s="4077"/>
      <c r="R6" s="4084">
        <v>51532</v>
      </c>
      <c r="S6" s="4085" t="s">
        <v>3482</v>
      </c>
      <c r="T6" s="4086" t="s">
        <v>3483</v>
      </c>
      <c r="U6" s="4049"/>
      <c r="V6" s="4055"/>
      <c r="W6" s="4070"/>
      <c r="X6" s="4073"/>
      <c r="Y6" s="4066">
        <v>33558</v>
      </c>
      <c r="Z6" s="4066">
        <v>51532</v>
      </c>
      <c r="AA6" s="4071">
        <v>0</v>
      </c>
      <c r="AB6" s="4071">
        <v>0</v>
      </c>
      <c r="AC6" s="4071">
        <v>0</v>
      </c>
      <c r="AD6" s="4071">
        <v>0</v>
      </c>
      <c r="AE6" s="4071">
        <v>0</v>
      </c>
      <c r="AF6" s="4071">
        <v>286000</v>
      </c>
      <c r="AG6" s="4071"/>
      <c r="AH6" s="4059" t="s">
        <v>3484</v>
      </c>
      <c r="AI6" s="4071">
        <v>41.58</v>
      </c>
      <c r="AJ6" s="4071">
        <v>21.57</v>
      </c>
      <c r="AK6" s="4071">
        <v>58.94</v>
      </c>
      <c r="AL6" s="4071">
        <v>571680.00167323742</v>
      </c>
      <c r="AM6" s="4071">
        <v>2047.482</v>
      </c>
      <c r="AN6" s="4071">
        <v>13821.642</v>
      </c>
      <c r="AO6" s="4071">
        <v>407542.37706000003</v>
      </c>
      <c r="AP6" s="4071">
        <v>1078.71</v>
      </c>
      <c r="AQ6" s="4071">
        <v>13440.14</v>
      </c>
      <c r="AR6" s="4071">
        <v>98269.605339005095</v>
      </c>
      <c r="AS6" s="4071">
        <v>35034.428084799998</v>
      </c>
      <c r="AT6" s="4071">
        <v>0</v>
      </c>
      <c r="AU6" s="4071">
        <v>315.617189432283</v>
      </c>
      <c r="AV6" s="4071">
        <v>130</v>
      </c>
      <c r="AW6" s="4071">
        <v>0</v>
      </c>
      <c r="AX6" s="4087"/>
      <c r="AY6" s="4071"/>
      <c r="AZ6" s="4071"/>
      <c r="BB6" s="4074">
        <f t="shared" si="0"/>
        <v>10134</v>
      </c>
      <c r="XEQ6" s="4082"/>
      <c r="XER6" s="4082"/>
      <c r="XES6" s="4082"/>
      <c r="XET6" s="4082"/>
      <c r="XEU6" s="4082"/>
      <c r="XEV6" s="4082"/>
      <c r="XEW6" s="4082"/>
      <c r="XEX6" s="4082"/>
      <c r="XEY6" s="4082"/>
      <c r="XEZ6" s="4082"/>
    </row>
    <row r="7" spans="1:16380" s="4088" customFormat="1" ht="118.05" customHeight="1">
      <c r="A7" s="4056">
        <v>2022</v>
      </c>
      <c r="B7" s="4057">
        <v>5</v>
      </c>
      <c r="C7" s="4058">
        <v>1</v>
      </c>
      <c r="D7" s="4059" t="s">
        <v>3442</v>
      </c>
      <c r="E7" s="4059" t="s">
        <v>3443</v>
      </c>
      <c r="F7" s="4059" t="s">
        <v>3485</v>
      </c>
      <c r="G7" s="4059" t="s">
        <v>3486</v>
      </c>
      <c r="H7" s="4059" t="s">
        <v>3446</v>
      </c>
      <c r="I7" s="4059" t="s">
        <v>3487</v>
      </c>
      <c r="J7" s="4083" t="s">
        <v>3488</v>
      </c>
      <c r="K7" s="4059">
        <v>25.36</v>
      </c>
      <c r="L7" s="4059">
        <v>14.27</v>
      </c>
      <c r="M7" s="4075">
        <v>15.49</v>
      </c>
      <c r="N7" s="4075">
        <v>270087.59999999998</v>
      </c>
      <c r="O7" s="4076" t="s">
        <v>3489</v>
      </c>
      <c r="P7" s="4065" t="s">
        <v>3469</v>
      </c>
      <c r="Q7" s="4077" t="s">
        <v>3490</v>
      </c>
      <c r="R7" s="4084">
        <v>21318</v>
      </c>
      <c r="S7" s="4085" t="s">
        <v>3491</v>
      </c>
      <c r="T7" s="4086" t="s">
        <v>3492</v>
      </c>
      <c r="U7" s="4049">
        <v>4000</v>
      </c>
      <c r="V7" s="4055">
        <v>21222</v>
      </c>
      <c r="W7" s="4070">
        <v>0.54846808510638301</v>
      </c>
      <c r="X7" s="4073" t="s">
        <v>3493</v>
      </c>
      <c r="Y7" s="4066">
        <v>16000</v>
      </c>
      <c r="Z7" s="4066">
        <v>25318</v>
      </c>
      <c r="AA7" s="4071">
        <v>270087.59999999998</v>
      </c>
      <c r="AB7" s="4071" t="s">
        <v>3494</v>
      </c>
      <c r="AC7" s="4071" t="s">
        <v>3494</v>
      </c>
      <c r="AD7" s="4071" t="s">
        <v>3494</v>
      </c>
      <c r="AE7" s="4071" t="s">
        <v>3494</v>
      </c>
      <c r="AF7" s="4071" t="s">
        <v>3494</v>
      </c>
      <c r="AG7" s="4071"/>
      <c r="AH7" s="4059" t="s">
        <v>3495</v>
      </c>
      <c r="AI7" s="4071">
        <v>147.41</v>
      </c>
      <c r="AJ7" s="4071">
        <v>78.92</v>
      </c>
      <c r="AK7" s="4071">
        <v>99.79</v>
      </c>
      <c r="AL7" s="4071">
        <v>812619.01</v>
      </c>
      <c r="AM7" s="4071">
        <v>6621.34</v>
      </c>
      <c r="AN7" s="4071">
        <v>153448.47</v>
      </c>
      <c r="AO7" s="4071">
        <v>445653.63</v>
      </c>
      <c r="AP7" s="4071">
        <v>16246.46</v>
      </c>
      <c r="AQ7" s="4071">
        <v>8164.76</v>
      </c>
      <c r="AR7" s="4071">
        <v>121143.24</v>
      </c>
      <c r="AS7" s="4071">
        <v>50410.77</v>
      </c>
      <c r="AT7" s="4071">
        <v>9308.6200000000008</v>
      </c>
      <c r="AU7" s="4071">
        <v>1300.5999999999999</v>
      </c>
      <c r="AV7" s="4071">
        <v>321.12</v>
      </c>
      <c r="AW7" s="4071">
        <v>0</v>
      </c>
      <c r="AX7" s="4087"/>
      <c r="AY7" s="4071"/>
      <c r="AZ7" s="4071"/>
      <c r="BB7" s="4074">
        <f t="shared" si="0"/>
        <v>4064</v>
      </c>
      <c r="XEQ7" s="4082"/>
      <c r="XER7" s="4082"/>
      <c r="XES7" s="4082"/>
      <c r="XET7" s="4082"/>
      <c r="XEU7" s="4082"/>
      <c r="XEV7" s="4082"/>
      <c r="XEW7" s="4082"/>
      <c r="XEX7" s="4082"/>
      <c r="XEY7" s="4082"/>
      <c r="XEZ7" s="4082"/>
    </row>
    <row r="8" spans="1:16380" s="4088" customFormat="1" ht="118.05" customHeight="1">
      <c r="A8" s="4056">
        <v>2022</v>
      </c>
      <c r="B8" s="4057">
        <v>6</v>
      </c>
      <c r="C8" s="4058">
        <v>1</v>
      </c>
      <c r="D8" s="4059" t="s">
        <v>3442</v>
      </c>
      <c r="E8" s="4059" t="s">
        <v>3443</v>
      </c>
      <c r="F8" s="4059" t="s">
        <v>3496</v>
      </c>
      <c r="G8" s="4059" t="s">
        <v>3497</v>
      </c>
      <c r="H8" s="4059" t="s">
        <v>3446</v>
      </c>
      <c r="I8" s="4059" t="s">
        <v>3498</v>
      </c>
      <c r="J8" s="4083" t="s">
        <v>3499</v>
      </c>
      <c r="K8" s="4059">
        <v>3.91</v>
      </c>
      <c r="L8" s="4059">
        <v>3.91</v>
      </c>
      <c r="M8" s="4075">
        <v>15.64</v>
      </c>
      <c r="N8" s="4075">
        <v>180567.4</v>
      </c>
      <c r="O8" s="4076" t="s">
        <v>3500</v>
      </c>
      <c r="P8" s="4065" t="s">
        <v>3469</v>
      </c>
      <c r="Q8" s="4077" t="s">
        <v>3501</v>
      </c>
      <c r="R8" s="4084">
        <v>11545</v>
      </c>
      <c r="S8" s="4085" t="s">
        <v>3502</v>
      </c>
      <c r="T8" s="4086" t="s">
        <v>3503</v>
      </c>
      <c r="U8" s="4049">
        <v>4125</v>
      </c>
      <c r="V8" s="4055" t="s">
        <v>3501</v>
      </c>
      <c r="W8" s="4070" t="s">
        <v>3501</v>
      </c>
      <c r="X8" s="4073" t="s">
        <v>3501</v>
      </c>
      <c r="Y8" s="4066">
        <v>16500</v>
      </c>
      <c r="Z8" s="4066">
        <v>15670</v>
      </c>
      <c r="AA8" s="4071">
        <v>138479.69</v>
      </c>
      <c r="AB8" s="4071">
        <v>42087.709999999992</v>
      </c>
      <c r="AC8" s="4071" t="s">
        <v>3494</v>
      </c>
      <c r="AD8" s="4071" t="s">
        <v>3494</v>
      </c>
      <c r="AE8" s="4071" t="s">
        <v>3494</v>
      </c>
      <c r="AF8" s="4071" t="s">
        <v>3494</v>
      </c>
      <c r="AG8" s="4071"/>
      <c r="AH8" s="4059" t="s">
        <v>3504</v>
      </c>
      <c r="AI8" s="4071">
        <v>108</v>
      </c>
      <c r="AJ8" s="4071">
        <v>71</v>
      </c>
      <c r="AK8" s="4071">
        <v>184</v>
      </c>
      <c r="AL8" s="4071">
        <v>1088753.04</v>
      </c>
      <c r="AM8" s="4071">
        <v>3708.67</v>
      </c>
      <c r="AN8" s="4071">
        <v>184597.92</v>
      </c>
      <c r="AO8" s="4071">
        <v>450250.58</v>
      </c>
      <c r="AP8" s="4071">
        <v>39208.92</v>
      </c>
      <c r="AQ8" s="4071">
        <v>7545.53</v>
      </c>
      <c r="AR8" s="4071">
        <v>314928.34999999998</v>
      </c>
      <c r="AS8" s="4071">
        <v>53952.4</v>
      </c>
      <c r="AT8" s="4071">
        <v>33334.519999999997</v>
      </c>
      <c r="AU8" s="4071">
        <v>804.88</v>
      </c>
      <c r="AV8" s="4071">
        <v>421.27</v>
      </c>
      <c r="AW8" s="4071">
        <v>0</v>
      </c>
      <c r="AX8" s="4087"/>
      <c r="AY8" s="4071"/>
      <c r="AZ8" s="4071"/>
      <c r="BB8" s="4074">
        <f t="shared" si="0"/>
        <v>5878</v>
      </c>
      <c r="XEQ8" s="4082"/>
      <c r="XER8" s="4082"/>
      <c r="XES8" s="4082"/>
      <c r="XET8" s="4082"/>
      <c r="XEU8" s="4082"/>
      <c r="XEV8" s="4082"/>
      <c r="XEW8" s="4082"/>
      <c r="XEX8" s="4082"/>
      <c r="XEY8" s="4082"/>
      <c r="XEZ8" s="4082"/>
    </row>
    <row r="9" spans="1:16380" s="4088" customFormat="1" ht="118.05" customHeight="1">
      <c r="A9" s="4056">
        <v>2022</v>
      </c>
      <c r="B9" s="4057">
        <v>7</v>
      </c>
      <c r="C9" s="4058">
        <v>2</v>
      </c>
      <c r="D9" s="4059" t="s">
        <v>3442</v>
      </c>
      <c r="E9" s="4059" t="s">
        <v>3443</v>
      </c>
      <c r="F9" s="4059" t="s">
        <v>3505</v>
      </c>
      <c r="G9" s="4059" t="s">
        <v>3506</v>
      </c>
      <c r="H9" s="4059" t="s">
        <v>3446</v>
      </c>
      <c r="I9" s="4059" t="s">
        <v>3507</v>
      </c>
      <c r="J9" s="4083" t="s">
        <v>3508</v>
      </c>
      <c r="K9" s="4059">
        <v>6.78</v>
      </c>
      <c r="L9" s="4059">
        <v>6.78</v>
      </c>
      <c r="M9" s="4075">
        <v>29.81</v>
      </c>
      <c r="N9" s="4075">
        <v>369134.5</v>
      </c>
      <c r="O9" s="4076" t="s">
        <v>3509</v>
      </c>
      <c r="P9" s="4065" t="s">
        <v>3469</v>
      </c>
      <c r="Q9" s="4077" t="s">
        <v>3501</v>
      </c>
      <c r="R9" s="4084">
        <v>12382.91</v>
      </c>
      <c r="S9" s="4085" t="s">
        <v>3510</v>
      </c>
      <c r="T9" s="4086" t="s">
        <v>3501</v>
      </c>
      <c r="U9" s="4049"/>
      <c r="V9" s="4055" t="s">
        <v>3501</v>
      </c>
      <c r="W9" s="4070" t="s">
        <v>3501</v>
      </c>
      <c r="X9" s="4073" t="s">
        <v>3501</v>
      </c>
      <c r="Y9" s="4066"/>
      <c r="Z9" s="4066"/>
      <c r="AA9" s="4071">
        <v>29134.5</v>
      </c>
      <c r="AB9" s="4071">
        <v>0</v>
      </c>
      <c r="AC9" s="4071">
        <v>340000</v>
      </c>
      <c r="AD9" s="4071">
        <v>0</v>
      </c>
      <c r="AE9" s="4071">
        <v>0</v>
      </c>
      <c r="AF9" s="4071">
        <v>0</v>
      </c>
      <c r="AG9" s="4071"/>
      <c r="AH9" s="4059" t="s">
        <v>3511</v>
      </c>
      <c r="AI9" s="4071">
        <v>104.18</v>
      </c>
      <c r="AJ9" s="4071">
        <v>33.909999999999997</v>
      </c>
      <c r="AK9" s="4071">
        <v>162.49</v>
      </c>
      <c r="AL9" s="4071">
        <v>1192571</v>
      </c>
      <c r="AM9" s="4071">
        <v>6509.9</v>
      </c>
      <c r="AN9" s="4071">
        <v>219393.41</v>
      </c>
      <c r="AO9" s="4071">
        <v>665110.97</v>
      </c>
      <c r="AP9" s="4071">
        <v>3831.7</v>
      </c>
      <c r="AQ9" s="4071">
        <v>8121.1</v>
      </c>
      <c r="AR9" s="4071">
        <v>170513.06</v>
      </c>
      <c r="AS9" s="4071">
        <v>71333.009999999995</v>
      </c>
      <c r="AT9" s="4071">
        <v>46506.3</v>
      </c>
      <c r="AU9" s="4071">
        <v>435</v>
      </c>
      <c r="AV9" s="4071">
        <v>816.55</v>
      </c>
      <c r="AW9" s="4071">
        <v>0</v>
      </c>
      <c r="AX9" s="4087"/>
      <c r="AY9" s="4071"/>
      <c r="AZ9" s="4071"/>
      <c r="BB9" s="4074">
        <f t="shared" si="0"/>
        <v>8490</v>
      </c>
      <c r="XEQ9" s="4082"/>
      <c r="XER9" s="4082"/>
      <c r="XES9" s="4082"/>
      <c r="XET9" s="4082"/>
      <c r="XEU9" s="4082"/>
      <c r="XEV9" s="4082"/>
      <c r="XEW9" s="4082"/>
      <c r="XEX9" s="4082"/>
      <c r="XEY9" s="4082"/>
      <c r="XEZ9" s="4082"/>
    </row>
    <row r="10" spans="1:16380" s="2358" customFormat="1" ht="118.05" customHeight="1">
      <c r="A10" s="4056">
        <v>2023</v>
      </c>
      <c r="B10" s="4069">
        <v>6</v>
      </c>
      <c r="C10" s="4058">
        <v>3</v>
      </c>
      <c r="D10" s="4089" t="s">
        <v>3442</v>
      </c>
      <c r="E10" s="4058" t="s">
        <v>3443</v>
      </c>
      <c r="F10" s="4058" t="s">
        <v>3512</v>
      </c>
      <c r="G10" s="4058" t="s">
        <v>3513</v>
      </c>
      <c r="H10" s="4058" t="s">
        <v>3446</v>
      </c>
      <c r="I10" s="4058" t="s">
        <v>3514</v>
      </c>
      <c r="J10" s="4090" t="s">
        <v>3515</v>
      </c>
      <c r="K10" s="4059">
        <v>12.9</v>
      </c>
      <c r="L10" s="4059">
        <v>12.9</v>
      </c>
      <c r="M10" s="4059">
        <v>29.4</v>
      </c>
      <c r="N10" s="4059">
        <v>297370.11</v>
      </c>
      <c r="O10" s="4091" t="s">
        <v>3516</v>
      </c>
      <c r="P10" s="4077" t="s">
        <v>3517</v>
      </c>
      <c r="Q10" s="4077">
        <v>92000</v>
      </c>
      <c r="R10" s="4084" t="s">
        <v>3518</v>
      </c>
      <c r="S10" s="4085" t="s">
        <v>3519</v>
      </c>
      <c r="T10" s="4085" t="s">
        <v>3520</v>
      </c>
      <c r="U10" s="4092" t="s">
        <v>3521</v>
      </c>
      <c r="V10" s="4055">
        <v>63472</v>
      </c>
      <c r="W10" s="4070">
        <v>0.31008695652173912</v>
      </c>
      <c r="X10" s="4073" t="s">
        <v>3493</v>
      </c>
      <c r="Y10" s="4092" t="s">
        <v>3522</v>
      </c>
      <c r="Z10" s="4092" t="s">
        <v>3523</v>
      </c>
      <c r="AA10" s="4072">
        <v>294207.71000000002</v>
      </c>
      <c r="AB10" s="4072"/>
      <c r="AC10" s="4072"/>
      <c r="AD10" s="4072"/>
      <c r="AE10" s="4072"/>
      <c r="AF10" s="4072"/>
      <c r="AG10" s="4072">
        <v>3162.4</v>
      </c>
      <c r="AH10" s="4093" t="s">
        <v>3524</v>
      </c>
      <c r="AI10" s="4094">
        <v>104.54</v>
      </c>
      <c r="AJ10" s="4094">
        <v>73.55</v>
      </c>
      <c r="AK10" s="4095">
        <v>174.29</v>
      </c>
      <c r="AL10" s="4095">
        <v>966231.66000000015</v>
      </c>
      <c r="AM10" s="4095">
        <v>1222.02</v>
      </c>
      <c r="AN10" s="4095">
        <v>192133.25</v>
      </c>
      <c r="AO10" s="4095">
        <v>671960.31</v>
      </c>
      <c r="AP10" s="4095">
        <v>16600.38</v>
      </c>
      <c r="AQ10" s="4095">
        <v>1602.52</v>
      </c>
      <c r="AR10" s="4095">
        <v>67712.070000000007</v>
      </c>
      <c r="AS10" s="4095">
        <v>14016.04</v>
      </c>
      <c r="AT10" s="4095">
        <v>0</v>
      </c>
      <c r="AU10" s="4095">
        <v>702.26</v>
      </c>
      <c r="AV10" s="4095">
        <v>282.81</v>
      </c>
      <c r="AW10" s="4096"/>
      <c r="AX10" s="4095" t="s">
        <v>3525</v>
      </c>
      <c r="AY10" s="4069">
        <v>3162.4</v>
      </c>
      <c r="AZ10" s="4069"/>
      <c r="BB10" s="4074">
        <f t="shared" si="0"/>
        <v>8266</v>
      </c>
    </row>
    <row r="11" spans="1:16380" s="2353" customFormat="1" ht="118.05" customHeight="1">
      <c r="A11" s="4097">
        <v>2023</v>
      </c>
      <c r="B11" s="4057">
        <v>9</v>
      </c>
      <c r="C11" s="4057">
        <v>1</v>
      </c>
      <c r="D11" s="4057" t="s">
        <v>3442</v>
      </c>
      <c r="E11" s="4073" t="s">
        <v>3443</v>
      </c>
      <c r="F11" s="4073" t="s">
        <v>3526</v>
      </c>
      <c r="G11" s="4073" t="s">
        <v>3527</v>
      </c>
      <c r="H11" s="4073" t="s">
        <v>3446</v>
      </c>
      <c r="I11" s="4073" t="s">
        <v>3528</v>
      </c>
      <c r="J11" s="4073" t="s">
        <v>3529</v>
      </c>
      <c r="K11" s="4073">
        <v>2.21</v>
      </c>
      <c r="L11" s="4073">
        <v>2.21</v>
      </c>
      <c r="M11" s="4073">
        <v>19.149999999999999</v>
      </c>
      <c r="N11" s="4098">
        <v>329408.48</v>
      </c>
      <c r="O11" s="4099" t="s">
        <v>3530</v>
      </c>
      <c r="P11" s="4099" t="s">
        <v>3469</v>
      </c>
      <c r="Q11" s="4099" t="s">
        <v>3501</v>
      </c>
      <c r="R11" s="4099" t="s">
        <v>3531</v>
      </c>
      <c r="S11" s="4100" t="s">
        <v>3532</v>
      </c>
      <c r="T11" s="4101" t="s">
        <v>3501</v>
      </c>
      <c r="U11" s="4092" t="s">
        <v>3533</v>
      </c>
      <c r="V11" s="4092" t="s">
        <v>3501</v>
      </c>
      <c r="W11" s="4092" t="s">
        <v>3501</v>
      </c>
      <c r="X11" s="4092" t="s">
        <v>3501</v>
      </c>
      <c r="Y11" s="4092" t="s">
        <v>3534</v>
      </c>
      <c r="Z11" s="4092" t="s">
        <v>3535</v>
      </c>
      <c r="AA11" s="4102">
        <v>328679.18</v>
      </c>
      <c r="AB11" s="4103"/>
      <c r="AC11" s="4103"/>
      <c r="AD11" s="4103"/>
      <c r="AE11" s="4103"/>
      <c r="AF11" s="4103"/>
      <c r="AG11" s="4103">
        <v>729.3</v>
      </c>
      <c r="AH11" s="4093" t="s">
        <v>3536</v>
      </c>
      <c r="AI11" s="4104">
        <v>163.97</v>
      </c>
      <c r="AJ11" s="4104">
        <v>44.04</v>
      </c>
      <c r="AK11" s="4104">
        <v>231.64</v>
      </c>
      <c r="AL11" s="4104">
        <v>3656003.8200000003</v>
      </c>
      <c r="AM11" s="4104">
        <v>23000.66</v>
      </c>
      <c r="AN11" s="4104">
        <v>449594.8</v>
      </c>
      <c r="AO11" s="4104">
        <v>2121364.54</v>
      </c>
      <c r="AP11" s="4104">
        <v>4827.22</v>
      </c>
      <c r="AQ11" s="4104">
        <v>10512.49</v>
      </c>
      <c r="AR11" s="4104">
        <v>870201.56</v>
      </c>
      <c r="AS11" s="4104">
        <v>122596.73</v>
      </c>
      <c r="AT11" s="4104">
        <v>52340.67</v>
      </c>
      <c r="AU11" s="4104">
        <v>1565.15</v>
      </c>
      <c r="AV11" s="4104">
        <v>0</v>
      </c>
      <c r="AW11" s="4104">
        <v>0</v>
      </c>
      <c r="AX11" s="4104"/>
      <c r="AY11" s="4069">
        <v>729.3</v>
      </c>
      <c r="AZ11" s="4069"/>
      <c r="BB11" s="4074">
        <f t="shared" si="0"/>
        <v>15679</v>
      </c>
    </row>
    <row r="12" spans="1:16380" s="4121" customFormat="1" ht="118.05" customHeight="1">
      <c r="A12" s="4106">
        <v>2023</v>
      </c>
      <c r="B12" s="4107">
        <v>9</v>
      </c>
      <c r="C12" s="4107">
        <v>2</v>
      </c>
      <c r="D12" s="4107" t="s">
        <v>3442</v>
      </c>
      <c r="E12" s="4108" t="s">
        <v>3443</v>
      </c>
      <c r="F12" s="4108" t="s">
        <v>3537</v>
      </c>
      <c r="G12" s="4108" t="s">
        <v>3538</v>
      </c>
      <c r="H12" s="4108" t="s">
        <v>3446</v>
      </c>
      <c r="I12" s="4108" t="s">
        <v>3539</v>
      </c>
      <c r="J12" s="4108" t="s">
        <v>3540</v>
      </c>
      <c r="K12" s="4108">
        <v>3.01</v>
      </c>
      <c r="L12" s="4108">
        <v>3.01</v>
      </c>
      <c r="M12" s="4108">
        <v>9.02</v>
      </c>
      <c r="N12" s="4109">
        <v>76591.47</v>
      </c>
      <c r="O12" s="4110" t="s">
        <v>3559</v>
      </c>
      <c r="P12" s="4110" t="s">
        <v>3541</v>
      </c>
      <c r="Q12" s="4110" t="s">
        <v>3542</v>
      </c>
      <c r="R12" s="4110" t="s">
        <v>3543</v>
      </c>
      <c r="S12" s="4111" t="s">
        <v>3544</v>
      </c>
      <c r="T12" s="4111" t="s">
        <v>3545</v>
      </c>
      <c r="U12" s="4112">
        <v>5787.5</v>
      </c>
      <c r="V12" s="4112">
        <v>54500</v>
      </c>
      <c r="W12" s="4113">
        <v>0.34337349397590361</v>
      </c>
      <c r="X12" s="4112" t="s">
        <v>3493</v>
      </c>
      <c r="Y12" s="4112">
        <v>23150</v>
      </c>
      <c r="Z12" s="4112">
        <v>14277</v>
      </c>
      <c r="AA12" s="4114">
        <v>75872.710000000006</v>
      </c>
      <c r="AB12" s="4115"/>
      <c r="AC12" s="4115"/>
      <c r="AD12" s="4115"/>
      <c r="AE12" s="4115"/>
      <c r="AF12" s="4115"/>
      <c r="AG12" s="4115">
        <v>718.76</v>
      </c>
      <c r="AH12" s="4116" t="s">
        <v>3547</v>
      </c>
      <c r="AI12" s="4117">
        <v>14.71</v>
      </c>
      <c r="AJ12" s="4118">
        <v>9.08</v>
      </c>
      <c r="AK12" s="4119">
        <v>22.29</v>
      </c>
      <c r="AL12" s="4119">
        <v>184084.12</v>
      </c>
      <c r="AM12" s="4119">
        <v>560.24</v>
      </c>
      <c r="AN12" s="4119">
        <v>7463.32</v>
      </c>
      <c r="AO12" s="4119">
        <v>115392.33</v>
      </c>
      <c r="AP12" s="4119">
        <v>1687.87</v>
      </c>
      <c r="AQ12" s="4119">
        <v>2797.11</v>
      </c>
      <c r="AR12" s="4119">
        <v>44875.69</v>
      </c>
      <c r="AS12" s="4119">
        <v>9454.48</v>
      </c>
      <c r="AT12" s="4119">
        <v>1683.06</v>
      </c>
      <c r="AU12" s="4119">
        <v>170.02</v>
      </c>
      <c r="AV12" s="4119">
        <v>0</v>
      </c>
      <c r="AW12" s="4119">
        <v>0</v>
      </c>
      <c r="AX12" s="4120"/>
      <c r="AY12" s="4120">
        <v>718.76</v>
      </c>
      <c r="AZ12" s="4120"/>
      <c r="BB12" s="4122">
        <f t="shared" si="0"/>
        <v>8352</v>
      </c>
    </row>
    <row r="13" spans="1:16380" s="4105" customFormat="1" ht="369.6">
      <c r="A13" s="4123">
        <v>2022</v>
      </c>
      <c r="B13" s="4107">
        <v>5</v>
      </c>
      <c r="C13" s="4124">
        <v>2</v>
      </c>
      <c r="D13" s="4125" t="s">
        <v>3548</v>
      </c>
      <c r="E13" s="4125" t="s">
        <v>3443</v>
      </c>
      <c r="F13" s="4125" t="s">
        <v>3549</v>
      </c>
      <c r="G13" s="4125" t="s">
        <v>3550</v>
      </c>
      <c r="H13" s="4125" t="s">
        <v>3446</v>
      </c>
      <c r="I13" s="4125" t="s">
        <v>3551</v>
      </c>
      <c r="J13" s="4126" t="s">
        <v>3552</v>
      </c>
      <c r="K13" s="4125">
        <v>2.61</v>
      </c>
      <c r="L13" s="4125">
        <v>2.61</v>
      </c>
      <c r="M13" s="4125">
        <v>6.02</v>
      </c>
      <c r="N13" s="4125">
        <v>190935.2</v>
      </c>
      <c r="O13" s="4127" t="s">
        <v>3553</v>
      </c>
      <c r="P13" s="4128" t="s">
        <v>3469</v>
      </c>
      <c r="Q13" s="4129" t="s">
        <v>3554</v>
      </c>
      <c r="R13" s="4130">
        <v>35000</v>
      </c>
      <c r="S13" s="4131" t="s">
        <v>3555</v>
      </c>
      <c r="T13" s="4132" t="s">
        <v>3556</v>
      </c>
      <c r="U13" s="4129">
        <v>6500</v>
      </c>
      <c r="V13" s="4133">
        <v>32274</v>
      </c>
      <c r="W13" s="4113">
        <v>0.56967999999999996</v>
      </c>
      <c r="X13" s="4108" t="s">
        <v>3493</v>
      </c>
      <c r="Y13" s="4110">
        <v>26000</v>
      </c>
      <c r="Z13" s="4110">
        <v>41500</v>
      </c>
      <c r="AA13" s="4134">
        <v>135910.28</v>
      </c>
      <c r="AB13" s="4134">
        <v>55024.92</v>
      </c>
      <c r="AC13" s="4134" t="s">
        <v>3557</v>
      </c>
      <c r="AD13" s="4134" t="s">
        <v>3557</v>
      </c>
      <c r="AE13" s="4134" t="s">
        <v>3557</v>
      </c>
      <c r="AF13" s="4134" t="s">
        <v>3557</v>
      </c>
      <c r="AG13" s="4134"/>
      <c r="AH13" s="4125" t="s">
        <v>3558</v>
      </c>
      <c r="AI13" s="4134">
        <v>52.81</v>
      </c>
      <c r="AJ13" s="4134">
        <v>20.27</v>
      </c>
      <c r="AK13" s="4134">
        <v>53.8</v>
      </c>
      <c r="AL13" s="4134">
        <v>619484.18999999994</v>
      </c>
      <c r="AM13" s="4134">
        <v>2026.64</v>
      </c>
      <c r="AN13" s="4134">
        <v>9356.91</v>
      </c>
      <c r="AO13" s="4134">
        <v>554753.48</v>
      </c>
      <c r="AP13" s="4134">
        <v>190.74</v>
      </c>
      <c r="AQ13" s="4134">
        <v>2347.9899999999998</v>
      </c>
      <c r="AR13" s="4134">
        <v>15112.7</v>
      </c>
      <c r="AS13" s="4134">
        <v>24830.99</v>
      </c>
      <c r="AT13" s="4134">
        <v>10054.459999999999</v>
      </c>
      <c r="AU13" s="4134">
        <v>568.67999999999995</v>
      </c>
      <c r="AV13" s="4134">
        <v>241.6</v>
      </c>
      <c r="AW13" s="4134">
        <v>0</v>
      </c>
      <c r="AX13" s="4135"/>
      <c r="AY13" s="4134"/>
      <c r="AZ13" s="4134"/>
      <c r="BA13" s="4136"/>
      <c r="BB13" s="4122">
        <f t="shared" si="0"/>
        <v>10682</v>
      </c>
      <c r="BC13" s="4122"/>
      <c r="BD13" s="4136"/>
      <c r="BE13" s="4136"/>
      <c r="BF13" s="4136"/>
      <c r="BG13" s="4136"/>
      <c r="BH13" s="4136"/>
      <c r="BI13" s="4136"/>
      <c r="BJ13" s="4136"/>
      <c r="BK13" s="4136"/>
      <c r="BL13" s="4136"/>
      <c r="BM13" s="4136"/>
      <c r="BN13" s="4136"/>
      <c r="BO13" s="4136"/>
      <c r="BP13" s="4136"/>
      <c r="BQ13" s="4136"/>
      <c r="BR13" s="4136"/>
      <c r="BS13" s="4136"/>
      <c r="BT13" s="4136"/>
      <c r="BU13" s="4136"/>
      <c r="BV13" s="4136"/>
      <c r="BW13" s="4136"/>
      <c r="BX13" s="4136"/>
      <c r="BY13" s="4136"/>
      <c r="BZ13" s="4136"/>
      <c r="CA13" s="4136"/>
      <c r="CB13" s="4136"/>
      <c r="CC13" s="4136"/>
      <c r="CD13" s="4136"/>
      <c r="CE13" s="4136"/>
      <c r="CF13" s="4136"/>
      <c r="CG13" s="4136"/>
      <c r="CH13" s="4136"/>
      <c r="CI13" s="4136"/>
      <c r="CJ13" s="4136"/>
      <c r="CK13" s="4136"/>
      <c r="CL13" s="4136"/>
      <c r="CM13" s="4136"/>
      <c r="CN13" s="4136"/>
      <c r="CO13" s="4136"/>
      <c r="CP13" s="4136"/>
      <c r="CQ13" s="4136"/>
      <c r="CR13" s="4136"/>
      <c r="CS13" s="4136"/>
      <c r="CT13" s="4136"/>
      <c r="CU13" s="4136"/>
      <c r="CV13" s="4136"/>
      <c r="CW13" s="4136"/>
      <c r="CX13" s="4136"/>
      <c r="CY13" s="4136"/>
      <c r="CZ13" s="4136"/>
      <c r="DA13" s="4136"/>
      <c r="DB13" s="4136"/>
      <c r="DC13" s="4136"/>
      <c r="DD13" s="4136"/>
      <c r="DE13" s="4136"/>
      <c r="DF13" s="4136"/>
      <c r="DG13" s="4136"/>
      <c r="DH13" s="4136"/>
      <c r="DI13" s="4136"/>
      <c r="DJ13" s="4136"/>
      <c r="DK13" s="4136"/>
      <c r="DL13" s="4136"/>
      <c r="DM13" s="4136"/>
      <c r="DN13" s="4136"/>
      <c r="DO13" s="4136"/>
      <c r="DP13" s="4136"/>
      <c r="DQ13" s="4136"/>
      <c r="DR13" s="4136"/>
      <c r="DS13" s="4136"/>
      <c r="DT13" s="4136"/>
      <c r="DU13" s="4136"/>
      <c r="DV13" s="4136"/>
      <c r="DW13" s="4136"/>
      <c r="DX13" s="4136"/>
      <c r="DY13" s="4136"/>
      <c r="DZ13" s="4136"/>
      <c r="EA13" s="4136"/>
      <c r="EB13" s="4136"/>
      <c r="EC13" s="4136"/>
      <c r="ED13" s="4136"/>
      <c r="EE13" s="4136"/>
      <c r="EF13" s="4136"/>
      <c r="EG13" s="4136"/>
      <c r="EH13" s="4136"/>
      <c r="EI13" s="4136"/>
      <c r="EJ13" s="4136"/>
      <c r="EK13" s="4136"/>
      <c r="EL13" s="4136"/>
      <c r="EM13" s="4136"/>
      <c r="EN13" s="4136"/>
      <c r="EO13" s="4136"/>
      <c r="EP13" s="4136"/>
      <c r="EQ13" s="4136"/>
      <c r="ER13" s="4136"/>
      <c r="ES13" s="4136"/>
      <c r="ET13" s="4136"/>
      <c r="EU13" s="4136"/>
      <c r="EV13" s="4136"/>
      <c r="EW13" s="4136"/>
      <c r="EX13" s="4136"/>
      <c r="EY13" s="4136"/>
      <c r="EZ13" s="4136"/>
      <c r="FA13" s="4136"/>
      <c r="FB13" s="4136"/>
      <c r="FC13" s="4136"/>
      <c r="FD13" s="4136"/>
      <c r="FE13" s="4136"/>
      <c r="FF13" s="4136"/>
      <c r="FG13" s="4136"/>
      <c r="FH13" s="4136"/>
      <c r="FI13" s="4136"/>
      <c r="FJ13" s="4136"/>
      <c r="FK13" s="4136"/>
      <c r="FL13" s="4136"/>
      <c r="FM13" s="4136"/>
      <c r="FN13" s="4136"/>
      <c r="FO13" s="4136"/>
      <c r="FP13" s="4136"/>
      <c r="FQ13" s="4136"/>
      <c r="FR13" s="4136"/>
      <c r="FS13" s="4136"/>
      <c r="FT13" s="4136"/>
      <c r="FU13" s="4136"/>
      <c r="FV13" s="4136"/>
      <c r="FW13" s="4136"/>
      <c r="FX13" s="4136"/>
      <c r="FY13" s="4136"/>
      <c r="FZ13" s="4136"/>
      <c r="GA13" s="4136"/>
      <c r="GB13" s="4136"/>
      <c r="GC13" s="4136"/>
      <c r="GD13" s="4136"/>
      <c r="GE13" s="4136"/>
      <c r="GF13" s="4136"/>
      <c r="GG13" s="4136"/>
      <c r="GH13" s="4136"/>
      <c r="GI13" s="4136"/>
      <c r="GJ13" s="4136"/>
      <c r="GK13" s="4136"/>
      <c r="GL13" s="4136"/>
      <c r="GM13" s="4136"/>
      <c r="GN13" s="4136"/>
      <c r="GO13" s="4136"/>
      <c r="GP13" s="4136"/>
      <c r="GQ13" s="4136"/>
      <c r="GR13" s="4136"/>
      <c r="GS13" s="4136"/>
      <c r="GT13" s="4136"/>
      <c r="GU13" s="4136"/>
      <c r="GV13" s="4136"/>
      <c r="GW13" s="4136"/>
      <c r="GX13" s="4136"/>
      <c r="GY13" s="4136"/>
      <c r="GZ13" s="4136"/>
      <c r="HA13" s="4136"/>
      <c r="HB13" s="4136"/>
      <c r="HC13" s="4136"/>
      <c r="HD13" s="4136"/>
      <c r="HE13" s="4136"/>
      <c r="HF13" s="4136"/>
      <c r="HG13" s="4136"/>
      <c r="HH13" s="4136"/>
      <c r="HI13" s="4136"/>
      <c r="HJ13" s="4136"/>
      <c r="HK13" s="4136"/>
      <c r="HL13" s="4136"/>
      <c r="HM13" s="4136"/>
      <c r="HN13" s="4136"/>
      <c r="HO13" s="4136"/>
      <c r="HP13" s="4136"/>
      <c r="HQ13" s="4136"/>
      <c r="HR13" s="4136"/>
      <c r="HS13" s="4136"/>
      <c r="HT13" s="4136"/>
      <c r="HU13" s="4136"/>
      <c r="HV13" s="4136"/>
      <c r="HW13" s="4136"/>
      <c r="HX13" s="4136"/>
      <c r="HY13" s="4136"/>
      <c r="HZ13" s="4136"/>
      <c r="IA13" s="4136"/>
      <c r="IB13" s="4136"/>
      <c r="IC13" s="4136"/>
      <c r="ID13" s="4136"/>
      <c r="IE13" s="4136"/>
      <c r="IF13" s="4136"/>
      <c r="IG13" s="4136"/>
      <c r="IH13" s="4136"/>
      <c r="II13" s="4136"/>
      <c r="IJ13" s="4136"/>
      <c r="IK13" s="4136"/>
      <c r="IL13" s="4136"/>
      <c r="IM13" s="4136"/>
      <c r="IN13" s="4136"/>
      <c r="IO13" s="4136"/>
      <c r="IP13" s="4136"/>
      <c r="IQ13" s="4136"/>
      <c r="IR13" s="4136"/>
      <c r="IS13" s="4136"/>
      <c r="IT13" s="4136"/>
      <c r="IU13" s="4136"/>
      <c r="IV13" s="4136"/>
      <c r="IW13" s="4136"/>
      <c r="IX13" s="4136"/>
      <c r="IY13" s="4136"/>
      <c r="IZ13" s="4136"/>
      <c r="JA13" s="4136"/>
      <c r="JB13" s="4136"/>
      <c r="JC13" s="4136"/>
      <c r="JD13" s="4136"/>
      <c r="JE13" s="4136"/>
      <c r="JF13" s="4136"/>
      <c r="JG13" s="4136"/>
      <c r="JH13" s="4136"/>
      <c r="JI13" s="4136"/>
      <c r="JJ13" s="4136"/>
      <c r="JK13" s="4136"/>
      <c r="JL13" s="4136"/>
      <c r="JM13" s="4136"/>
      <c r="JN13" s="4136"/>
      <c r="JO13" s="4136"/>
      <c r="JP13" s="4136"/>
      <c r="JQ13" s="4136"/>
      <c r="JR13" s="4136"/>
      <c r="JS13" s="4136"/>
      <c r="JT13" s="4136"/>
      <c r="JU13" s="4136"/>
      <c r="JV13" s="4136"/>
      <c r="JW13" s="4136"/>
      <c r="JX13" s="4136"/>
      <c r="JY13" s="4136"/>
      <c r="JZ13" s="4136"/>
      <c r="KA13" s="4136"/>
      <c r="KB13" s="4136"/>
      <c r="KC13" s="4136"/>
      <c r="KD13" s="4136"/>
      <c r="KE13" s="4136"/>
      <c r="KF13" s="4136"/>
      <c r="KG13" s="4136"/>
      <c r="KH13" s="4136"/>
      <c r="KI13" s="4136"/>
      <c r="KJ13" s="4136"/>
      <c r="KK13" s="4136"/>
      <c r="KL13" s="4136"/>
      <c r="KM13" s="4136"/>
      <c r="KN13" s="4136"/>
      <c r="KO13" s="4136"/>
      <c r="KP13" s="4136"/>
      <c r="KQ13" s="4136"/>
      <c r="KR13" s="4136"/>
      <c r="KS13" s="4136"/>
      <c r="KT13" s="4136"/>
      <c r="KU13" s="4136"/>
      <c r="KV13" s="4136"/>
      <c r="KW13" s="4136"/>
      <c r="KX13" s="4136"/>
      <c r="KY13" s="4136"/>
      <c r="KZ13" s="4136"/>
      <c r="LA13" s="4136"/>
      <c r="LB13" s="4136"/>
      <c r="LC13" s="4136"/>
      <c r="LD13" s="4136"/>
      <c r="LE13" s="4136"/>
      <c r="LF13" s="4136"/>
      <c r="LG13" s="4136"/>
      <c r="LH13" s="4136"/>
      <c r="LI13" s="4136"/>
      <c r="LJ13" s="4136"/>
      <c r="LK13" s="4136"/>
      <c r="LL13" s="4136"/>
      <c r="LM13" s="4136"/>
      <c r="LN13" s="4136"/>
      <c r="LO13" s="4136"/>
      <c r="LP13" s="4136"/>
      <c r="LQ13" s="4136"/>
      <c r="LR13" s="4136"/>
      <c r="LS13" s="4136"/>
      <c r="LT13" s="4136"/>
      <c r="LU13" s="4136"/>
      <c r="LV13" s="4136"/>
      <c r="LW13" s="4136"/>
      <c r="LX13" s="4136"/>
      <c r="LY13" s="4136"/>
      <c r="LZ13" s="4136"/>
      <c r="MA13" s="4136"/>
      <c r="MB13" s="4136"/>
      <c r="MC13" s="4136"/>
      <c r="MD13" s="4136"/>
      <c r="ME13" s="4136"/>
      <c r="MF13" s="4136"/>
      <c r="MG13" s="4136"/>
      <c r="MH13" s="4136"/>
      <c r="MI13" s="4136"/>
      <c r="MJ13" s="4136"/>
      <c r="MK13" s="4136"/>
      <c r="ML13" s="4136"/>
      <c r="MM13" s="4136"/>
      <c r="MN13" s="4136"/>
      <c r="MO13" s="4136"/>
      <c r="MP13" s="4136"/>
      <c r="MQ13" s="4136"/>
      <c r="MR13" s="4136"/>
      <c r="MS13" s="4136"/>
      <c r="MT13" s="4136"/>
      <c r="MU13" s="4136"/>
      <c r="MV13" s="4136"/>
      <c r="MW13" s="4136"/>
      <c r="MX13" s="4136"/>
      <c r="MY13" s="4136"/>
      <c r="MZ13" s="4136"/>
      <c r="NA13" s="4136"/>
      <c r="NB13" s="4136"/>
      <c r="NC13" s="4136"/>
      <c r="ND13" s="4136"/>
      <c r="NE13" s="4136"/>
      <c r="NF13" s="4136"/>
      <c r="NG13" s="4136"/>
      <c r="NH13" s="4136"/>
      <c r="NI13" s="4136"/>
      <c r="NJ13" s="4136"/>
      <c r="NK13" s="4136"/>
      <c r="NL13" s="4136"/>
      <c r="NM13" s="4136"/>
      <c r="NN13" s="4136"/>
      <c r="NO13" s="4136"/>
      <c r="NP13" s="4136"/>
      <c r="NQ13" s="4136"/>
      <c r="NR13" s="4136"/>
      <c r="NS13" s="4136"/>
      <c r="NT13" s="4136"/>
      <c r="NU13" s="4136"/>
      <c r="NV13" s="4136"/>
      <c r="NW13" s="4136"/>
      <c r="NX13" s="4136"/>
      <c r="NY13" s="4136"/>
      <c r="NZ13" s="4136"/>
      <c r="OA13" s="4136"/>
      <c r="OB13" s="4136"/>
      <c r="OC13" s="4136"/>
      <c r="OD13" s="4136"/>
      <c r="OE13" s="4136"/>
      <c r="OF13" s="4136"/>
      <c r="OG13" s="4136"/>
      <c r="OH13" s="4136"/>
      <c r="OI13" s="4136"/>
      <c r="OJ13" s="4136"/>
      <c r="OK13" s="4136"/>
      <c r="OL13" s="4136"/>
      <c r="OM13" s="4136"/>
      <c r="ON13" s="4136"/>
      <c r="OO13" s="4136"/>
      <c r="OP13" s="4136"/>
      <c r="OQ13" s="4136"/>
      <c r="OR13" s="4136"/>
      <c r="OS13" s="4136"/>
      <c r="OT13" s="4136"/>
      <c r="OU13" s="4136"/>
      <c r="OV13" s="4136"/>
      <c r="OW13" s="4136"/>
      <c r="OX13" s="4136"/>
      <c r="OY13" s="4136"/>
      <c r="OZ13" s="4136"/>
      <c r="PA13" s="4136"/>
      <c r="PB13" s="4136"/>
      <c r="PC13" s="4136"/>
      <c r="PD13" s="4136"/>
      <c r="PE13" s="4136"/>
      <c r="PF13" s="4136"/>
      <c r="PG13" s="4136"/>
      <c r="PH13" s="4136"/>
      <c r="PI13" s="4136"/>
      <c r="PJ13" s="4136"/>
      <c r="PK13" s="4136"/>
      <c r="PL13" s="4136"/>
      <c r="PM13" s="4136"/>
      <c r="PN13" s="4136"/>
      <c r="PO13" s="4136"/>
      <c r="PP13" s="4136"/>
      <c r="PQ13" s="4136"/>
      <c r="PR13" s="4136"/>
      <c r="PS13" s="4136"/>
      <c r="PT13" s="4136"/>
      <c r="PU13" s="4136"/>
      <c r="PV13" s="4136"/>
      <c r="PW13" s="4136"/>
      <c r="PX13" s="4136"/>
      <c r="PY13" s="4136"/>
      <c r="PZ13" s="4136"/>
      <c r="QA13" s="4136"/>
      <c r="QB13" s="4136"/>
      <c r="QC13" s="4136"/>
      <c r="QD13" s="4136"/>
      <c r="QE13" s="4136"/>
      <c r="QF13" s="4136"/>
      <c r="QG13" s="4136"/>
      <c r="QH13" s="4136"/>
      <c r="QI13" s="4136"/>
      <c r="QJ13" s="4136"/>
      <c r="QK13" s="4136"/>
      <c r="QL13" s="4136"/>
      <c r="QM13" s="4136"/>
      <c r="QN13" s="4136"/>
      <c r="QO13" s="4136"/>
      <c r="QP13" s="4136"/>
      <c r="QQ13" s="4136"/>
      <c r="QR13" s="4136"/>
      <c r="QS13" s="4136"/>
      <c r="QT13" s="4136"/>
      <c r="QU13" s="4136"/>
      <c r="QV13" s="4136"/>
      <c r="QW13" s="4136"/>
      <c r="QX13" s="4136"/>
      <c r="QY13" s="4136"/>
      <c r="QZ13" s="4136"/>
      <c r="RA13" s="4136"/>
      <c r="RB13" s="4136"/>
      <c r="RC13" s="4136"/>
      <c r="RD13" s="4136"/>
      <c r="RE13" s="4136"/>
      <c r="RF13" s="4136"/>
      <c r="RG13" s="4136"/>
      <c r="RH13" s="4136"/>
      <c r="RI13" s="4136"/>
      <c r="RJ13" s="4136"/>
      <c r="RK13" s="4136"/>
      <c r="RL13" s="4136"/>
      <c r="RM13" s="4136"/>
      <c r="RN13" s="4136"/>
      <c r="RO13" s="4136"/>
      <c r="RP13" s="4136"/>
      <c r="RQ13" s="4136"/>
      <c r="RR13" s="4136"/>
      <c r="RS13" s="4136"/>
      <c r="RT13" s="4136"/>
      <c r="RU13" s="4136"/>
      <c r="RV13" s="4136"/>
      <c r="RW13" s="4136"/>
      <c r="RX13" s="4136"/>
      <c r="RY13" s="4136"/>
      <c r="RZ13" s="4136"/>
      <c r="SA13" s="4136"/>
      <c r="SB13" s="4136"/>
      <c r="SC13" s="4136"/>
      <c r="SD13" s="4136"/>
      <c r="SE13" s="4136"/>
      <c r="SF13" s="4136"/>
      <c r="SG13" s="4136"/>
      <c r="SH13" s="4136"/>
      <c r="SI13" s="4136"/>
      <c r="SJ13" s="4136"/>
      <c r="SK13" s="4136"/>
      <c r="SL13" s="4136"/>
      <c r="SM13" s="4136"/>
      <c r="SN13" s="4136"/>
      <c r="SO13" s="4136"/>
      <c r="SP13" s="4136"/>
      <c r="SQ13" s="4136"/>
      <c r="SR13" s="4136"/>
      <c r="SS13" s="4136"/>
      <c r="ST13" s="4136"/>
      <c r="SU13" s="4136"/>
      <c r="SV13" s="4136"/>
      <c r="SW13" s="4136"/>
      <c r="SX13" s="4136"/>
      <c r="SY13" s="4136"/>
      <c r="SZ13" s="4136"/>
      <c r="TA13" s="4136"/>
      <c r="TB13" s="4136"/>
      <c r="TC13" s="4136"/>
      <c r="TD13" s="4136"/>
      <c r="TE13" s="4136"/>
      <c r="TF13" s="4136"/>
      <c r="TG13" s="4136"/>
      <c r="TH13" s="4136"/>
      <c r="TI13" s="4136"/>
      <c r="TJ13" s="4136"/>
      <c r="TK13" s="4136"/>
      <c r="TL13" s="4136"/>
      <c r="TM13" s="4136"/>
      <c r="TN13" s="4136"/>
      <c r="TO13" s="4136"/>
      <c r="TP13" s="4136"/>
      <c r="TQ13" s="4136"/>
      <c r="TR13" s="4136"/>
      <c r="TS13" s="4136"/>
      <c r="TT13" s="4136"/>
      <c r="TU13" s="4136"/>
      <c r="TV13" s="4136"/>
      <c r="TW13" s="4136"/>
      <c r="TX13" s="4136"/>
      <c r="TY13" s="4136"/>
      <c r="TZ13" s="4136"/>
      <c r="UA13" s="4136"/>
      <c r="UB13" s="4136"/>
      <c r="UC13" s="4136"/>
      <c r="UD13" s="4136"/>
      <c r="UE13" s="4136"/>
      <c r="UF13" s="4136"/>
      <c r="UG13" s="4136"/>
      <c r="UH13" s="4136"/>
      <c r="UI13" s="4136"/>
      <c r="UJ13" s="4136"/>
      <c r="UK13" s="4136"/>
      <c r="UL13" s="4136"/>
      <c r="UM13" s="4136"/>
      <c r="UN13" s="4136"/>
      <c r="UO13" s="4136"/>
      <c r="UP13" s="4136"/>
      <c r="UQ13" s="4136"/>
      <c r="UR13" s="4136"/>
      <c r="US13" s="4136"/>
      <c r="UT13" s="4136"/>
      <c r="UU13" s="4136"/>
      <c r="UV13" s="4136"/>
      <c r="UW13" s="4136"/>
      <c r="UX13" s="4136"/>
      <c r="UY13" s="4136"/>
      <c r="UZ13" s="4136"/>
      <c r="VA13" s="4136"/>
      <c r="VB13" s="4136"/>
      <c r="VC13" s="4136"/>
      <c r="VD13" s="4136"/>
      <c r="VE13" s="4136"/>
      <c r="VF13" s="4136"/>
      <c r="VG13" s="4136"/>
      <c r="VH13" s="4136"/>
      <c r="VI13" s="4136"/>
      <c r="VJ13" s="4136"/>
      <c r="VK13" s="4136"/>
      <c r="VL13" s="4136"/>
      <c r="VM13" s="4136"/>
      <c r="VN13" s="4136"/>
      <c r="VO13" s="4136"/>
      <c r="VP13" s="4136"/>
      <c r="VQ13" s="4136"/>
      <c r="VR13" s="4136"/>
      <c r="VS13" s="4136"/>
      <c r="VT13" s="4136"/>
      <c r="VU13" s="4136"/>
      <c r="VV13" s="4136"/>
      <c r="VW13" s="4136"/>
      <c r="VX13" s="4136"/>
      <c r="VY13" s="4136"/>
      <c r="VZ13" s="4136"/>
      <c r="WA13" s="4136"/>
      <c r="WB13" s="4136"/>
      <c r="WC13" s="4136"/>
      <c r="WD13" s="4136"/>
      <c r="WE13" s="4136"/>
      <c r="WF13" s="4136"/>
      <c r="WG13" s="4136"/>
      <c r="WH13" s="4136"/>
      <c r="WI13" s="4136"/>
      <c r="WJ13" s="4136"/>
      <c r="WK13" s="4136"/>
      <c r="WL13" s="4136"/>
      <c r="WM13" s="4136"/>
      <c r="WN13" s="4136"/>
      <c r="WO13" s="4136"/>
      <c r="WP13" s="4136"/>
      <c r="WQ13" s="4136"/>
      <c r="WR13" s="4136"/>
      <c r="WS13" s="4136"/>
      <c r="WT13" s="4136"/>
      <c r="WU13" s="4136"/>
      <c r="WV13" s="4136"/>
      <c r="WW13" s="4136"/>
      <c r="WX13" s="4136"/>
      <c r="WY13" s="4136"/>
      <c r="WZ13" s="4136"/>
      <c r="XA13" s="4136"/>
      <c r="XB13" s="4136"/>
      <c r="XC13" s="4136"/>
      <c r="XD13" s="4136"/>
      <c r="XE13" s="4136"/>
      <c r="XF13" s="4136"/>
      <c r="XG13" s="4136"/>
      <c r="XH13" s="4136"/>
      <c r="XI13" s="4136"/>
      <c r="XJ13" s="4136"/>
      <c r="XK13" s="4136"/>
      <c r="XL13" s="4136"/>
      <c r="XM13" s="4136"/>
      <c r="XN13" s="4136"/>
      <c r="XO13" s="4136"/>
      <c r="XP13" s="4136"/>
      <c r="XQ13" s="4136"/>
      <c r="XR13" s="4136"/>
      <c r="XS13" s="4136"/>
      <c r="XT13" s="4136"/>
      <c r="XU13" s="4136"/>
      <c r="XV13" s="4136"/>
      <c r="XW13" s="4136"/>
      <c r="XX13" s="4136"/>
      <c r="XY13" s="4136"/>
      <c r="XZ13" s="4136"/>
      <c r="YA13" s="4136"/>
      <c r="YB13" s="4136"/>
      <c r="YC13" s="4136"/>
      <c r="YD13" s="4136"/>
      <c r="YE13" s="4136"/>
      <c r="YF13" s="4136"/>
      <c r="YG13" s="4136"/>
      <c r="YH13" s="4136"/>
      <c r="YI13" s="4136"/>
      <c r="YJ13" s="4136"/>
      <c r="YK13" s="4136"/>
      <c r="YL13" s="4136"/>
      <c r="YM13" s="4136"/>
      <c r="YN13" s="4136"/>
      <c r="YO13" s="4136"/>
      <c r="YP13" s="4136"/>
      <c r="YQ13" s="4136"/>
      <c r="YR13" s="4136"/>
      <c r="YS13" s="4136"/>
      <c r="YT13" s="4136"/>
      <c r="YU13" s="4136"/>
      <c r="YV13" s="4136"/>
      <c r="YW13" s="4136"/>
      <c r="YX13" s="4136"/>
      <c r="YY13" s="4136"/>
      <c r="YZ13" s="4136"/>
      <c r="ZA13" s="4136"/>
      <c r="ZB13" s="4136"/>
      <c r="ZC13" s="4136"/>
      <c r="ZD13" s="4136"/>
      <c r="ZE13" s="4136"/>
      <c r="ZF13" s="4136"/>
      <c r="ZG13" s="4136"/>
      <c r="ZH13" s="4136"/>
      <c r="ZI13" s="4136"/>
      <c r="ZJ13" s="4136"/>
      <c r="ZK13" s="4136"/>
      <c r="ZL13" s="4136"/>
      <c r="ZM13" s="4136"/>
      <c r="ZN13" s="4136"/>
      <c r="ZO13" s="4136"/>
      <c r="ZP13" s="4136"/>
      <c r="ZQ13" s="4136"/>
      <c r="ZR13" s="4136"/>
      <c r="ZS13" s="4136"/>
      <c r="ZT13" s="4136"/>
      <c r="ZU13" s="4136"/>
      <c r="ZV13" s="4136"/>
      <c r="ZW13" s="4136"/>
      <c r="ZX13" s="4136"/>
      <c r="ZY13" s="4136"/>
      <c r="ZZ13" s="4136"/>
      <c r="AAA13" s="4136"/>
      <c r="AAB13" s="4136"/>
      <c r="AAC13" s="4136"/>
      <c r="AAD13" s="4136"/>
      <c r="AAE13" s="4136"/>
      <c r="AAF13" s="4136"/>
      <c r="AAG13" s="4136"/>
      <c r="AAH13" s="4136"/>
      <c r="AAI13" s="4136"/>
      <c r="AAJ13" s="4136"/>
      <c r="AAK13" s="4136"/>
      <c r="AAL13" s="4136"/>
      <c r="AAM13" s="4136"/>
      <c r="AAN13" s="4136"/>
      <c r="AAO13" s="4136"/>
      <c r="AAP13" s="4136"/>
      <c r="AAQ13" s="4136"/>
      <c r="AAR13" s="4136"/>
      <c r="AAS13" s="4136"/>
      <c r="AAT13" s="4136"/>
      <c r="AAU13" s="4136"/>
      <c r="AAV13" s="4136"/>
      <c r="AAW13" s="4136"/>
      <c r="AAX13" s="4136"/>
      <c r="AAY13" s="4136"/>
      <c r="AAZ13" s="4136"/>
      <c r="ABA13" s="4136"/>
      <c r="ABB13" s="4136"/>
      <c r="ABC13" s="4136"/>
      <c r="ABD13" s="4136"/>
      <c r="ABE13" s="4136"/>
      <c r="ABF13" s="4136"/>
      <c r="ABG13" s="4136"/>
      <c r="ABH13" s="4136"/>
      <c r="ABI13" s="4136"/>
      <c r="ABJ13" s="4136"/>
      <c r="ABK13" s="4136"/>
      <c r="ABL13" s="4136"/>
      <c r="ABM13" s="4136"/>
      <c r="ABN13" s="4136"/>
      <c r="ABO13" s="4136"/>
      <c r="ABP13" s="4136"/>
      <c r="ABQ13" s="4136"/>
      <c r="ABR13" s="4136"/>
      <c r="ABS13" s="4136"/>
      <c r="ABT13" s="4136"/>
      <c r="ABU13" s="4136"/>
      <c r="ABV13" s="4136"/>
      <c r="ABW13" s="4136"/>
      <c r="ABX13" s="4136"/>
      <c r="ABY13" s="4136"/>
      <c r="ABZ13" s="4136"/>
      <c r="ACA13" s="4136"/>
      <c r="ACB13" s="4136"/>
      <c r="ACC13" s="4136"/>
      <c r="ACD13" s="4136"/>
      <c r="ACE13" s="4136"/>
      <c r="ACF13" s="4136"/>
      <c r="ACG13" s="4136"/>
      <c r="ACH13" s="4136"/>
      <c r="ACI13" s="4136"/>
      <c r="ACJ13" s="4136"/>
      <c r="ACK13" s="4136"/>
      <c r="ACL13" s="4136"/>
      <c r="ACM13" s="4136"/>
      <c r="ACN13" s="4136"/>
      <c r="ACO13" s="4136"/>
      <c r="ACP13" s="4136"/>
      <c r="ACQ13" s="4136"/>
      <c r="ACR13" s="4136"/>
      <c r="ACS13" s="4136"/>
      <c r="ACT13" s="4136"/>
      <c r="ACU13" s="4136"/>
      <c r="ACV13" s="4136"/>
      <c r="ACW13" s="4136"/>
      <c r="ACX13" s="4136"/>
      <c r="ACY13" s="4136"/>
      <c r="ACZ13" s="4136"/>
      <c r="ADA13" s="4136"/>
      <c r="ADB13" s="4136"/>
      <c r="ADC13" s="4136"/>
      <c r="ADD13" s="4136"/>
      <c r="ADE13" s="4136"/>
      <c r="ADF13" s="4136"/>
      <c r="ADG13" s="4136"/>
      <c r="ADH13" s="4136"/>
      <c r="ADI13" s="4136"/>
      <c r="ADJ13" s="4136"/>
      <c r="ADK13" s="4136"/>
      <c r="ADL13" s="4136"/>
      <c r="ADM13" s="4136"/>
      <c r="ADN13" s="4136"/>
      <c r="ADO13" s="4136"/>
      <c r="ADP13" s="4136"/>
      <c r="ADQ13" s="4136"/>
      <c r="ADR13" s="4136"/>
      <c r="ADS13" s="4136"/>
      <c r="ADT13" s="4136"/>
      <c r="ADU13" s="4136"/>
      <c r="ADV13" s="4136"/>
      <c r="ADW13" s="4136"/>
      <c r="ADX13" s="4136"/>
      <c r="ADY13" s="4136"/>
      <c r="ADZ13" s="4136"/>
      <c r="AEA13" s="4136"/>
      <c r="AEB13" s="4136"/>
      <c r="AEC13" s="4136"/>
      <c r="AED13" s="4136"/>
      <c r="AEE13" s="4136"/>
      <c r="AEF13" s="4136"/>
      <c r="AEG13" s="4136"/>
      <c r="AEH13" s="4136"/>
      <c r="AEI13" s="4136"/>
      <c r="AEJ13" s="4136"/>
      <c r="AEK13" s="4136"/>
      <c r="AEL13" s="4136"/>
      <c r="AEM13" s="4136"/>
      <c r="AEN13" s="4136"/>
      <c r="AEO13" s="4136"/>
      <c r="AEP13" s="4136"/>
      <c r="AEQ13" s="4136"/>
      <c r="AER13" s="4136"/>
      <c r="AES13" s="4136"/>
      <c r="AET13" s="4136"/>
      <c r="AEU13" s="4136"/>
      <c r="AEV13" s="4136"/>
      <c r="AEW13" s="4136"/>
      <c r="AEX13" s="4136"/>
      <c r="AEY13" s="4136"/>
      <c r="AEZ13" s="4136"/>
      <c r="AFA13" s="4136"/>
      <c r="AFB13" s="4136"/>
      <c r="AFC13" s="4136"/>
      <c r="AFD13" s="4136"/>
      <c r="AFE13" s="4136"/>
      <c r="AFF13" s="4136"/>
      <c r="AFG13" s="4136"/>
      <c r="AFH13" s="4136"/>
      <c r="AFI13" s="4136"/>
      <c r="AFJ13" s="4136"/>
      <c r="AFK13" s="4136"/>
      <c r="AFL13" s="4136"/>
      <c r="AFM13" s="4136"/>
      <c r="AFN13" s="4136"/>
      <c r="AFO13" s="4136"/>
      <c r="AFP13" s="4136"/>
      <c r="AFQ13" s="4136"/>
      <c r="AFR13" s="4136"/>
      <c r="AFS13" s="4136"/>
      <c r="AFT13" s="4136"/>
      <c r="AFU13" s="4136"/>
      <c r="AFV13" s="4136"/>
      <c r="AFW13" s="4136"/>
      <c r="AFX13" s="4136"/>
      <c r="AFY13" s="4136"/>
      <c r="AFZ13" s="4136"/>
      <c r="AGA13" s="4136"/>
      <c r="AGB13" s="4136"/>
      <c r="AGC13" s="4136"/>
      <c r="AGD13" s="4136"/>
      <c r="AGE13" s="4136"/>
      <c r="AGF13" s="4136"/>
      <c r="AGG13" s="4136"/>
      <c r="AGH13" s="4136"/>
      <c r="AGI13" s="4136"/>
      <c r="AGJ13" s="4136"/>
      <c r="AGK13" s="4136"/>
      <c r="AGL13" s="4136"/>
      <c r="AGM13" s="4136"/>
      <c r="AGN13" s="4136"/>
      <c r="AGO13" s="4136"/>
      <c r="AGP13" s="4136"/>
      <c r="AGQ13" s="4136"/>
      <c r="AGR13" s="4136"/>
      <c r="AGS13" s="4136"/>
      <c r="AGT13" s="4136"/>
      <c r="AGU13" s="4136"/>
      <c r="AGV13" s="4136"/>
      <c r="AGW13" s="4136"/>
      <c r="AGX13" s="4136"/>
      <c r="AGY13" s="4136"/>
      <c r="AGZ13" s="4136"/>
      <c r="AHA13" s="4136"/>
      <c r="AHB13" s="4136"/>
      <c r="AHC13" s="4136"/>
      <c r="AHD13" s="4136"/>
      <c r="AHE13" s="4136"/>
      <c r="AHF13" s="4136"/>
      <c r="AHG13" s="4136"/>
      <c r="AHH13" s="4136"/>
      <c r="AHI13" s="4136"/>
      <c r="AHJ13" s="4136"/>
      <c r="AHK13" s="4136"/>
      <c r="AHL13" s="4136"/>
      <c r="AHM13" s="4136"/>
      <c r="AHN13" s="4136"/>
      <c r="AHO13" s="4136"/>
      <c r="AHP13" s="4136"/>
      <c r="AHQ13" s="4136"/>
      <c r="AHR13" s="4136"/>
      <c r="AHS13" s="4136"/>
      <c r="AHT13" s="4136"/>
      <c r="AHU13" s="4136"/>
      <c r="AHV13" s="4136"/>
      <c r="AHW13" s="4136"/>
      <c r="AHX13" s="4136"/>
      <c r="AHY13" s="4136"/>
      <c r="AHZ13" s="4136"/>
      <c r="AIA13" s="4136"/>
      <c r="AIB13" s="4136"/>
      <c r="AIC13" s="4136"/>
      <c r="AID13" s="4136"/>
      <c r="AIE13" s="4136"/>
      <c r="AIF13" s="4136"/>
      <c r="AIG13" s="4136"/>
      <c r="AIH13" s="4136"/>
      <c r="AII13" s="4136"/>
      <c r="AIJ13" s="4136"/>
      <c r="AIK13" s="4136"/>
      <c r="AIL13" s="4136"/>
      <c r="AIM13" s="4136"/>
      <c r="AIN13" s="4136"/>
      <c r="AIO13" s="4136"/>
      <c r="AIP13" s="4136"/>
      <c r="AIQ13" s="4136"/>
      <c r="AIR13" s="4136"/>
      <c r="AIS13" s="4136"/>
      <c r="AIT13" s="4136"/>
      <c r="AIU13" s="4136"/>
      <c r="AIV13" s="4136"/>
      <c r="AIW13" s="4136"/>
      <c r="AIX13" s="4136"/>
      <c r="AIY13" s="4136"/>
      <c r="AIZ13" s="4136"/>
      <c r="AJA13" s="4136"/>
      <c r="AJB13" s="4136"/>
      <c r="AJC13" s="4136"/>
      <c r="AJD13" s="4136"/>
      <c r="AJE13" s="4136"/>
      <c r="AJF13" s="4136"/>
      <c r="AJG13" s="4136"/>
      <c r="AJH13" s="4136"/>
      <c r="AJI13" s="4136"/>
      <c r="AJJ13" s="4136"/>
      <c r="AJK13" s="4136"/>
      <c r="AJL13" s="4136"/>
      <c r="AJM13" s="4136"/>
      <c r="AJN13" s="4136"/>
      <c r="AJO13" s="4136"/>
      <c r="AJP13" s="4136"/>
      <c r="AJQ13" s="4136"/>
      <c r="AJR13" s="4136"/>
      <c r="AJS13" s="4136"/>
      <c r="AJT13" s="4136"/>
      <c r="AJU13" s="4136"/>
      <c r="AJV13" s="4136"/>
      <c r="AJW13" s="4136"/>
      <c r="AJX13" s="4136"/>
      <c r="AJY13" s="4136"/>
      <c r="AJZ13" s="4136"/>
      <c r="AKA13" s="4136"/>
      <c r="AKB13" s="4136"/>
      <c r="AKC13" s="4136"/>
      <c r="AKD13" s="4136"/>
      <c r="AKE13" s="4136"/>
      <c r="AKF13" s="4136"/>
      <c r="AKG13" s="4136"/>
      <c r="AKH13" s="4136"/>
      <c r="AKI13" s="4136"/>
      <c r="AKJ13" s="4136"/>
      <c r="AKK13" s="4136"/>
      <c r="AKL13" s="4136"/>
      <c r="AKM13" s="4136"/>
      <c r="AKN13" s="4136"/>
      <c r="AKO13" s="4136"/>
      <c r="AKP13" s="4136"/>
      <c r="AKQ13" s="4136"/>
      <c r="AKR13" s="4136"/>
      <c r="AKS13" s="4136"/>
      <c r="AKT13" s="4136"/>
      <c r="AKU13" s="4136"/>
      <c r="AKV13" s="4136"/>
      <c r="AKW13" s="4136"/>
      <c r="AKX13" s="4136"/>
      <c r="AKY13" s="4136"/>
      <c r="AKZ13" s="4136"/>
      <c r="ALA13" s="4136"/>
      <c r="ALB13" s="4136"/>
      <c r="ALC13" s="4136"/>
      <c r="ALD13" s="4136"/>
      <c r="ALE13" s="4136"/>
      <c r="ALF13" s="4136"/>
      <c r="ALG13" s="4136"/>
      <c r="ALH13" s="4136"/>
      <c r="ALI13" s="4136"/>
      <c r="ALJ13" s="4136"/>
      <c r="ALK13" s="4136"/>
      <c r="ALL13" s="4136"/>
      <c r="ALM13" s="4136"/>
      <c r="ALN13" s="4136"/>
      <c r="ALO13" s="4136"/>
      <c r="ALP13" s="4136"/>
      <c r="ALQ13" s="4136"/>
      <c r="ALR13" s="4136"/>
      <c r="ALS13" s="4136"/>
      <c r="ALT13" s="4136"/>
      <c r="ALU13" s="4136"/>
      <c r="ALV13" s="4136"/>
      <c r="ALW13" s="4136"/>
      <c r="ALX13" s="4136"/>
      <c r="ALY13" s="4136"/>
      <c r="ALZ13" s="4136"/>
      <c r="AMA13" s="4136"/>
      <c r="AMB13" s="4136"/>
      <c r="AMC13" s="4136"/>
      <c r="AMD13" s="4136"/>
      <c r="AME13" s="4136"/>
      <c r="AMF13" s="4136"/>
      <c r="AMG13" s="4136"/>
      <c r="AMH13" s="4136"/>
      <c r="AMI13" s="4136"/>
      <c r="AMJ13" s="4136"/>
      <c r="AMK13" s="4136"/>
      <c r="AML13" s="4136"/>
      <c r="AMM13" s="4136"/>
      <c r="AMN13" s="4136"/>
      <c r="AMO13" s="4136"/>
      <c r="AMP13" s="4136"/>
      <c r="AMQ13" s="4136"/>
      <c r="AMR13" s="4136"/>
      <c r="AMS13" s="4136"/>
      <c r="AMT13" s="4136"/>
      <c r="AMU13" s="4136"/>
      <c r="AMV13" s="4136"/>
      <c r="AMW13" s="4136"/>
      <c r="AMX13" s="4136"/>
      <c r="AMY13" s="4136"/>
      <c r="AMZ13" s="4136"/>
      <c r="ANA13" s="4136"/>
      <c r="ANB13" s="4136"/>
      <c r="ANC13" s="4136"/>
      <c r="AND13" s="4136"/>
      <c r="ANE13" s="4136"/>
      <c r="ANF13" s="4136"/>
      <c r="ANG13" s="4136"/>
      <c r="ANH13" s="4136"/>
      <c r="ANI13" s="4136"/>
      <c r="ANJ13" s="4136"/>
      <c r="ANK13" s="4136"/>
      <c r="ANL13" s="4136"/>
      <c r="ANM13" s="4136"/>
      <c r="ANN13" s="4136"/>
      <c r="ANO13" s="4136"/>
      <c r="ANP13" s="4136"/>
      <c r="ANQ13" s="4136"/>
      <c r="ANR13" s="4136"/>
      <c r="ANS13" s="4136"/>
      <c r="ANT13" s="4136"/>
      <c r="ANU13" s="4136"/>
      <c r="ANV13" s="4136"/>
      <c r="ANW13" s="4136"/>
      <c r="ANX13" s="4136"/>
      <c r="ANY13" s="4136"/>
      <c r="ANZ13" s="4136"/>
      <c r="AOA13" s="4136"/>
      <c r="AOB13" s="4136"/>
      <c r="AOC13" s="4136"/>
      <c r="AOD13" s="4136"/>
      <c r="AOE13" s="4136"/>
      <c r="AOF13" s="4136"/>
      <c r="AOG13" s="4136"/>
      <c r="AOH13" s="4136"/>
      <c r="AOI13" s="4136"/>
      <c r="AOJ13" s="4136"/>
      <c r="AOK13" s="4136"/>
      <c r="AOL13" s="4136"/>
      <c r="AOM13" s="4136"/>
      <c r="AON13" s="4136"/>
      <c r="AOO13" s="4136"/>
      <c r="AOP13" s="4136"/>
      <c r="AOQ13" s="4136"/>
      <c r="AOR13" s="4136"/>
      <c r="AOS13" s="4136"/>
      <c r="AOT13" s="4136"/>
      <c r="AOU13" s="4136"/>
      <c r="AOV13" s="4136"/>
      <c r="AOW13" s="4136"/>
      <c r="AOX13" s="4136"/>
      <c r="AOY13" s="4136"/>
      <c r="AOZ13" s="4136"/>
      <c r="APA13" s="4136"/>
      <c r="APB13" s="4136"/>
      <c r="APC13" s="4136"/>
      <c r="APD13" s="4136"/>
      <c r="APE13" s="4136"/>
      <c r="APF13" s="4136"/>
      <c r="APG13" s="4136"/>
      <c r="APH13" s="4136"/>
      <c r="API13" s="4136"/>
      <c r="APJ13" s="4136"/>
      <c r="APK13" s="4136"/>
      <c r="APL13" s="4136"/>
      <c r="APM13" s="4136"/>
      <c r="APN13" s="4136"/>
      <c r="APO13" s="4136"/>
      <c r="APP13" s="4136"/>
      <c r="APQ13" s="4136"/>
      <c r="APR13" s="4136"/>
      <c r="APS13" s="4136"/>
      <c r="APT13" s="4136"/>
      <c r="APU13" s="4136"/>
      <c r="APV13" s="4136"/>
      <c r="APW13" s="4136"/>
      <c r="APX13" s="4136"/>
      <c r="APY13" s="4136"/>
      <c r="APZ13" s="4136"/>
      <c r="AQA13" s="4136"/>
      <c r="AQB13" s="4136"/>
      <c r="AQC13" s="4136"/>
      <c r="AQD13" s="4136"/>
      <c r="AQE13" s="4136"/>
      <c r="AQF13" s="4136"/>
      <c r="AQG13" s="4136"/>
      <c r="AQH13" s="4136"/>
      <c r="AQI13" s="4136"/>
      <c r="AQJ13" s="4136"/>
      <c r="AQK13" s="4136"/>
      <c r="AQL13" s="4136"/>
      <c r="AQM13" s="4136"/>
      <c r="AQN13" s="4136"/>
      <c r="AQO13" s="4136"/>
      <c r="AQP13" s="4136"/>
      <c r="AQQ13" s="4136"/>
      <c r="AQR13" s="4136"/>
      <c r="AQS13" s="4136"/>
      <c r="AQT13" s="4136"/>
      <c r="AQU13" s="4136"/>
      <c r="AQV13" s="4136"/>
      <c r="AQW13" s="4136"/>
      <c r="AQX13" s="4136"/>
      <c r="AQY13" s="4136"/>
      <c r="AQZ13" s="4136"/>
      <c r="ARA13" s="4136"/>
      <c r="ARB13" s="4136"/>
      <c r="ARC13" s="4136"/>
      <c r="ARD13" s="4136"/>
      <c r="ARE13" s="4136"/>
      <c r="ARF13" s="4136"/>
      <c r="ARG13" s="4136"/>
      <c r="ARH13" s="4136"/>
      <c r="ARI13" s="4136"/>
      <c r="ARJ13" s="4136"/>
      <c r="ARK13" s="4136"/>
      <c r="ARL13" s="4136"/>
      <c r="ARM13" s="4136"/>
      <c r="ARN13" s="4136"/>
      <c r="ARO13" s="4136"/>
      <c r="ARP13" s="4136"/>
      <c r="ARQ13" s="4136"/>
      <c r="ARR13" s="4136"/>
      <c r="ARS13" s="4136"/>
      <c r="ART13" s="4136"/>
      <c r="ARU13" s="4136"/>
      <c r="ARV13" s="4136"/>
      <c r="ARW13" s="4136"/>
      <c r="ARX13" s="4136"/>
      <c r="ARY13" s="4136"/>
      <c r="ARZ13" s="4136"/>
      <c r="ASA13" s="4136"/>
      <c r="ASB13" s="4136"/>
      <c r="ASC13" s="4136"/>
      <c r="ASD13" s="4136"/>
      <c r="ASE13" s="4136"/>
      <c r="ASF13" s="4136"/>
      <c r="ASG13" s="4136"/>
      <c r="ASH13" s="4136"/>
      <c r="ASI13" s="4136"/>
      <c r="ASJ13" s="4136"/>
      <c r="ASK13" s="4136"/>
      <c r="ASL13" s="4136"/>
      <c r="ASM13" s="4136"/>
      <c r="ASN13" s="4136"/>
      <c r="ASO13" s="4136"/>
      <c r="ASP13" s="4136"/>
      <c r="ASQ13" s="4136"/>
      <c r="ASR13" s="4136"/>
      <c r="ASS13" s="4136"/>
      <c r="AST13" s="4136"/>
      <c r="ASU13" s="4136"/>
      <c r="ASV13" s="4136"/>
      <c r="ASW13" s="4136"/>
      <c r="ASX13" s="4136"/>
      <c r="ASY13" s="4136"/>
      <c r="ASZ13" s="4136"/>
      <c r="ATA13" s="4136"/>
      <c r="ATB13" s="4136"/>
      <c r="ATC13" s="4136"/>
      <c r="ATD13" s="4136"/>
      <c r="ATE13" s="4136"/>
      <c r="ATF13" s="4136"/>
      <c r="ATG13" s="4136"/>
      <c r="ATH13" s="4136"/>
      <c r="ATI13" s="4136"/>
      <c r="ATJ13" s="4136"/>
      <c r="ATK13" s="4136"/>
      <c r="ATL13" s="4136"/>
      <c r="ATM13" s="4136"/>
      <c r="ATN13" s="4136"/>
      <c r="ATO13" s="4136"/>
      <c r="ATP13" s="4136"/>
      <c r="ATQ13" s="4136"/>
      <c r="ATR13" s="4136"/>
      <c r="ATS13" s="4136"/>
      <c r="ATT13" s="4136"/>
      <c r="ATU13" s="4136"/>
      <c r="ATV13" s="4136"/>
      <c r="ATW13" s="4136"/>
      <c r="ATX13" s="4136"/>
      <c r="ATY13" s="4136"/>
      <c r="ATZ13" s="4136"/>
      <c r="AUA13" s="4136"/>
      <c r="AUB13" s="4136"/>
      <c r="AUC13" s="4136"/>
      <c r="AUD13" s="4136"/>
      <c r="AUE13" s="4136"/>
      <c r="AUF13" s="4136"/>
      <c r="AUG13" s="4136"/>
      <c r="AUH13" s="4136"/>
      <c r="AUI13" s="4136"/>
      <c r="AUJ13" s="4136"/>
      <c r="AUK13" s="4136"/>
      <c r="AUL13" s="4136"/>
      <c r="AUM13" s="4136"/>
      <c r="AUN13" s="4136"/>
      <c r="AUO13" s="4136"/>
      <c r="AUP13" s="4136"/>
      <c r="AUQ13" s="4136"/>
      <c r="AUR13" s="4136"/>
      <c r="AUS13" s="4136"/>
      <c r="AUT13" s="4136"/>
      <c r="AUU13" s="4136"/>
      <c r="AUV13" s="4136"/>
      <c r="AUW13" s="4136"/>
      <c r="AUX13" s="4136"/>
      <c r="AUY13" s="4136"/>
      <c r="AUZ13" s="4136"/>
      <c r="AVA13" s="4136"/>
      <c r="AVB13" s="4136"/>
      <c r="AVC13" s="4136"/>
      <c r="AVD13" s="4136"/>
      <c r="AVE13" s="4136"/>
      <c r="AVF13" s="4136"/>
      <c r="AVG13" s="4136"/>
      <c r="AVH13" s="4136"/>
      <c r="AVI13" s="4136"/>
      <c r="AVJ13" s="4136"/>
      <c r="AVK13" s="4136"/>
      <c r="AVL13" s="4136"/>
      <c r="AVM13" s="4136"/>
      <c r="AVN13" s="4136"/>
      <c r="AVO13" s="4136"/>
      <c r="AVP13" s="4136"/>
      <c r="AVQ13" s="4136"/>
      <c r="AVR13" s="4136"/>
      <c r="AVS13" s="4136"/>
      <c r="AVT13" s="4136"/>
      <c r="AVU13" s="4136"/>
      <c r="AVV13" s="4136"/>
      <c r="AVW13" s="4136"/>
      <c r="AVX13" s="4136"/>
      <c r="AVY13" s="4136"/>
      <c r="AVZ13" s="4136"/>
      <c r="AWA13" s="4136"/>
      <c r="AWB13" s="4136"/>
      <c r="AWC13" s="4136"/>
      <c r="AWD13" s="4136"/>
      <c r="AWE13" s="4136"/>
      <c r="AWF13" s="4136"/>
      <c r="AWG13" s="4136"/>
      <c r="AWH13" s="4136"/>
      <c r="AWI13" s="4136"/>
      <c r="AWJ13" s="4136"/>
      <c r="AWK13" s="4136"/>
      <c r="AWL13" s="4136"/>
      <c r="AWM13" s="4136"/>
      <c r="AWN13" s="4136"/>
      <c r="AWO13" s="4136"/>
      <c r="AWP13" s="4136"/>
      <c r="AWQ13" s="4136"/>
      <c r="AWR13" s="4136"/>
      <c r="AWS13" s="4136"/>
      <c r="AWT13" s="4136"/>
      <c r="AWU13" s="4136"/>
      <c r="AWV13" s="4136"/>
      <c r="AWW13" s="4136"/>
      <c r="AWX13" s="4136"/>
      <c r="AWY13" s="4136"/>
      <c r="AWZ13" s="4136"/>
      <c r="AXA13" s="4136"/>
      <c r="AXB13" s="4136"/>
      <c r="AXC13" s="4136"/>
      <c r="AXD13" s="4136"/>
      <c r="AXE13" s="4136"/>
      <c r="AXF13" s="4136"/>
      <c r="AXG13" s="4136"/>
      <c r="AXH13" s="4136"/>
      <c r="AXI13" s="4136"/>
      <c r="AXJ13" s="4136"/>
      <c r="AXK13" s="4136"/>
      <c r="AXL13" s="4136"/>
      <c r="AXM13" s="4136"/>
      <c r="AXN13" s="4136"/>
      <c r="AXO13" s="4136"/>
      <c r="AXP13" s="4136"/>
      <c r="AXQ13" s="4136"/>
      <c r="AXR13" s="4136"/>
      <c r="AXS13" s="4136"/>
      <c r="AXT13" s="4136"/>
      <c r="AXU13" s="4136"/>
      <c r="AXV13" s="4136"/>
      <c r="AXW13" s="4136"/>
      <c r="AXX13" s="4136"/>
      <c r="AXY13" s="4136"/>
      <c r="AXZ13" s="4136"/>
      <c r="AYA13" s="4136"/>
      <c r="AYB13" s="4136"/>
      <c r="AYC13" s="4136"/>
      <c r="AYD13" s="4136"/>
      <c r="AYE13" s="4136"/>
      <c r="AYF13" s="4136"/>
      <c r="AYG13" s="4136"/>
      <c r="AYH13" s="4136"/>
      <c r="AYI13" s="4136"/>
      <c r="AYJ13" s="4136"/>
      <c r="AYK13" s="4136"/>
      <c r="AYL13" s="4136"/>
      <c r="AYM13" s="4136"/>
      <c r="AYN13" s="4136"/>
      <c r="AYO13" s="4136"/>
      <c r="AYP13" s="4136"/>
      <c r="AYQ13" s="4136"/>
      <c r="AYR13" s="4136"/>
      <c r="AYS13" s="4136"/>
      <c r="AYT13" s="4136"/>
      <c r="AYU13" s="4136"/>
      <c r="AYV13" s="4136"/>
      <c r="AYW13" s="4136"/>
      <c r="AYX13" s="4136"/>
      <c r="AYY13" s="4136"/>
      <c r="AYZ13" s="4136"/>
      <c r="AZA13" s="4136"/>
      <c r="AZB13" s="4136"/>
      <c r="AZC13" s="4136"/>
      <c r="AZD13" s="4136"/>
      <c r="AZE13" s="4136"/>
      <c r="AZF13" s="4136"/>
      <c r="AZG13" s="4136"/>
      <c r="AZH13" s="4136"/>
      <c r="AZI13" s="4136"/>
      <c r="AZJ13" s="4136"/>
      <c r="AZK13" s="4136"/>
      <c r="AZL13" s="4136"/>
      <c r="AZM13" s="4136"/>
      <c r="AZN13" s="4136"/>
      <c r="AZO13" s="4136"/>
      <c r="AZP13" s="4136"/>
      <c r="AZQ13" s="4136"/>
      <c r="AZR13" s="4136"/>
      <c r="AZS13" s="4136"/>
      <c r="AZT13" s="4136"/>
      <c r="AZU13" s="4136"/>
      <c r="AZV13" s="4136"/>
      <c r="AZW13" s="4136"/>
      <c r="AZX13" s="4136"/>
      <c r="AZY13" s="4136"/>
      <c r="AZZ13" s="4136"/>
      <c r="BAA13" s="4136"/>
      <c r="BAB13" s="4136"/>
      <c r="BAC13" s="4136"/>
      <c r="BAD13" s="4136"/>
      <c r="BAE13" s="4136"/>
      <c r="BAF13" s="4136"/>
      <c r="BAG13" s="4136"/>
      <c r="BAH13" s="4136"/>
      <c r="BAI13" s="4136"/>
      <c r="BAJ13" s="4136"/>
      <c r="BAK13" s="4136"/>
      <c r="BAL13" s="4136"/>
      <c r="BAM13" s="4136"/>
      <c r="BAN13" s="4136"/>
      <c r="BAO13" s="4136"/>
      <c r="BAP13" s="4136"/>
      <c r="BAQ13" s="4136"/>
      <c r="BAR13" s="4136"/>
      <c r="BAS13" s="4136"/>
      <c r="BAT13" s="4136"/>
      <c r="BAU13" s="4136"/>
      <c r="BAV13" s="4136"/>
      <c r="BAW13" s="4136"/>
      <c r="BAX13" s="4136"/>
      <c r="BAY13" s="4136"/>
      <c r="BAZ13" s="4136"/>
      <c r="BBA13" s="4136"/>
      <c r="BBB13" s="4136"/>
      <c r="BBC13" s="4136"/>
      <c r="BBD13" s="4136"/>
      <c r="BBE13" s="4136"/>
      <c r="BBF13" s="4136"/>
      <c r="BBG13" s="4136"/>
      <c r="BBH13" s="4136"/>
      <c r="BBI13" s="4136"/>
      <c r="BBJ13" s="4136"/>
      <c r="BBK13" s="4136"/>
      <c r="BBL13" s="4136"/>
      <c r="BBM13" s="4136"/>
      <c r="BBN13" s="4136"/>
      <c r="BBO13" s="4136"/>
      <c r="BBP13" s="4136"/>
      <c r="BBQ13" s="4136"/>
      <c r="BBR13" s="4136"/>
      <c r="BBS13" s="4136"/>
      <c r="BBT13" s="4136"/>
      <c r="BBU13" s="4136"/>
      <c r="BBV13" s="4136"/>
      <c r="BBW13" s="4136"/>
      <c r="BBX13" s="4136"/>
      <c r="BBY13" s="4136"/>
      <c r="BBZ13" s="4136"/>
      <c r="BCA13" s="4136"/>
      <c r="BCB13" s="4136"/>
      <c r="BCC13" s="4136"/>
      <c r="BCD13" s="4136"/>
      <c r="BCE13" s="4136"/>
      <c r="BCF13" s="4136"/>
      <c r="BCG13" s="4136"/>
      <c r="BCH13" s="4136"/>
      <c r="BCI13" s="4136"/>
      <c r="BCJ13" s="4136"/>
      <c r="BCK13" s="4136"/>
      <c r="BCL13" s="4136"/>
      <c r="BCM13" s="4136"/>
      <c r="BCN13" s="4136"/>
      <c r="BCO13" s="4136"/>
      <c r="BCP13" s="4136"/>
      <c r="BCQ13" s="4136"/>
      <c r="BCR13" s="4136"/>
      <c r="BCS13" s="4136"/>
      <c r="BCT13" s="4136"/>
      <c r="BCU13" s="4136"/>
      <c r="BCV13" s="4136"/>
      <c r="BCW13" s="4136"/>
      <c r="BCX13" s="4136"/>
      <c r="BCY13" s="4136"/>
      <c r="BCZ13" s="4136"/>
      <c r="BDA13" s="4136"/>
      <c r="BDB13" s="4136"/>
      <c r="BDC13" s="4136"/>
      <c r="BDD13" s="4136"/>
      <c r="BDE13" s="4136"/>
      <c r="BDF13" s="4136"/>
      <c r="BDG13" s="4136"/>
      <c r="BDH13" s="4136"/>
      <c r="BDI13" s="4136"/>
      <c r="BDJ13" s="4136"/>
      <c r="BDK13" s="4136"/>
      <c r="BDL13" s="4136"/>
      <c r="BDM13" s="4136"/>
      <c r="BDN13" s="4136"/>
      <c r="BDO13" s="4136"/>
      <c r="BDP13" s="4136"/>
      <c r="BDQ13" s="4136"/>
      <c r="BDR13" s="4136"/>
      <c r="BDS13" s="4136"/>
      <c r="BDT13" s="4136"/>
      <c r="BDU13" s="4136"/>
      <c r="BDV13" s="4136"/>
      <c r="BDW13" s="4136"/>
      <c r="BDX13" s="4136"/>
      <c r="BDY13" s="4136"/>
      <c r="BDZ13" s="4136"/>
      <c r="BEA13" s="4136"/>
      <c r="BEB13" s="4136"/>
      <c r="BEC13" s="4136"/>
      <c r="BED13" s="4136"/>
      <c r="BEE13" s="4136"/>
      <c r="BEF13" s="4136"/>
      <c r="BEG13" s="4136"/>
      <c r="BEH13" s="4136"/>
      <c r="BEI13" s="4136"/>
      <c r="BEJ13" s="4136"/>
      <c r="BEK13" s="4136"/>
      <c r="BEL13" s="4136"/>
      <c r="BEM13" s="4136"/>
      <c r="BEN13" s="4136"/>
      <c r="BEO13" s="4136"/>
      <c r="BEP13" s="4136"/>
      <c r="BEQ13" s="4136"/>
      <c r="BER13" s="4136"/>
      <c r="BES13" s="4136"/>
      <c r="BET13" s="4136"/>
      <c r="BEU13" s="4136"/>
      <c r="BEV13" s="4136"/>
      <c r="BEW13" s="4136"/>
      <c r="BEX13" s="4136"/>
      <c r="BEY13" s="4136"/>
      <c r="BEZ13" s="4136"/>
      <c r="BFA13" s="4136"/>
      <c r="BFB13" s="4136"/>
      <c r="BFC13" s="4136"/>
      <c r="BFD13" s="4136"/>
      <c r="BFE13" s="4136"/>
      <c r="BFF13" s="4136"/>
      <c r="BFG13" s="4136"/>
      <c r="BFH13" s="4136"/>
      <c r="BFI13" s="4136"/>
      <c r="BFJ13" s="4136"/>
      <c r="BFK13" s="4136"/>
      <c r="BFL13" s="4136"/>
      <c r="BFM13" s="4136"/>
      <c r="BFN13" s="4136"/>
      <c r="BFO13" s="4136"/>
      <c r="BFP13" s="4136"/>
      <c r="BFQ13" s="4136"/>
      <c r="BFR13" s="4136"/>
      <c r="BFS13" s="4136"/>
      <c r="BFT13" s="4136"/>
      <c r="BFU13" s="4136"/>
      <c r="BFV13" s="4136"/>
      <c r="BFW13" s="4136"/>
      <c r="BFX13" s="4136"/>
      <c r="BFY13" s="4136"/>
      <c r="BFZ13" s="4136"/>
      <c r="BGA13" s="4136"/>
      <c r="BGB13" s="4136"/>
      <c r="BGC13" s="4136"/>
      <c r="BGD13" s="4136"/>
      <c r="BGE13" s="4136"/>
      <c r="BGF13" s="4136"/>
      <c r="BGG13" s="4136"/>
      <c r="BGH13" s="4136"/>
      <c r="BGI13" s="4136"/>
      <c r="BGJ13" s="4136"/>
      <c r="BGK13" s="4136"/>
      <c r="BGL13" s="4136"/>
      <c r="BGM13" s="4136"/>
      <c r="BGN13" s="4136"/>
      <c r="BGO13" s="4136"/>
      <c r="BGP13" s="4136"/>
      <c r="BGQ13" s="4136"/>
      <c r="BGR13" s="4136"/>
      <c r="BGS13" s="4136"/>
      <c r="BGT13" s="4136"/>
      <c r="BGU13" s="4136"/>
      <c r="BGV13" s="4136"/>
      <c r="BGW13" s="4136"/>
      <c r="BGX13" s="4136"/>
      <c r="BGY13" s="4136"/>
      <c r="BGZ13" s="4136"/>
      <c r="BHA13" s="4136"/>
      <c r="BHB13" s="4136"/>
      <c r="BHC13" s="4136"/>
      <c r="BHD13" s="4136"/>
      <c r="BHE13" s="4136"/>
      <c r="BHF13" s="4136"/>
      <c r="BHG13" s="4136"/>
      <c r="BHH13" s="4136"/>
      <c r="BHI13" s="4136"/>
      <c r="BHJ13" s="4136"/>
      <c r="BHK13" s="4136"/>
      <c r="BHL13" s="4136"/>
      <c r="BHM13" s="4136"/>
      <c r="BHN13" s="4136"/>
      <c r="BHO13" s="4136"/>
      <c r="BHP13" s="4136"/>
      <c r="BHQ13" s="4136"/>
      <c r="BHR13" s="4136"/>
      <c r="BHS13" s="4136"/>
      <c r="BHT13" s="4136"/>
      <c r="BHU13" s="4136"/>
      <c r="BHV13" s="4136"/>
      <c r="BHW13" s="4136"/>
      <c r="BHX13" s="4136"/>
      <c r="BHY13" s="4136"/>
      <c r="BHZ13" s="4136"/>
      <c r="BIA13" s="4136"/>
      <c r="BIB13" s="4136"/>
      <c r="BIC13" s="4136"/>
      <c r="BID13" s="4136"/>
      <c r="BIE13" s="4136"/>
      <c r="BIF13" s="4136"/>
      <c r="BIG13" s="4136"/>
      <c r="BIH13" s="4136"/>
      <c r="BII13" s="4136"/>
      <c r="BIJ13" s="4136"/>
      <c r="BIK13" s="4136"/>
      <c r="BIL13" s="4136"/>
      <c r="BIM13" s="4136"/>
      <c r="BIN13" s="4136"/>
      <c r="BIO13" s="4136"/>
      <c r="BIP13" s="4136"/>
      <c r="BIQ13" s="4136"/>
      <c r="BIR13" s="4136"/>
      <c r="BIS13" s="4136"/>
      <c r="BIT13" s="4136"/>
      <c r="BIU13" s="4136"/>
      <c r="BIV13" s="4136"/>
      <c r="BIW13" s="4136"/>
      <c r="BIX13" s="4136"/>
      <c r="BIY13" s="4136"/>
      <c r="BIZ13" s="4136"/>
      <c r="BJA13" s="4136"/>
      <c r="BJB13" s="4136"/>
      <c r="BJC13" s="4136"/>
      <c r="BJD13" s="4136"/>
      <c r="BJE13" s="4136"/>
      <c r="BJF13" s="4136"/>
      <c r="BJG13" s="4136"/>
      <c r="BJH13" s="4136"/>
      <c r="BJI13" s="4136"/>
      <c r="BJJ13" s="4136"/>
      <c r="BJK13" s="4136"/>
      <c r="BJL13" s="4136"/>
      <c r="BJM13" s="4136"/>
      <c r="BJN13" s="4136"/>
      <c r="BJO13" s="4136"/>
      <c r="BJP13" s="4136"/>
      <c r="BJQ13" s="4136"/>
      <c r="BJR13" s="4136"/>
      <c r="BJS13" s="4136"/>
      <c r="BJT13" s="4136"/>
      <c r="BJU13" s="4136"/>
      <c r="BJV13" s="4136"/>
      <c r="BJW13" s="4136"/>
      <c r="BJX13" s="4136"/>
      <c r="BJY13" s="4136"/>
      <c r="BJZ13" s="4136"/>
      <c r="BKA13" s="4136"/>
      <c r="BKB13" s="4136"/>
      <c r="BKC13" s="4136"/>
      <c r="BKD13" s="4136"/>
      <c r="BKE13" s="4136"/>
      <c r="BKF13" s="4136"/>
      <c r="BKG13" s="4136"/>
      <c r="BKH13" s="4136"/>
      <c r="BKI13" s="4136"/>
      <c r="BKJ13" s="4136"/>
      <c r="BKK13" s="4136"/>
      <c r="BKL13" s="4136"/>
      <c r="BKM13" s="4136"/>
      <c r="BKN13" s="4136"/>
      <c r="BKO13" s="4136"/>
      <c r="BKP13" s="4136"/>
      <c r="BKQ13" s="4136"/>
      <c r="BKR13" s="4136"/>
      <c r="BKS13" s="4136"/>
      <c r="BKT13" s="4136"/>
      <c r="BKU13" s="4136"/>
      <c r="BKV13" s="4136"/>
      <c r="BKW13" s="4136"/>
      <c r="BKX13" s="4136"/>
      <c r="BKY13" s="4136"/>
      <c r="BKZ13" s="4136"/>
      <c r="BLA13" s="4136"/>
      <c r="BLB13" s="4136"/>
      <c r="BLC13" s="4136"/>
      <c r="BLD13" s="4136"/>
      <c r="BLE13" s="4136"/>
      <c r="BLF13" s="4136"/>
      <c r="BLG13" s="4136"/>
      <c r="BLH13" s="4136"/>
      <c r="BLI13" s="4136"/>
      <c r="BLJ13" s="4136"/>
      <c r="BLK13" s="4136"/>
      <c r="BLL13" s="4136"/>
      <c r="BLM13" s="4136"/>
      <c r="BLN13" s="4136"/>
      <c r="BLO13" s="4136"/>
      <c r="BLP13" s="4136"/>
      <c r="BLQ13" s="4136"/>
      <c r="BLR13" s="4136"/>
      <c r="BLS13" s="4136"/>
      <c r="BLT13" s="4136"/>
      <c r="BLU13" s="4136"/>
      <c r="BLV13" s="4136"/>
      <c r="BLW13" s="4136"/>
      <c r="BLX13" s="4136"/>
      <c r="BLY13" s="4136"/>
      <c r="BLZ13" s="4136"/>
      <c r="BMA13" s="4136"/>
      <c r="BMB13" s="4136"/>
      <c r="BMC13" s="4136"/>
      <c r="BMD13" s="4136"/>
      <c r="BME13" s="4136"/>
      <c r="BMF13" s="4136"/>
      <c r="BMG13" s="4136"/>
      <c r="BMH13" s="4136"/>
      <c r="BMI13" s="4136"/>
      <c r="BMJ13" s="4136"/>
      <c r="BMK13" s="4136"/>
      <c r="BML13" s="4136"/>
      <c r="BMM13" s="4136"/>
      <c r="BMN13" s="4136"/>
      <c r="BMO13" s="4136"/>
      <c r="BMP13" s="4136"/>
      <c r="BMQ13" s="4136"/>
      <c r="BMR13" s="4136"/>
      <c r="BMS13" s="4136"/>
      <c r="BMT13" s="4136"/>
      <c r="BMU13" s="4136"/>
      <c r="BMV13" s="4136"/>
      <c r="BMW13" s="4136"/>
      <c r="BMX13" s="4136"/>
      <c r="BMY13" s="4136"/>
      <c r="BMZ13" s="4136"/>
      <c r="BNA13" s="4136"/>
      <c r="BNB13" s="4136"/>
      <c r="BNC13" s="4136"/>
      <c r="BND13" s="4136"/>
      <c r="BNE13" s="4136"/>
      <c r="BNF13" s="4136"/>
      <c r="BNG13" s="4136"/>
      <c r="BNH13" s="4136"/>
      <c r="BNI13" s="4136"/>
      <c r="BNJ13" s="4136"/>
      <c r="BNK13" s="4136"/>
      <c r="BNL13" s="4136"/>
      <c r="BNM13" s="4136"/>
      <c r="BNN13" s="4136"/>
      <c r="BNO13" s="4136"/>
      <c r="BNP13" s="4136"/>
      <c r="BNQ13" s="4136"/>
      <c r="BNR13" s="4136"/>
      <c r="BNS13" s="4136"/>
      <c r="BNT13" s="4136"/>
      <c r="BNU13" s="4136"/>
      <c r="BNV13" s="4136"/>
      <c r="BNW13" s="4136"/>
      <c r="BNX13" s="4136"/>
      <c r="BNY13" s="4136"/>
      <c r="BNZ13" s="4136"/>
      <c r="BOA13" s="4136"/>
      <c r="BOB13" s="4136"/>
      <c r="BOC13" s="4136"/>
      <c r="BOD13" s="4136"/>
      <c r="BOE13" s="4136"/>
      <c r="BOF13" s="4136"/>
      <c r="BOG13" s="4136"/>
      <c r="BOH13" s="4136"/>
      <c r="BOI13" s="4136"/>
      <c r="BOJ13" s="4136"/>
      <c r="BOK13" s="4136"/>
      <c r="BOL13" s="4136"/>
      <c r="BOM13" s="4136"/>
      <c r="BON13" s="4136"/>
      <c r="BOO13" s="4136"/>
      <c r="BOP13" s="4136"/>
      <c r="BOQ13" s="4136"/>
      <c r="BOR13" s="4136"/>
      <c r="BOS13" s="4136"/>
      <c r="BOT13" s="4136"/>
      <c r="BOU13" s="4136"/>
      <c r="BOV13" s="4136"/>
      <c r="BOW13" s="4136"/>
      <c r="BOX13" s="4136"/>
      <c r="BOY13" s="4136"/>
      <c r="BOZ13" s="4136"/>
      <c r="BPA13" s="4136"/>
      <c r="BPB13" s="4136"/>
      <c r="BPC13" s="4136"/>
      <c r="BPD13" s="4136"/>
      <c r="BPE13" s="4136"/>
      <c r="BPF13" s="4136"/>
      <c r="BPG13" s="4136"/>
      <c r="BPH13" s="4136"/>
      <c r="BPI13" s="4136"/>
      <c r="BPJ13" s="4136"/>
      <c r="BPK13" s="4136"/>
      <c r="BPL13" s="4136"/>
      <c r="BPM13" s="4136"/>
      <c r="BPN13" s="4136"/>
      <c r="BPO13" s="4136"/>
      <c r="BPP13" s="4136"/>
      <c r="BPQ13" s="4136"/>
      <c r="BPR13" s="4136"/>
      <c r="BPS13" s="4136"/>
      <c r="BPT13" s="4136"/>
      <c r="BPU13" s="4136"/>
      <c r="BPV13" s="4136"/>
      <c r="BPW13" s="4136"/>
      <c r="BPX13" s="4136"/>
      <c r="BPY13" s="4136"/>
      <c r="BPZ13" s="4136"/>
      <c r="BQA13" s="4136"/>
      <c r="BQB13" s="4136"/>
      <c r="BQC13" s="4136"/>
      <c r="BQD13" s="4136"/>
      <c r="BQE13" s="4136"/>
      <c r="BQF13" s="4136"/>
      <c r="BQG13" s="4136"/>
      <c r="BQH13" s="4136"/>
      <c r="BQI13" s="4136"/>
      <c r="BQJ13" s="4136"/>
      <c r="BQK13" s="4136"/>
      <c r="BQL13" s="4136"/>
      <c r="BQM13" s="4136"/>
      <c r="BQN13" s="4136"/>
      <c r="BQO13" s="4136"/>
      <c r="BQP13" s="4136"/>
      <c r="BQQ13" s="4136"/>
      <c r="BQR13" s="4136"/>
      <c r="BQS13" s="4136"/>
      <c r="BQT13" s="4136"/>
      <c r="BQU13" s="4136"/>
      <c r="BQV13" s="4136"/>
      <c r="BQW13" s="4136"/>
      <c r="BQX13" s="4136"/>
      <c r="BQY13" s="4136"/>
      <c r="BQZ13" s="4136"/>
      <c r="BRA13" s="4136"/>
      <c r="BRB13" s="4136"/>
      <c r="BRC13" s="4136"/>
      <c r="BRD13" s="4136"/>
      <c r="BRE13" s="4136"/>
      <c r="BRF13" s="4136"/>
      <c r="BRG13" s="4136"/>
      <c r="BRH13" s="4136"/>
      <c r="BRI13" s="4136"/>
      <c r="BRJ13" s="4136"/>
      <c r="BRK13" s="4136"/>
      <c r="BRL13" s="4136"/>
      <c r="BRM13" s="4136"/>
      <c r="BRN13" s="4136"/>
      <c r="BRO13" s="4136"/>
      <c r="BRP13" s="4136"/>
      <c r="BRQ13" s="4136"/>
      <c r="BRR13" s="4136"/>
      <c r="BRS13" s="4136"/>
      <c r="BRT13" s="4136"/>
      <c r="BRU13" s="4136"/>
      <c r="BRV13" s="4136"/>
      <c r="BRW13" s="4136"/>
      <c r="BRX13" s="4136"/>
      <c r="BRY13" s="4136"/>
      <c r="BRZ13" s="4136"/>
      <c r="BSA13" s="4136"/>
      <c r="BSB13" s="4136"/>
      <c r="BSC13" s="4136"/>
      <c r="BSD13" s="4136"/>
      <c r="BSE13" s="4136"/>
      <c r="BSF13" s="4136"/>
      <c r="BSG13" s="4136"/>
      <c r="BSH13" s="4136"/>
      <c r="BSI13" s="4136"/>
      <c r="BSJ13" s="4136"/>
      <c r="BSK13" s="4136"/>
      <c r="BSL13" s="4136"/>
      <c r="BSM13" s="4136"/>
      <c r="BSN13" s="4136"/>
      <c r="BSO13" s="4136"/>
      <c r="BSP13" s="4136"/>
      <c r="BSQ13" s="4136"/>
      <c r="BSR13" s="4136"/>
      <c r="BSS13" s="4136"/>
      <c r="BST13" s="4136"/>
      <c r="BSU13" s="4136"/>
      <c r="BSV13" s="4136"/>
      <c r="BSW13" s="4136"/>
      <c r="BSX13" s="4136"/>
      <c r="BSY13" s="4136"/>
      <c r="BSZ13" s="4136"/>
      <c r="BTA13" s="4136"/>
      <c r="BTB13" s="4136"/>
      <c r="BTC13" s="4136"/>
      <c r="BTD13" s="4136"/>
      <c r="BTE13" s="4136"/>
      <c r="BTF13" s="4136"/>
      <c r="BTG13" s="4136"/>
      <c r="BTH13" s="4136"/>
      <c r="BTI13" s="4136"/>
      <c r="BTJ13" s="4136"/>
      <c r="BTK13" s="4136"/>
      <c r="BTL13" s="4136"/>
      <c r="BTM13" s="4136"/>
      <c r="BTN13" s="4136"/>
      <c r="BTO13" s="4136"/>
      <c r="BTP13" s="4136"/>
      <c r="BTQ13" s="4136"/>
      <c r="BTR13" s="4136"/>
      <c r="BTS13" s="4136"/>
      <c r="BTT13" s="4136"/>
      <c r="BTU13" s="4136"/>
      <c r="BTV13" s="4136"/>
      <c r="BTW13" s="4136"/>
      <c r="BTX13" s="4136"/>
      <c r="BTY13" s="4136"/>
      <c r="BTZ13" s="4136"/>
      <c r="BUA13" s="4136"/>
      <c r="BUB13" s="4136"/>
      <c r="BUC13" s="4136"/>
      <c r="BUD13" s="4136"/>
      <c r="BUE13" s="4136"/>
      <c r="BUF13" s="4136"/>
      <c r="BUG13" s="4136"/>
      <c r="BUH13" s="4136"/>
      <c r="BUI13" s="4136"/>
      <c r="BUJ13" s="4136"/>
      <c r="BUK13" s="4136"/>
      <c r="BUL13" s="4136"/>
      <c r="BUM13" s="4136"/>
      <c r="BUN13" s="4136"/>
      <c r="BUO13" s="4136"/>
      <c r="BUP13" s="4136"/>
      <c r="BUQ13" s="4136"/>
      <c r="BUR13" s="4136"/>
      <c r="BUS13" s="4136"/>
      <c r="BUT13" s="4136"/>
      <c r="BUU13" s="4136"/>
      <c r="BUV13" s="4136"/>
      <c r="BUW13" s="4136"/>
      <c r="BUX13" s="4136"/>
      <c r="BUY13" s="4136"/>
      <c r="BUZ13" s="4136"/>
      <c r="BVA13" s="4136"/>
      <c r="BVB13" s="4136"/>
      <c r="BVC13" s="4136"/>
      <c r="BVD13" s="4136"/>
      <c r="BVE13" s="4136"/>
      <c r="BVF13" s="4136"/>
      <c r="BVG13" s="4136"/>
      <c r="BVH13" s="4136"/>
      <c r="BVI13" s="4136"/>
      <c r="BVJ13" s="4136"/>
      <c r="BVK13" s="4136"/>
      <c r="BVL13" s="4136"/>
      <c r="BVM13" s="4136"/>
      <c r="BVN13" s="4136"/>
      <c r="BVO13" s="4136"/>
      <c r="BVP13" s="4136"/>
      <c r="BVQ13" s="4136"/>
      <c r="BVR13" s="4136"/>
      <c r="BVS13" s="4136"/>
      <c r="BVT13" s="4136"/>
      <c r="BVU13" s="4136"/>
      <c r="BVV13" s="4136"/>
      <c r="BVW13" s="4136"/>
      <c r="BVX13" s="4136"/>
      <c r="BVY13" s="4136"/>
      <c r="BVZ13" s="4136"/>
      <c r="BWA13" s="4136"/>
      <c r="BWB13" s="4136"/>
      <c r="BWC13" s="4136"/>
      <c r="BWD13" s="4136"/>
      <c r="BWE13" s="4136"/>
      <c r="BWF13" s="4136"/>
      <c r="BWG13" s="4136"/>
      <c r="BWH13" s="4136"/>
      <c r="BWI13" s="4136"/>
      <c r="BWJ13" s="4136"/>
      <c r="BWK13" s="4136"/>
      <c r="BWL13" s="4136"/>
      <c r="BWM13" s="4136"/>
      <c r="BWN13" s="4136"/>
      <c r="BWO13" s="4136"/>
      <c r="BWP13" s="4136"/>
      <c r="BWQ13" s="4136"/>
      <c r="BWR13" s="4136"/>
      <c r="BWS13" s="4136"/>
      <c r="BWT13" s="4136"/>
      <c r="BWU13" s="4136"/>
      <c r="BWV13" s="4136"/>
      <c r="BWW13" s="4136"/>
      <c r="BWX13" s="4136"/>
      <c r="BWY13" s="4136"/>
      <c r="BWZ13" s="4136"/>
      <c r="BXA13" s="4136"/>
      <c r="BXB13" s="4136"/>
      <c r="BXC13" s="4136"/>
      <c r="BXD13" s="4136"/>
      <c r="BXE13" s="4136"/>
      <c r="BXF13" s="4136"/>
      <c r="BXG13" s="4136"/>
      <c r="BXH13" s="4136"/>
      <c r="BXI13" s="4136"/>
      <c r="BXJ13" s="4136"/>
      <c r="BXK13" s="4136"/>
      <c r="BXL13" s="4136"/>
      <c r="BXM13" s="4136"/>
      <c r="BXN13" s="4136"/>
      <c r="BXO13" s="4136"/>
      <c r="BXP13" s="4136"/>
      <c r="BXQ13" s="4136"/>
      <c r="BXR13" s="4136"/>
      <c r="BXS13" s="4136"/>
      <c r="BXT13" s="4136"/>
      <c r="BXU13" s="4136"/>
      <c r="BXV13" s="4136"/>
      <c r="BXW13" s="4136"/>
      <c r="BXX13" s="4136"/>
      <c r="BXY13" s="4136"/>
      <c r="BXZ13" s="4136"/>
      <c r="BYA13" s="4136"/>
      <c r="BYB13" s="4136"/>
      <c r="BYC13" s="4136"/>
      <c r="BYD13" s="4136"/>
      <c r="BYE13" s="4136"/>
      <c r="BYF13" s="4136"/>
      <c r="BYG13" s="4136"/>
      <c r="BYH13" s="4136"/>
      <c r="BYI13" s="4136"/>
      <c r="BYJ13" s="4136"/>
      <c r="BYK13" s="4136"/>
      <c r="BYL13" s="4136"/>
      <c r="BYM13" s="4136"/>
      <c r="BYN13" s="4136"/>
      <c r="BYO13" s="4136"/>
      <c r="BYP13" s="4136"/>
      <c r="BYQ13" s="4136"/>
      <c r="BYR13" s="4136"/>
      <c r="BYS13" s="4136"/>
      <c r="BYT13" s="4136"/>
      <c r="BYU13" s="4136"/>
      <c r="BYV13" s="4136"/>
      <c r="BYW13" s="4136"/>
      <c r="BYX13" s="4136"/>
      <c r="BYY13" s="4136"/>
      <c r="BYZ13" s="4136"/>
      <c r="BZA13" s="4136"/>
      <c r="BZB13" s="4136"/>
      <c r="BZC13" s="4136"/>
      <c r="BZD13" s="4136"/>
      <c r="BZE13" s="4136"/>
      <c r="BZF13" s="4136"/>
      <c r="BZG13" s="4136"/>
      <c r="BZH13" s="4136"/>
      <c r="BZI13" s="4136"/>
      <c r="BZJ13" s="4136"/>
      <c r="BZK13" s="4136"/>
      <c r="BZL13" s="4136"/>
      <c r="BZM13" s="4136"/>
      <c r="BZN13" s="4136"/>
      <c r="BZO13" s="4136"/>
      <c r="BZP13" s="4136"/>
      <c r="BZQ13" s="4136"/>
      <c r="BZR13" s="4136"/>
      <c r="BZS13" s="4136"/>
      <c r="BZT13" s="4136"/>
      <c r="BZU13" s="4136"/>
      <c r="BZV13" s="4136"/>
      <c r="BZW13" s="4136"/>
      <c r="BZX13" s="4136"/>
      <c r="BZY13" s="4136"/>
      <c r="BZZ13" s="4136"/>
      <c r="CAA13" s="4136"/>
      <c r="CAB13" s="4136"/>
      <c r="CAC13" s="4136"/>
      <c r="CAD13" s="4136"/>
      <c r="CAE13" s="4136"/>
      <c r="CAF13" s="4136"/>
      <c r="CAG13" s="4136"/>
      <c r="CAH13" s="4136"/>
      <c r="CAI13" s="4136"/>
      <c r="CAJ13" s="4136"/>
      <c r="CAK13" s="4136"/>
      <c r="CAL13" s="4136"/>
      <c r="CAM13" s="4136"/>
      <c r="CAN13" s="4136"/>
      <c r="CAO13" s="4136"/>
      <c r="CAP13" s="4136"/>
      <c r="CAQ13" s="4136"/>
      <c r="CAR13" s="4136"/>
      <c r="CAS13" s="4136"/>
      <c r="CAT13" s="4136"/>
      <c r="CAU13" s="4136"/>
      <c r="CAV13" s="4136"/>
      <c r="CAW13" s="4136"/>
      <c r="CAX13" s="4136"/>
      <c r="CAY13" s="4136"/>
      <c r="CAZ13" s="4136"/>
      <c r="CBA13" s="4136"/>
      <c r="CBB13" s="4136"/>
      <c r="CBC13" s="4136"/>
      <c r="CBD13" s="4136"/>
      <c r="CBE13" s="4136"/>
      <c r="CBF13" s="4136"/>
      <c r="CBG13" s="4136"/>
      <c r="CBH13" s="4136"/>
      <c r="CBI13" s="4136"/>
      <c r="CBJ13" s="4136"/>
      <c r="CBK13" s="4136"/>
      <c r="CBL13" s="4136"/>
      <c r="CBM13" s="4136"/>
      <c r="CBN13" s="4136"/>
      <c r="CBO13" s="4136"/>
      <c r="CBP13" s="4136"/>
      <c r="CBQ13" s="4136"/>
      <c r="CBR13" s="4136"/>
      <c r="CBS13" s="4136"/>
      <c r="CBT13" s="4136"/>
      <c r="CBU13" s="4136"/>
      <c r="CBV13" s="4136"/>
      <c r="CBW13" s="4136"/>
      <c r="CBX13" s="4136"/>
      <c r="CBY13" s="4136"/>
      <c r="CBZ13" s="4136"/>
      <c r="CCA13" s="4136"/>
      <c r="CCB13" s="4136"/>
      <c r="CCC13" s="4136"/>
      <c r="CCD13" s="4136"/>
      <c r="CCE13" s="4136"/>
      <c r="CCF13" s="4136"/>
      <c r="CCG13" s="4136"/>
      <c r="CCH13" s="4136"/>
      <c r="CCI13" s="4136"/>
      <c r="CCJ13" s="4136"/>
      <c r="CCK13" s="4136"/>
      <c r="CCL13" s="4136"/>
      <c r="CCM13" s="4136"/>
      <c r="CCN13" s="4136"/>
      <c r="CCO13" s="4136"/>
      <c r="CCP13" s="4136"/>
      <c r="CCQ13" s="4136"/>
      <c r="CCR13" s="4136"/>
      <c r="CCS13" s="4136"/>
      <c r="CCT13" s="4136"/>
      <c r="CCU13" s="4136"/>
      <c r="CCV13" s="4136"/>
      <c r="CCW13" s="4136"/>
      <c r="CCX13" s="4136"/>
      <c r="CCY13" s="4136"/>
      <c r="CCZ13" s="4136"/>
      <c r="CDA13" s="4136"/>
      <c r="CDB13" s="4136"/>
      <c r="CDC13" s="4136"/>
      <c r="CDD13" s="4136"/>
      <c r="CDE13" s="4136"/>
      <c r="CDF13" s="4136"/>
      <c r="CDG13" s="4136"/>
      <c r="CDH13" s="4136"/>
      <c r="CDI13" s="4136"/>
      <c r="CDJ13" s="4136"/>
      <c r="CDK13" s="4136"/>
      <c r="CDL13" s="4136"/>
      <c r="CDM13" s="4136"/>
      <c r="CDN13" s="4136"/>
      <c r="CDO13" s="4136"/>
      <c r="CDP13" s="4136"/>
      <c r="CDQ13" s="4136"/>
      <c r="CDR13" s="4136"/>
      <c r="CDS13" s="4136"/>
      <c r="CDT13" s="4136"/>
      <c r="CDU13" s="4136"/>
      <c r="CDV13" s="4136"/>
      <c r="CDW13" s="4136"/>
      <c r="CDX13" s="4136"/>
      <c r="CDY13" s="4136"/>
      <c r="CDZ13" s="4136"/>
      <c r="CEA13" s="4136"/>
      <c r="CEB13" s="4136"/>
      <c r="CEC13" s="4136"/>
      <c r="CED13" s="4136"/>
      <c r="CEE13" s="4136"/>
      <c r="CEF13" s="4136"/>
      <c r="CEG13" s="4136"/>
      <c r="CEH13" s="4136"/>
      <c r="CEI13" s="4136"/>
      <c r="CEJ13" s="4136"/>
      <c r="CEK13" s="4136"/>
      <c r="CEL13" s="4136"/>
      <c r="CEM13" s="4136"/>
      <c r="CEN13" s="4136"/>
      <c r="CEO13" s="4136"/>
      <c r="CEP13" s="4136"/>
      <c r="CEQ13" s="4136"/>
      <c r="CER13" s="4136"/>
      <c r="CES13" s="4136"/>
      <c r="CET13" s="4136"/>
      <c r="CEU13" s="4136"/>
      <c r="CEV13" s="4136"/>
      <c r="CEW13" s="4136"/>
      <c r="CEX13" s="4136"/>
      <c r="CEY13" s="4136"/>
      <c r="CEZ13" s="4136"/>
      <c r="CFA13" s="4136"/>
      <c r="CFB13" s="4136"/>
      <c r="CFC13" s="4136"/>
      <c r="CFD13" s="4136"/>
      <c r="CFE13" s="4136"/>
      <c r="CFF13" s="4136"/>
      <c r="CFG13" s="4136"/>
      <c r="CFH13" s="4136"/>
      <c r="CFI13" s="4136"/>
      <c r="CFJ13" s="4136"/>
      <c r="CFK13" s="4136"/>
      <c r="CFL13" s="4136"/>
      <c r="CFM13" s="4136"/>
      <c r="CFN13" s="4136"/>
      <c r="CFO13" s="4136"/>
      <c r="CFP13" s="4136"/>
      <c r="CFQ13" s="4136"/>
      <c r="CFR13" s="4136"/>
      <c r="CFS13" s="4136"/>
      <c r="CFT13" s="4136"/>
      <c r="CFU13" s="4136"/>
      <c r="CFV13" s="4136"/>
      <c r="CFW13" s="4136"/>
      <c r="CFX13" s="4136"/>
      <c r="CFY13" s="4136"/>
      <c r="CFZ13" s="4136"/>
      <c r="CGA13" s="4136"/>
      <c r="CGB13" s="4136"/>
      <c r="CGC13" s="4136"/>
      <c r="CGD13" s="4136"/>
      <c r="CGE13" s="4136"/>
      <c r="CGF13" s="4136"/>
      <c r="CGG13" s="4136"/>
      <c r="CGH13" s="4136"/>
      <c r="CGI13" s="4136"/>
      <c r="CGJ13" s="4136"/>
      <c r="CGK13" s="4136"/>
      <c r="CGL13" s="4136"/>
      <c r="CGM13" s="4136"/>
      <c r="CGN13" s="4136"/>
      <c r="CGO13" s="4136"/>
      <c r="CGP13" s="4136"/>
      <c r="CGQ13" s="4136"/>
      <c r="CGR13" s="4136"/>
      <c r="CGS13" s="4136"/>
      <c r="CGT13" s="4136"/>
      <c r="CGU13" s="4136"/>
      <c r="CGV13" s="4136"/>
      <c r="CGW13" s="4136"/>
      <c r="CGX13" s="4136"/>
      <c r="CGY13" s="4136"/>
      <c r="CGZ13" s="4136"/>
      <c r="CHA13" s="4136"/>
      <c r="CHB13" s="4136"/>
      <c r="CHC13" s="4136"/>
      <c r="CHD13" s="4136"/>
      <c r="CHE13" s="4136"/>
      <c r="CHF13" s="4136"/>
      <c r="CHG13" s="4136"/>
      <c r="CHH13" s="4136"/>
      <c r="CHI13" s="4136"/>
      <c r="CHJ13" s="4136"/>
      <c r="CHK13" s="4136"/>
      <c r="CHL13" s="4136"/>
      <c r="CHM13" s="4136"/>
      <c r="CHN13" s="4136"/>
      <c r="CHO13" s="4136"/>
      <c r="CHP13" s="4136"/>
      <c r="CHQ13" s="4136"/>
      <c r="CHR13" s="4136"/>
      <c r="CHS13" s="4136"/>
      <c r="CHT13" s="4136"/>
      <c r="CHU13" s="4136"/>
      <c r="CHV13" s="4136"/>
      <c r="CHW13" s="4136"/>
      <c r="CHX13" s="4136"/>
      <c r="CHY13" s="4136"/>
      <c r="CHZ13" s="4136"/>
      <c r="CIA13" s="4136"/>
      <c r="CIB13" s="4136"/>
      <c r="CIC13" s="4136"/>
      <c r="CID13" s="4136"/>
      <c r="CIE13" s="4136"/>
      <c r="CIF13" s="4136"/>
      <c r="CIG13" s="4136"/>
      <c r="CIH13" s="4136"/>
      <c r="CII13" s="4136"/>
      <c r="CIJ13" s="4136"/>
      <c r="CIK13" s="4136"/>
      <c r="CIL13" s="4136"/>
      <c r="CIM13" s="4136"/>
      <c r="CIN13" s="4136"/>
      <c r="CIO13" s="4136"/>
      <c r="CIP13" s="4136"/>
      <c r="CIQ13" s="4136"/>
      <c r="CIR13" s="4136"/>
      <c r="CIS13" s="4136"/>
      <c r="CIT13" s="4136"/>
      <c r="CIU13" s="4136"/>
      <c r="CIV13" s="4136"/>
      <c r="CIW13" s="4136"/>
      <c r="CIX13" s="4136"/>
      <c r="CIY13" s="4136"/>
      <c r="CIZ13" s="4136"/>
      <c r="CJA13" s="4136"/>
      <c r="CJB13" s="4136"/>
      <c r="CJC13" s="4136"/>
      <c r="CJD13" s="4136"/>
      <c r="CJE13" s="4136"/>
      <c r="CJF13" s="4136"/>
      <c r="CJG13" s="4136"/>
      <c r="CJH13" s="4136"/>
      <c r="CJI13" s="4136"/>
      <c r="CJJ13" s="4136"/>
      <c r="CJK13" s="4136"/>
      <c r="CJL13" s="4136"/>
      <c r="CJM13" s="4136"/>
      <c r="CJN13" s="4136"/>
      <c r="CJO13" s="4136"/>
      <c r="CJP13" s="4136"/>
      <c r="CJQ13" s="4136"/>
      <c r="CJR13" s="4136"/>
      <c r="CJS13" s="4136"/>
      <c r="CJT13" s="4136"/>
      <c r="CJU13" s="4136"/>
      <c r="CJV13" s="4136"/>
      <c r="CJW13" s="4136"/>
      <c r="CJX13" s="4136"/>
      <c r="CJY13" s="4136"/>
      <c r="CJZ13" s="4136"/>
      <c r="CKA13" s="4136"/>
      <c r="CKB13" s="4136"/>
      <c r="CKC13" s="4136"/>
      <c r="CKD13" s="4136"/>
      <c r="CKE13" s="4136"/>
      <c r="CKF13" s="4136"/>
      <c r="CKG13" s="4136"/>
      <c r="CKH13" s="4136"/>
      <c r="CKI13" s="4136"/>
      <c r="CKJ13" s="4136"/>
      <c r="CKK13" s="4136"/>
      <c r="CKL13" s="4136"/>
      <c r="CKM13" s="4136"/>
      <c r="CKN13" s="4136"/>
      <c r="CKO13" s="4136"/>
      <c r="CKP13" s="4136"/>
      <c r="CKQ13" s="4136"/>
      <c r="CKR13" s="4136"/>
      <c r="CKS13" s="4136"/>
      <c r="CKT13" s="4136"/>
      <c r="CKU13" s="4136"/>
      <c r="CKV13" s="4136"/>
      <c r="CKW13" s="4136"/>
      <c r="CKX13" s="4136"/>
      <c r="CKY13" s="4136"/>
      <c r="CKZ13" s="4136"/>
      <c r="CLA13" s="4136"/>
      <c r="CLB13" s="4136"/>
      <c r="CLC13" s="4136"/>
      <c r="CLD13" s="4136"/>
      <c r="CLE13" s="4136"/>
      <c r="CLF13" s="4136"/>
      <c r="CLG13" s="4136"/>
      <c r="CLH13" s="4136"/>
      <c r="CLI13" s="4136"/>
      <c r="CLJ13" s="4136"/>
      <c r="CLK13" s="4136"/>
      <c r="CLL13" s="4136"/>
      <c r="CLM13" s="4136"/>
      <c r="CLN13" s="4136"/>
      <c r="CLO13" s="4136"/>
      <c r="CLP13" s="4136"/>
      <c r="CLQ13" s="4136"/>
      <c r="CLR13" s="4136"/>
      <c r="CLS13" s="4136"/>
      <c r="CLT13" s="4136"/>
      <c r="CLU13" s="4136"/>
      <c r="CLV13" s="4136"/>
      <c r="CLW13" s="4136"/>
      <c r="CLX13" s="4136"/>
      <c r="CLY13" s="4136"/>
      <c r="CLZ13" s="4136"/>
      <c r="CMA13" s="4136"/>
      <c r="CMB13" s="4136"/>
      <c r="CMC13" s="4136"/>
      <c r="CMD13" s="4136"/>
      <c r="CME13" s="4136"/>
      <c r="CMF13" s="4136"/>
      <c r="CMG13" s="4136"/>
      <c r="CMH13" s="4136"/>
      <c r="CMI13" s="4136"/>
      <c r="CMJ13" s="4136"/>
      <c r="CMK13" s="4136"/>
      <c r="CML13" s="4136"/>
      <c r="CMM13" s="4136"/>
      <c r="CMN13" s="4136"/>
      <c r="CMO13" s="4136"/>
      <c r="CMP13" s="4136"/>
      <c r="CMQ13" s="4136"/>
      <c r="CMR13" s="4136"/>
      <c r="CMS13" s="4136"/>
      <c r="CMT13" s="4136"/>
      <c r="CMU13" s="4136"/>
      <c r="CMV13" s="4136"/>
      <c r="CMW13" s="4136"/>
      <c r="CMX13" s="4136"/>
      <c r="CMY13" s="4136"/>
      <c r="CMZ13" s="4136"/>
      <c r="CNA13" s="4136"/>
      <c r="CNB13" s="4136"/>
      <c r="CNC13" s="4136"/>
      <c r="CND13" s="4136"/>
      <c r="CNE13" s="4136"/>
      <c r="CNF13" s="4136"/>
      <c r="CNG13" s="4136"/>
      <c r="CNH13" s="4136"/>
      <c r="CNI13" s="4136"/>
      <c r="CNJ13" s="4136"/>
      <c r="CNK13" s="4136"/>
      <c r="CNL13" s="4136"/>
      <c r="CNM13" s="4136"/>
      <c r="CNN13" s="4136"/>
      <c r="CNO13" s="4136"/>
      <c r="CNP13" s="4136"/>
      <c r="CNQ13" s="4136"/>
      <c r="CNR13" s="4136"/>
      <c r="CNS13" s="4136"/>
      <c r="CNT13" s="4136"/>
      <c r="CNU13" s="4136"/>
      <c r="CNV13" s="4136"/>
      <c r="CNW13" s="4136"/>
      <c r="CNX13" s="4136"/>
      <c r="CNY13" s="4136"/>
      <c r="CNZ13" s="4136"/>
      <c r="COA13" s="4136"/>
      <c r="COB13" s="4136"/>
      <c r="COC13" s="4136"/>
      <c r="COD13" s="4136"/>
      <c r="COE13" s="4136"/>
      <c r="COF13" s="4136"/>
      <c r="COG13" s="4136"/>
      <c r="COH13" s="4136"/>
      <c r="COI13" s="4136"/>
      <c r="COJ13" s="4136"/>
      <c r="COK13" s="4136"/>
      <c r="COL13" s="4136"/>
      <c r="COM13" s="4136"/>
      <c r="CON13" s="4136"/>
      <c r="COO13" s="4136"/>
      <c r="COP13" s="4136"/>
      <c r="COQ13" s="4136"/>
      <c r="COR13" s="4136"/>
      <c r="COS13" s="4136"/>
      <c r="COT13" s="4136"/>
      <c r="COU13" s="4136"/>
      <c r="COV13" s="4136"/>
      <c r="COW13" s="4136"/>
      <c r="COX13" s="4136"/>
      <c r="COY13" s="4136"/>
      <c r="COZ13" s="4136"/>
      <c r="CPA13" s="4136"/>
      <c r="CPB13" s="4136"/>
      <c r="CPC13" s="4136"/>
      <c r="CPD13" s="4136"/>
      <c r="CPE13" s="4136"/>
      <c r="CPF13" s="4136"/>
      <c r="CPG13" s="4136"/>
      <c r="CPH13" s="4136"/>
      <c r="CPI13" s="4136"/>
      <c r="CPJ13" s="4136"/>
      <c r="CPK13" s="4136"/>
      <c r="CPL13" s="4136"/>
      <c r="CPM13" s="4136"/>
      <c r="CPN13" s="4136"/>
      <c r="CPO13" s="4136"/>
      <c r="CPP13" s="4136"/>
      <c r="CPQ13" s="4136"/>
      <c r="CPR13" s="4136"/>
      <c r="CPS13" s="4136"/>
      <c r="CPT13" s="4136"/>
      <c r="CPU13" s="4136"/>
      <c r="CPV13" s="4136"/>
      <c r="CPW13" s="4136"/>
      <c r="CPX13" s="4136"/>
      <c r="CPY13" s="4136"/>
      <c r="CPZ13" s="4136"/>
      <c r="CQA13" s="4136"/>
      <c r="CQB13" s="4136"/>
      <c r="CQC13" s="4136"/>
      <c r="CQD13" s="4136"/>
      <c r="CQE13" s="4136"/>
      <c r="CQF13" s="4136"/>
      <c r="CQG13" s="4136"/>
      <c r="CQH13" s="4136"/>
      <c r="CQI13" s="4136"/>
      <c r="CQJ13" s="4136"/>
      <c r="CQK13" s="4136"/>
      <c r="CQL13" s="4136"/>
      <c r="CQM13" s="4136"/>
      <c r="CQN13" s="4136"/>
      <c r="CQO13" s="4136"/>
      <c r="CQP13" s="4136"/>
      <c r="CQQ13" s="4136"/>
      <c r="CQR13" s="4136"/>
      <c r="CQS13" s="4136"/>
      <c r="CQT13" s="4136"/>
      <c r="CQU13" s="4136"/>
      <c r="CQV13" s="4136"/>
      <c r="CQW13" s="4136"/>
      <c r="CQX13" s="4136"/>
      <c r="CQY13" s="4136"/>
      <c r="CQZ13" s="4136"/>
      <c r="CRA13" s="4136"/>
      <c r="CRB13" s="4136"/>
      <c r="CRC13" s="4136"/>
      <c r="CRD13" s="4136"/>
      <c r="CRE13" s="4136"/>
      <c r="CRF13" s="4136"/>
      <c r="CRG13" s="4136"/>
      <c r="CRH13" s="4136"/>
      <c r="CRI13" s="4136"/>
      <c r="CRJ13" s="4136"/>
      <c r="CRK13" s="4136"/>
      <c r="CRL13" s="4136"/>
      <c r="CRM13" s="4136"/>
      <c r="CRN13" s="4136"/>
      <c r="CRO13" s="4136"/>
      <c r="CRP13" s="4136"/>
      <c r="CRQ13" s="4136"/>
      <c r="CRR13" s="4136"/>
      <c r="CRS13" s="4136"/>
      <c r="CRT13" s="4136"/>
      <c r="CRU13" s="4136"/>
      <c r="CRV13" s="4136"/>
      <c r="CRW13" s="4136"/>
      <c r="CRX13" s="4136"/>
      <c r="CRY13" s="4136"/>
      <c r="CRZ13" s="4136"/>
      <c r="CSA13" s="4136"/>
      <c r="CSB13" s="4136"/>
      <c r="CSC13" s="4136"/>
      <c r="CSD13" s="4136"/>
      <c r="CSE13" s="4136"/>
      <c r="CSF13" s="4136"/>
      <c r="CSG13" s="4136"/>
      <c r="CSH13" s="4136"/>
      <c r="CSI13" s="4136"/>
      <c r="CSJ13" s="4136"/>
      <c r="CSK13" s="4136"/>
      <c r="CSL13" s="4136"/>
      <c r="CSM13" s="4136"/>
      <c r="CSN13" s="4136"/>
      <c r="CSO13" s="4136"/>
      <c r="CSP13" s="4136"/>
      <c r="CSQ13" s="4136"/>
      <c r="CSR13" s="4136"/>
      <c r="CSS13" s="4136"/>
      <c r="CST13" s="4136"/>
      <c r="CSU13" s="4136"/>
      <c r="CSV13" s="4136"/>
      <c r="CSW13" s="4136"/>
      <c r="CSX13" s="4136"/>
      <c r="CSY13" s="4136"/>
      <c r="CSZ13" s="4136"/>
      <c r="CTA13" s="4136"/>
      <c r="CTB13" s="4136"/>
      <c r="CTC13" s="4136"/>
      <c r="CTD13" s="4136"/>
      <c r="CTE13" s="4136"/>
      <c r="CTF13" s="4136"/>
      <c r="CTG13" s="4136"/>
      <c r="CTH13" s="4136"/>
      <c r="CTI13" s="4136"/>
      <c r="CTJ13" s="4136"/>
      <c r="CTK13" s="4136"/>
      <c r="CTL13" s="4136"/>
      <c r="CTM13" s="4136"/>
      <c r="CTN13" s="4136"/>
      <c r="CTO13" s="4136"/>
      <c r="CTP13" s="4136"/>
      <c r="CTQ13" s="4136"/>
      <c r="CTR13" s="4136"/>
      <c r="CTS13" s="4136"/>
      <c r="CTT13" s="4136"/>
      <c r="CTU13" s="4136"/>
      <c r="CTV13" s="4136"/>
      <c r="CTW13" s="4136"/>
      <c r="CTX13" s="4136"/>
      <c r="CTY13" s="4136"/>
      <c r="CTZ13" s="4136"/>
      <c r="CUA13" s="4136"/>
      <c r="CUB13" s="4136"/>
      <c r="CUC13" s="4136"/>
      <c r="CUD13" s="4136"/>
      <c r="CUE13" s="4136"/>
      <c r="CUF13" s="4136"/>
      <c r="CUG13" s="4136"/>
      <c r="CUH13" s="4136"/>
      <c r="CUI13" s="4136"/>
      <c r="CUJ13" s="4136"/>
      <c r="CUK13" s="4136"/>
      <c r="CUL13" s="4136"/>
      <c r="CUM13" s="4136"/>
      <c r="CUN13" s="4136"/>
      <c r="CUO13" s="4136"/>
      <c r="CUP13" s="4136"/>
      <c r="CUQ13" s="4136"/>
      <c r="CUR13" s="4136"/>
      <c r="CUS13" s="4136"/>
      <c r="CUT13" s="4136"/>
      <c r="CUU13" s="4136"/>
      <c r="CUV13" s="4136"/>
      <c r="CUW13" s="4136"/>
      <c r="CUX13" s="4136"/>
      <c r="CUY13" s="4136"/>
      <c r="CUZ13" s="4136"/>
      <c r="CVA13" s="4136"/>
      <c r="CVB13" s="4136"/>
      <c r="CVC13" s="4136"/>
      <c r="CVD13" s="4136"/>
      <c r="CVE13" s="4136"/>
      <c r="CVF13" s="4136"/>
      <c r="CVG13" s="4136"/>
      <c r="CVH13" s="4136"/>
      <c r="CVI13" s="4136"/>
      <c r="CVJ13" s="4136"/>
      <c r="CVK13" s="4136"/>
      <c r="CVL13" s="4136"/>
      <c r="CVM13" s="4136"/>
      <c r="CVN13" s="4136"/>
      <c r="CVO13" s="4136"/>
      <c r="CVP13" s="4136"/>
      <c r="CVQ13" s="4136"/>
      <c r="CVR13" s="4136"/>
      <c r="CVS13" s="4136"/>
      <c r="CVT13" s="4136"/>
      <c r="CVU13" s="4136"/>
      <c r="CVV13" s="4136"/>
      <c r="CVW13" s="4136"/>
      <c r="CVX13" s="4136"/>
      <c r="CVY13" s="4136"/>
      <c r="CVZ13" s="4136"/>
      <c r="CWA13" s="4136"/>
      <c r="CWB13" s="4136"/>
      <c r="CWC13" s="4136"/>
      <c r="CWD13" s="4136"/>
      <c r="CWE13" s="4136"/>
      <c r="CWF13" s="4136"/>
      <c r="CWG13" s="4136"/>
      <c r="CWH13" s="4136"/>
      <c r="CWI13" s="4136"/>
      <c r="CWJ13" s="4136"/>
      <c r="CWK13" s="4136"/>
      <c r="CWL13" s="4136"/>
      <c r="CWM13" s="4136"/>
      <c r="CWN13" s="4136"/>
      <c r="CWO13" s="4136"/>
      <c r="CWP13" s="4136"/>
      <c r="CWQ13" s="4136"/>
      <c r="CWR13" s="4136"/>
      <c r="CWS13" s="4136"/>
      <c r="CWT13" s="4136"/>
      <c r="CWU13" s="4136"/>
      <c r="CWV13" s="4136"/>
      <c r="CWW13" s="4136"/>
      <c r="CWX13" s="4136"/>
      <c r="CWY13" s="4136"/>
      <c r="CWZ13" s="4136"/>
      <c r="CXA13" s="4136"/>
      <c r="CXB13" s="4136"/>
      <c r="CXC13" s="4136"/>
      <c r="CXD13" s="4136"/>
      <c r="CXE13" s="4136"/>
      <c r="CXF13" s="4136"/>
      <c r="CXG13" s="4136"/>
      <c r="CXH13" s="4136"/>
      <c r="CXI13" s="4136"/>
      <c r="CXJ13" s="4136"/>
      <c r="CXK13" s="4136"/>
      <c r="CXL13" s="4136"/>
      <c r="CXM13" s="4136"/>
      <c r="CXN13" s="4136"/>
      <c r="CXO13" s="4136"/>
      <c r="CXP13" s="4136"/>
      <c r="CXQ13" s="4136"/>
      <c r="CXR13" s="4136"/>
      <c r="CXS13" s="4136"/>
      <c r="CXT13" s="4136"/>
      <c r="CXU13" s="4136"/>
      <c r="CXV13" s="4136"/>
      <c r="CXW13" s="4136"/>
      <c r="CXX13" s="4136"/>
      <c r="CXY13" s="4136"/>
      <c r="CXZ13" s="4136"/>
      <c r="CYA13" s="4136"/>
      <c r="CYB13" s="4136"/>
      <c r="CYC13" s="4136"/>
      <c r="CYD13" s="4136"/>
      <c r="CYE13" s="4136"/>
      <c r="CYF13" s="4136"/>
      <c r="CYG13" s="4136"/>
      <c r="CYH13" s="4136"/>
      <c r="CYI13" s="4136"/>
      <c r="CYJ13" s="4136"/>
      <c r="CYK13" s="4136"/>
      <c r="CYL13" s="4136"/>
      <c r="CYM13" s="4136"/>
      <c r="CYN13" s="4136"/>
      <c r="CYO13" s="4136"/>
      <c r="CYP13" s="4136"/>
      <c r="CYQ13" s="4136"/>
      <c r="CYR13" s="4136"/>
      <c r="CYS13" s="4136"/>
      <c r="CYT13" s="4136"/>
      <c r="CYU13" s="4136"/>
      <c r="CYV13" s="4136"/>
      <c r="CYW13" s="4136"/>
      <c r="CYX13" s="4136"/>
      <c r="CYY13" s="4136"/>
      <c r="CYZ13" s="4136"/>
      <c r="CZA13" s="4136"/>
      <c r="CZB13" s="4136"/>
      <c r="CZC13" s="4136"/>
      <c r="CZD13" s="4136"/>
      <c r="CZE13" s="4136"/>
      <c r="CZF13" s="4136"/>
      <c r="CZG13" s="4136"/>
      <c r="CZH13" s="4136"/>
      <c r="CZI13" s="4136"/>
      <c r="CZJ13" s="4136"/>
      <c r="CZK13" s="4136"/>
      <c r="CZL13" s="4136"/>
      <c r="CZM13" s="4136"/>
      <c r="CZN13" s="4136"/>
      <c r="CZO13" s="4136"/>
      <c r="CZP13" s="4136"/>
      <c r="CZQ13" s="4136"/>
      <c r="CZR13" s="4136"/>
      <c r="CZS13" s="4136"/>
      <c r="CZT13" s="4136"/>
      <c r="CZU13" s="4136"/>
      <c r="CZV13" s="4136"/>
      <c r="CZW13" s="4136"/>
      <c r="CZX13" s="4136"/>
      <c r="CZY13" s="4136"/>
      <c r="CZZ13" s="4136"/>
      <c r="DAA13" s="4136"/>
      <c r="DAB13" s="4136"/>
      <c r="DAC13" s="4136"/>
      <c r="DAD13" s="4136"/>
      <c r="DAE13" s="4136"/>
      <c r="DAF13" s="4136"/>
      <c r="DAG13" s="4136"/>
      <c r="DAH13" s="4136"/>
      <c r="DAI13" s="4136"/>
      <c r="DAJ13" s="4136"/>
      <c r="DAK13" s="4136"/>
      <c r="DAL13" s="4136"/>
      <c r="DAM13" s="4136"/>
      <c r="DAN13" s="4136"/>
      <c r="DAO13" s="4136"/>
      <c r="DAP13" s="4136"/>
      <c r="DAQ13" s="4136"/>
      <c r="DAR13" s="4136"/>
      <c r="DAS13" s="4136"/>
      <c r="DAT13" s="4136"/>
      <c r="DAU13" s="4136"/>
      <c r="DAV13" s="4136"/>
      <c r="DAW13" s="4136"/>
      <c r="DAX13" s="4136"/>
      <c r="DAY13" s="4136"/>
      <c r="DAZ13" s="4136"/>
      <c r="DBA13" s="4136"/>
      <c r="DBB13" s="4136"/>
      <c r="DBC13" s="4136"/>
      <c r="DBD13" s="4136"/>
      <c r="DBE13" s="4136"/>
      <c r="DBF13" s="4136"/>
      <c r="DBG13" s="4136"/>
      <c r="DBH13" s="4136"/>
      <c r="DBI13" s="4136"/>
      <c r="DBJ13" s="4136"/>
      <c r="DBK13" s="4136"/>
      <c r="DBL13" s="4136"/>
      <c r="DBM13" s="4136"/>
      <c r="DBN13" s="4136"/>
      <c r="DBO13" s="4136"/>
      <c r="DBP13" s="4136"/>
      <c r="DBQ13" s="4136"/>
      <c r="DBR13" s="4136"/>
      <c r="DBS13" s="4136"/>
      <c r="DBT13" s="4136"/>
      <c r="DBU13" s="4136"/>
      <c r="DBV13" s="4136"/>
      <c r="DBW13" s="4136"/>
      <c r="DBX13" s="4136"/>
      <c r="DBY13" s="4136"/>
      <c r="DBZ13" s="4136"/>
      <c r="DCA13" s="4136"/>
      <c r="DCB13" s="4136"/>
      <c r="DCC13" s="4136"/>
      <c r="DCD13" s="4136"/>
      <c r="DCE13" s="4136"/>
      <c r="DCF13" s="4136"/>
      <c r="DCG13" s="4136"/>
      <c r="DCH13" s="4136"/>
      <c r="DCI13" s="4136"/>
      <c r="DCJ13" s="4136"/>
      <c r="DCK13" s="4136"/>
      <c r="DCL13" s="4136"/>
      <c r="DCM13" s="4136"/>
      <c r="DCN13" s="4136"/>
      <c r="DCO13" s="4136"/>
      <c r="DCP13" s="4136"/>
      <c r="DCQ13" s="4136"/>
      <c r="DCR13" s="4136"/>
      <c r="DCS13" s="4136"/>
      <c r="DCT13" s="4136"/>
      <c r="DCU13" s="4136"/>
      <c r="DCV13" s="4136"/>
      <c r="DCW13" s="4136"/>
      <c r="DCX13" s="4136"/>
      <c r="DCY13" s="4136"/>
      <c r="DCZ13" s="4136"/>
      <c r="DDA13" s="4136"/>
      <c r="DDB13" s="4136"/>
      <c r="DDC13" s="4136"/>
      <c r="DDD13" s="4136"/>
      <c r="DDE13" s="4136"/>
      <c r="DDF13" s="4136"/>
      <c r="DDG13" s="4136"/>
      <c r="DDH13" s="4136"/>
      <c r="DDI13" s="4136"/>
      <c r="DDJ13" s="4136"/>
      <c r="DDK13" s="4136"/>
      <c r="DDL13" s="4136"/>
      <c r="DDM13" s="4136"/>
      <c r="DDN13" s="4136"/>
      <c r="DDO13" s="4136"/>
      <c r="DDP13" s="4136"/>
      <c r="DDQ13" s="4136"/>
      <c r="DDR13" s="4136"/>
      <c r="DDS13" s="4136"/>
      <c r="DDT13" s="4136"/>
      <c r="DDU13" s="4136"/>
      <c r="DDV13" s="4136"/>
      <c r="DDW13" s="4136"/>
      <c r="DDX13" s="4136"/>
      <c r="DDY13" s="4136"/>
      <c r="DDZ13" s="4136"/>
      <c r="DEA13" s="4136"/>
      <c r="DEB13" s="4136"/>
      <c r="DEC13" s="4136"/>
      <c r="DED13" s="4136"/>
      <c r="DEE13" s="4136"/>
      <c r="DEF13" s="4136"/>
      <c r="DEG13" s="4136"/>
      <c r="DEH13" s="4136"/>
      <c r="DEI13" s="4136"/>
      <c r="DEJ13" s="4136"/>
      <c r="DEK13" s="4136"/>
      <c r="DEL13" s="4136"/>
      <c r="DEM13" s="4136"/>
      <c r="DEN13" s="4136"/>
      <c r="DEO13" s="4136"/>
      <c r="DEP13" s="4136"/>
      <c r="DEQ13" s="4136"/>
      <c r="DER13" s="4136"/>
      <c r="DES13" s="4136"/>
      <c r="DET13" s="4136"/>
      <c r="DEU13" s="4136"/>
      <c r="DEV13" s="4136"/>
      <c r="DEW13" s="4136"/>
      <c r="DEX13" s="4136"/>
      <c r="DEY13" s="4136"/>
      <c r="DEZ13" s="4136"/>
      <c r="DFA13" s="4136"/>
      <c r="DFB13" s="4136"/>
      <c r="DFC13" s="4136"/>
      <c r="DFD13" s="4136"/>
      <c r="DFE13" s="4136"/>
      <c r="DFF13" s="4136"/>
      <c r="DFG13" s="4136"/>
      <c r="DFH13" s="4136"/>
      <c r="DFI13" s="4136"/>
      <c r="DFJ13" s="4136"/>
      <c r="DFK13" s="4136"/>
      <c r="DFL13" s="4136"/>
      <c r="DFM13" s="4136"/>
      <c r="DFN13" s="4136"/>
      <c r="DFO13" s="4136"/>
      <c r="DFP13" s="4136"/>
      <c r="DFQ13" s="4136"/>
      <c r="DFR13" s="4136"/>
      <c r="DFS13" s="4136"/>
      <c r="DFT13" s="4136"/>
      <c r="DFU13" s="4136"/>
      <c r="DFV13" s="4136"/>
      <c r="DFW13" s="4136"/>
      <c r="DFX13" s="4136"/>
      <c r="DFY13" s="4136"/>
      <c r="DFZ13" s="4136"/>
      <c r="DGA13" s="4136"/>
      <c r="DGB13" s="4136"/>
      <c r="DGC13" s="4136"/>
      <c r="DGD13" s="4136"/>
      <c r="DGE13" s="4136"/>
      <c r="DGF13" s="4136"/>
      <c r="DGG13" s="4136"/>
      <c r="DGH13" s="4136"/>
      <c r="DGI13" s="4136"/>
      <c r="DGJ13" s="4136"/>
      <c r="DGK13" s="4136"/>
      <c r="DGL13" s="4136"/>
      <c r="DGM13" s="4136"/>
      <c r="DGN13" s="4136"/>
      <c r="DGO13" s="4136"/>
      <c r="DGP13" s="4136"/>
      <c r="DGQ13" s="4136"/>
      <c r="DGR13" s="4136"/>
      <c r="DGS13" s="4136"/>
      <c r="DGT13" s="4136"/>
      <c r="DGU13" s="4136"/>
      <c r="DGV13" s="4136"/>
      <c r="DGW13" s="4136"/>
      <c r="DGX13" s="4136"/>
      <c r="DGY13" s="4136"/>
      <c r="DGZ13" s="4136"/>
      <c r="DHA13" s="4136"/>
      <c r="DHB13" s="4136"/>
      <c r="DHC13" s="4136"/>
      <c r="DHD13" s="4136"/>
      <c r="DHE13" s="4136"/>
      <c r="DHF13" s="4136"/>
      <c r="DHG13" s="4136"/>
      <c r="DHH13" s="4136"/>
      <c r="DHI13" s="4136"/>
      <c r="DHJ13" s="4136"/>
      <c r="DHK13" s="4136"/>
      <c r="DHL13" s="4136"/>
      <c r="DHM13" s="4136"/>
      <c r="DHN13" s="4136"/>
      <c r="DHO13" s="4136"/>
      <c r="DHP13" s="4136"/>
      <c r="DHQ13" s="4136"/>
      <c r="DHR13" s="4136"/>
      <c r="DHS13" s="4136"/>
      <c r="DHT13" s="4136"/>
      <c r="DHU13" s="4136"/>
      <c r="DHV13" s="4136"/>
      <c r="DHW13" s="4136"/>
      <c r="DHX13" s="4136"/>
      <c r="DHY13" s="4136"/>
      <c r="DHZ13" s="4136"/>
      <c r="DIA13" s="4136"/>
      <c r="DIB13" s="4136"/>
      <c r="DIC13" s="4136"/>
      <c r="DID13" s="4136"/>
      <c r="DIE13" s="4136"/>
      <c r="DIF13" s="4136"/>
      <c r="DIG13" s="4136"/>
      <c r="DIH13" s="4136"/>
      <c r="DII13" s="4136"/>
      <c r="DIJ13" s="4136"/>
      <c r="DIK13" s="4136"/>
      <c r="DIL13" s="4136"/>
      <c r="DIM13" s="4136"/>
      <c r="DIN13" s="4136"/>
      <c r="DIO13" s="4136"/>
      <c r="DIP13" s="4136"/>
      <c r="DIQ13" s="4136"/>
      <c r="DIR13" s="4136"/>
      <c r="DIS13" s="4136"/>
      <c r="DIT13" s="4136"/>
      <c r="DIU13" s="4136"/>
      <c r="DIV13" s="4136"/>
      <c r="DIW13" s="4136"/>
      <c r="DIX13" s="4136"/>
      <c r="DIY13" s="4136"/>
      <c r="DIZ13" s="4136"/>
      <c r="DJA13" s="4136"/>
      <c r="DJB13" s="4136"/>
      <c r="DJC13" s="4136"/>
      <c r="DJD13" s="4136"/>
      <c r="DJE13" s="4136"/>
      <c r="DJF13" s="4136"/>
      <c r="DJG13" s="4136"/>
      <c r="DJH13" s="4136"/>
      <c r="DJI13" s="4136"/>
      <c r="DJJ13" s="4136"/>
      <c r="DJK13" s="4136"/>
      <c r="DJL13" s="4136"/>
      <c r="DJM13" s="4136"/>
      <c r="DJN13" s="4136"/>
      <c r="DJO13" s="4136"/>
      <c r="DJP13" s="4136"/>
      <c r="DJQ13" s="4136"/>
      <c r="DJR13" s="4136"/>
      <c r="DJS13" s="4136"/>
      <c r="DJT13" s="4136"/>
      <c r="DJU13" s="4136"/>
      <c r="DJV13" s="4136"/>
      <c r="DJW13" s="4136"/>
      <c r="DJX13" s="4136"/>
      <c r="DJY13" s="4136"/>
      <c r="DJZ13" s="4136"/>
      <c r="DKA13" s="4136"/>
      <c r="DKB13" s="4136"/>
      <c r="DKC13" s="4136"/>
      <c r="DKD13" s="4136"/>
      <c r="DKE13" s="4136"/>
      <c r="DKF13" s="4136"/>
      <c r="DKG13" s="4136"/>
      <c r="DKH13" s="4136"/>
      <c r="DKI13" s="4136"/>
      <c r="DKJ13" s="4136"/>
      <c r="DKK13" s="4136"/>
      <c r="DKL13" s="4136"/>
      <c r="DKM13" s="4136"/>
      <c r="DKN13" s="4136"/>
      <c r="DKO13" s="4136"/>
      <c r="DKP13" s="4136"/>
      <c r="DKQ13" s="4136"/>
      <c r="DKR13" s="4136"/>
      <c r="DKS13" s="4136"/>
      <c r="DKT13" s="4136"/>
      <c r="DKU13" s="4136"/>
      <c r="DKV13" s="4136"/>
      <c r="DKW13" s="4136"/>
      <c r="DKX13" s="4136"/>
      <c r="DKY13" s="4136"/>
      <c r="DKZ13" s="4136"/>
      <c r="DLA13" s="4136"/>
      <c r="DLB13" s="4136"/>
      <c r="DLC13" s="4136"/>
      <c r="DLD13" s="4136"/>
      <c r="DLE13" s="4136"/>
      <c r="DLF13" s="4136"/>
      <c r="DLG13" s="4136"/>
      <c r="DLH13" s="4136"/>
      <c r="DLI13" s="4136"/>
      <c r="DLJ13" s="4136"/>
      <c r="DLK13" s="4136"/>
      <c r="DLL13" s="4136"/>
      <c r="DLM13" s="4136"/>
      <c r="DLN13" s="4136"/>
      <c r="DLO13" s="4136"/>
      <c r="DLP13" s="4136"/>
      <c r="DLQ13" s="4136"/>
      <c r="DLR13" s="4136"/>
      <c r="DLS13" s="4136"/>
      <c r="DLT13" s="4136"/>
      <c r="DLU13" s="4136"/>
      <c r="DLV13" s="4136"/>
      <c r="DLW13" s="4136"/>
      <c r="DLX13" s="4136"/>
      <c r="DLY13" s="4136"/>
      <c r="DLZ13" s="4136"/>
      <c r="DMA13" s="4136"/>
      <c r="DMB13" s="4136"/>
      <c r="DMC13" s="4136"/>
      <c r="DMD13" s="4136"/>
      <c r="DME13" s="4136"/>
      <c r="DMF13" s="4136"/>
      <c r="DMG13" s="4136"/>
      <c r="DMH13" s="4136"/>
      <c r="DMI13" s="4136"/>
      <c r="DMJ13" s="4136"/>
      <c r="DMK13" s="4136"/>
      <c r="DML13" s="4136"/>
      <c r="DMM13" s="4136"/>
      <c r="DMN13" s="4136"/>
      <c r="DMO13" s="4136"/>
      <c r="DMP13" s="4136"/>
      <c r="DMQ13" s="4136"/>
      <c r="DMR13" s="4136"/>
      <c r="DMS13" s="4136"/>
      <c r="DMT13" s="4136"/>
      <c r="DMU13" s="4136"/>
      <c r="DMV13" s="4136"/>
      <c r="DMW13" s="4136"/>
      <c r="DMX13" s="4136"/>
      <c r="DMY13" s="4136"/>
      <c r="DMZ13" s="4136"/>
      <c r="DNA13" s="4136"/>
      <c r="DNB13" s="4136"/>
      <c r="DNC13" s="4136"/>
      <c r="DND13" s="4136"/>
      <c r="DNE13" s="4136"/>
      <c r="DNF13" s="4136"/>
      <c r="DNG13" s="4136"/>
      <c r="DNH13" s="4136"/>
      <c r="DNI13" s="4136"/>
      <c r="DNJ13" s="4136"/>
      <c r="DNK13" s="4136"/>
      <c r="DNL13" s="4136"/>
      <c r="DNM13" s="4136"/>
      <c r="DNN13" s="4136"/>
      <c r="DNO13" s="4136"/>
      <c r="DNP13" s="4136"/>
      <c r="DNQ13" s="4136"/>
      <c r="DNR13" s="4136"/>
      <c r="DNS13" s="4136"/>
      <c r="DNT13" s="4136"/>
      <c r="DNU13" s="4136"/>
      <c r="DNV13" s="4136"/>
      <c r="DNW13" s="4136"/>
      <c r="DNX13" s="4136"/>
      <c r="DNY13" s="4136"/>
      <c r="DNZ13" s="4136"/>
      <c r="DOA13" s="4136"/>
      <c r="DOB13" s="4136"/>
      <c r="DOC13" s="4136"/>
      <c r="DOD13" s="4136"/>
      <c r="DOE13" s="4136"/>
      <c r="DOF13" s="4136"/>
      <c r="DOG13" s="4136"/>
      <c r="DOH13" s="4136"/>
      <c r="DOI13" s="4136"/>
      <c r="DOJ13" s="4136"/>
      <c r="DOK13" s="4136"/>
      <c r="DOL13" s="4136"/>
      <c r="DOM13" s="4136"/>
      <c r="DON13" s="4136"/>
      <c r="DOO13" s="4136"/>
      <c r="DOP13" s="4136"/>
      <c r="DOQ13" s="4136"/>
      <c r="DOR13" s="4136"/>
      <c r="DOS13" s="4136"/>
      <c r="DOT13" s="4136"/>
      <c r="DOU13" s="4136"/>
      <c r="DOV13" s="4136"/>
      <c r="DOW13" s="4136"/>
      <c r="DOX13" s="4136"/>
      <c r="DOY13" s="4136"/>
      <c r="DOZ13" s="4136"/>
      <c r="DPA13" s="4136"/>
      <c r="DPB13" s="4136"/>
      <c r="DPC13" s="4136"/>
      <c r="DPD13" s="4136"/>
      <c r="DPE13" s="4136"/>
      <c r="DPF13" s="4136"/>
      <c r="DPG13" s="4136"/>
      <c r="DPH13" s="4136"/>
      <c r="DPI13" s="4136"/>
      <c r="DPJ13" s="4136"/>
      <c r="DPK13" s="4136"/>
      <c r="DPL13" s="4136"/>
      <c r="DPM13" s="4136"/>
      <c r="DPN13" s="4136"/>
      <c r="DPO13" s="4136"/>
      <c r="DPP13" s="4136"/>
      <c r="DPQ13" s="4136"/>
      <c r="DPR13" s="4136"/>
      <c r="DPS13" s="4136"/>
      <c r="DPT13" s="4136"/>
      <c r="DPU13" s="4136"/>
      <c r="DPV13" s="4136"/>
      <c r="DPW13" s="4136"/>
      <c r="DPX13" s="4136"/>
      <c r="DPY13" s="4136"/>
      <c r="DPZ13" s="4136"/>
      <c r="DQA13" s="4136"/>
      <c r="DQB13" s="4136"/>
      <c r="DQC13" s="4136"/>
      <c r="DQD13" s="4136"/>
      <c r="DQE13" s="4136"/>
      <c r="DQF13" s="4136"/>
      <c r="DQG13" s="4136"/>
      <c r="DQH13" s="4136"/>
      <c r="DQI13" s="4136"/>
      <c r="DQJ13" s="4136"/>
      <c r="DQK13" s="4136"/>
      <c r="DQL13" s="4136"/>
      <c r="DQM13" s="4136"/>
      <c r="DQN13" s="4136"/>
      <c r="DQO13" s="4136"/>
      <c r="DQP13" s="4136"/>
      <c r="DQQ13" s="4136"/>
      <c r="DQR13" s="4136"/>
      <c r="DQS13" s="4136"/>
      <c r="DQT13" s="4136"/>
      <c r="DQU13" s="4136"/>
      <c r="DQV13" s="4136"/>
      <c r="DQW13" s="4136"/>
      <c r="DQX13" s="4136"/>
      <c r="DQY13" s="4136"/>
      <c r="DQZ13" s="4136"/>
      <c r="DRA13" s="4136"/>
      <c r="DRB13" s="4136"/>
      <c r="DRC13" s="4136"/>
      <c r="DRD13" s="4136"/>
      <c r="DRE13" s="4136"/>
      <c r="DRF13" s="4136"/>
      <c r="DRG13" s="4136"/>
      <c r="DRH13" s="4136"/>
      <c r="DRI13" s="4136"/>
      <c r="DRJ13" s="4136"/>
      <c r="DRK13" s="4136"/>
      <c r="DRL13" s="4136"/>
      <c r="DRM13" s="4136"/>
      <c r="DRN13" s="4136"/>
      <c r="DRO13" s="4136"/>
      <c r="DRP13" s="4136"/>
      <c r="DRQ13" s="4136"/>
      <c r="DRR13" s="4136"/>
      <c r="DRS13" s="4136"/>
      <c r="DRT13" s="4136"/>
      <c r="DRU13" s="4136"/>
      <c r="DRV13" s="4136"/>
      <c r="DRW13" s="4136"/>
      <c r="DRX13" s="4136"/>
      <c r="DRY13" s="4136"/>
      <c r="DRZ13" s="4136"/>
      <c r="DSA13" s="4136"/>
      <c r="DSB13" s="4136"/>
      <c r="DSC13" s="4136"/>
      <c r="DSD13" s="4136"/>
      <c r="DSE13" s="4136"/>
      <c r="DSF13" s="4136"/>
      <c r="DSG13" s="4136"/>
      <c r="DSH13" s="4136"/>
      <c r="DSI13" s="4136"/>
      <c r="DSJ13" s="4136"/>
      <c r="DSK13" s="4136"/>
      <c r="DSL13" s="4136"/>
      <c r="DSM13" s="4136"/>
      <c r="DSN13" s="4136"/>
      <c r="DSO13" s="4136"/>
      <c r="DSP13" s="4136"/>
      <c r="DSQ13" s="4136"/>
      <c r="DSR13" s="4136"/>
      <c r="DSS13" s="4136"/>
      <c r="DST13" s="4136"/>
      <c r="DSU13" s="4136"/>
      <c r="DSV13" s="4136"/>
      <c r="DSW13" s="4136"/>
      <c r="DSX13" s="4136"/>
      <c r="DSY13" s="4136"/>
      <c r="DSZ13" s="4136"/>
      <c r="DTA13" s="4136"/>
      <c r="DTB13" s="4136"/>
      <c r="DTC13" s="4136"/>
      <c r="DTD13" s="4136"/>
      <c r="DTE13" s="4136"/>
      <c r="DTF13" s="4136"/>
      <c r="DTG13" s="4136"/>
      <c r="DTH13" s="4136"/>
      <c r="DTI13" s="4136"/>
      <c r="DTJ13" s="4136"/>
      <c r="DTK13" s="4136"/>
      <c r="DTL13" s="4136"/>
      <c r="DTM13" s="4136"/>
      <c r="DTN13" s="4136"/>
      <c r="DTO13" s="4136"/>
      <c r="DTP13" s="4136"/>
      <c r="DTQ13" s="4136"/>
      <c r="DTR13" s="4136"/>
      <c r="DTS13" s="4136"/>
      <c r="DTT13" s="4136"/>
      <c r="DTU13" s="4136"/>
      <c r="DTV13" s="4136"/>
      <c r="DTW13" s="4136"/>
      <c r="DTX13" s="4136"/>
      <c r="DTY13" s="4136"/>
      <c r="DTZ13" s="4136"/>
      <c r="DUA13" s="4136"/>
      <c r="DUB13" s="4136"/>
      <c r="DUC13" s="4136"/>
      <c r="DUD13" s="4136"/>
      <c r="DUE13" s="4136"/>
      <c r="DUF13" s="4136"/>
      <c r="DUG13" s="4136"/>
      <c r="DUH13" s="4136"/>
      <c r="DUI13" s="4136"/>
      <c r="DUJ13" s="4136"/>
      <c r="DUK13" s="4136"/>
      <c r="DUL13" s="4136"/>
      <c r="DUM13" s="4136"/>
      <c r="DUN13" s="4136"/>
      <c r="DUO13" s="4136"/>
      <c r="DUP13" s="4136"/>
      <c r="DUQ13" s="4136"/>
      <c r="DUR13" s="4136"/>
      <c r="DUS13" s="4136"/>
      <c r="DUT13" s="4136"/>
      <c r="DUU13" s="4136"/>
      <c r="DUV13" s="4136"/>
      <c r="DUW13" s="4136"/>
      <c r="DUX13" s="4136"/>
      <c r="DUY13" s="4136"/>
      <c r="DUZ13" s="4136"/>
      <c r="DVA13" s="4136"/>
      <c r="DVB13" s="4136"/>
      <c r="DVC13" s="4136"/>
      <c r="DVD13" s="4136"/>
      <c r="DVE13" s="4136"/>
      <c r="DVF13" s="4136"/>
      <c r="DVG13" s="4136"/>
      <c r="DVH13" s="4136"/>
      <c r="DVI13" s="4136"/>
      <c r="DVJ13" s="4136"/>
      <c r="DVK13" s="4136"/>
      <c r="DVL13" s="4136"/>
      <c r="DVM13" s="4136"/>
      <c r="DVN13" s="4136"/>
      <c r="DVO13" s="4136"/>
      <c r="DVP13" s="4136"/>
      <c r="DVQ13" s="4136"/>
      <c r="DVR13" s="4136"/>
      <c r="DVS13" s="4136"/>
      <c r="DVT13" s="4136"/>
      <c r="DVU13" s="4136"/>
      <c r="DVV13" s="4136"/>
      <c r="DVW13" s="4136"/>
      <c r="DVX13" s="4136"/>
      <c r="DVY13" s="4136"/>
      <c r="DVZ13" s="4136"/>
      <c r="DWA13" s="4136"/>
      <c r="DWB13" s="4136"/>
      <c r="DWC13" s="4136"/>
      <c r="DWD13" s="4136"/>
      <c r="DWE13" s="4136"/>
      <c r="DWF13" s="4136"/>
      <c r="DWG13" s="4136"/>
      <c r="DWH13" s="4136"/>
      <c r="DWI13" s="4136"/>
      <c r="DWJ13" s="4136"/>
      <c r="DWK13" s="4136"/>
      <c r="DWL13" s="4136"/>
      <c r="DWM13" s="4136"/>
      <c r="DWN13" s="4136"/>
      <c r="DWO13" s="4136"/>
      <c r="DWP13" s="4136"/>
      <c r="DWQ13" s="4136"/>
      <c r="DWR13" s="4136"/>
      <c r="DWS13" s="4136"/>
      <c r="DWT13" s="4136"/>
      <c r="DWU13" s="4136"/>
      <c r="DWV13" s="4136"/>
      <c r="DWW13" s="4136"/>
      <c r="DWX13" s="4136"/>
      <c r="DWY13" s="4136"/>
      <c r="DWZ13" s="4136"/>
      <c r="DXA13" s="4136"/>
      <c r="DXB13" s="4136"/>
      <c r="DXC13" s="4136"/>
      <c r="DXD13" s="4136"/>
      <c r="DXE13" s="4136"/>
      <c r="DXF13" s="4136"/>
      <c r="DXG13" s="4136"/>
      <c r="DXH13" s="4136"/>
      <c r="DXI13" s="4136"/>
      <c r="DXJ13" s="4136"/>
      <c r="DXK13" s="4136"/>
      <c r="DXL13" s="4136"/>
      <c r="DXM13" s="4136"/>
      <c r="DXN13" s="4136"/>
      <c r="DXO13" s="4136"/>
      <c r="DXP13" s="4136"/>
      <c r="DXQ13" s="4136"/>
      <c r="DXR13" s="4136"/>
      <c r="DXS13" s="4136"/>
      <c r="DXT13" s="4136"/>
      <c r="DXU13" s="4136"/>
      <c r="DXV13" s="4136"/>
      <c r="DXW13" s="4136"/>
      <c r="DXX13" s="4136"/>
      <c r="DXY13" s="4136"/>
      <c r="DXZ13" s="4136"/>
      <c r="DYA13" s="4136"/>
      <c r="DYB13" s="4136"/>
      <c r="DYC13" s="4136"/>
      <c r="DYD13" s="4136"/>
      <c r="DYE13" s="4136"/>
      <c r="DYF13" s="4136"/>
      <c r="DYG13" s="4136"/>
      <c r="DYH13" s="4136"/>
      <c r="DYI13" s="4136"/>
      <c r="DYJ13" s="4136"/>
      <c r="DYK13" s="4136"/>
      <c r="DYL13" s="4136"/>
      <c r="DYM13" s="4136"/>
      <c r="DYN13" s="4136"/>
      <c r="DYO13" s="4136"/>
      <c r="DYP13" s="4136"/>
      <c r="DYQ13" s="4136"/>
      <c r="DYR13" s="4136"/>
      <c r="DYS13" s="4136"/>
      <c r="DYT13" s="4136"/>
      <c r="DYU13" s="4136"/>
      <c r="DYV13" s="4136"/>
      <c r="DYW13" s="4136"/>
      <c r="DYX13" s="4136"/>
      <c r="DYY13" s="4136"/>
      <c r="DYZ13" s="4136"/>
      <c r="DZA13" s="4136"/>
      <c r="DZB13" s="4136"/>
      <c r="DZC13" s="4136"/>
      <c r="DZD13" s="4136"/>
      <c r="DZE13" s="4136"/>
      <c r="DZF13" s="4136"/>
      <c r="DZG13" s="4136"/>
      <c r="DZH13" s="4136"/>
      <c r="DZI13" s="4136"/>
      <c r="DZJ13" s="4136"/>
      <c r="DZK13" s="4136"/>
      <c r="DZL13" s="4136"/>
      <c r="DZM13" s="4136"/>
      <c r="DZN13" s="4136"/>
      <c r="DZO13" s="4136"/>
      <c r="DZP13" s="4136"/>
      <c r="DZQ13" s="4136"/>
      <c r="DZR13" s="4136"/>
      <c r="DZS13" s="4136"/>
      <c r="DZT13" s="4136"/>
      <c r="DZU13" s="4136"/>
      <c r="DZV13" s="4136"/>
      <c r="DZW13" s="4136"/>
      <c r="DZX13" s="4136"/>
      <c r="DZY13" s="4136"/>
      <c r="DZZ13" s="4136"/>
      <c r="EAA13" s="4136"/>
      <c r="EAB13" s="4136"/>
      <c r="EAC13" s="4136"/>
      <c r="EAD13" s="4136"/>
      <c r="EAE13" s="4136"/>
      <c r="EAF13" s="4136"/>
      <c r="EAG13" s="4136"/>
      <c r="EAH13" s="4136"/>
      <c r="EAI13" s="4136"/>
      <c r="EAJ13" s="4136"/>
      <c r="EAK13" s="4136"/>
      <c r="EAL13" s="4136"/>
      <c r="EAM13" s="4136"/>
      <c r="EAN13" s="4136"/>
      <c r="EAO13" s="4136"/>
      <c r="EAP13" s="4136"/>
      <c r="EAQ13" s="4136"/>
      <c r="EAR13" s="4136"/>
      <c r="EAS13" s="4136"/>
      <c r="EAT13" s="4136"/>
      <c r="EAU13" s="4136"/>
      <c r="EAV13" s="4136"/>
      <c r="EAW13" s="4136"/>
      <c r="EAX13" s="4136"/>
      <c r="EAY13" s="4136"/>
      <c r="EAZ13" s="4136"/>
      <c r="EBA13" s="4136"/>
      <c r="EBB13" s="4136"/>
      <c r="EBC13" s="4136"/>
      <c r="EBD13" s="4136"/>
      <c r="EBE13" s="4136"/>
      <c r="EBF13" s="4136"/>
      <c r="EBG13" s="4136"/>
      <c r="EBH13" s="4136"/>
      <c r="EBI13" s="4136"/>
      <c r="EBJ13" s="4136"/>
      <c r="EBK13" s="4136"/>
      <c r="EBL13" s="4136"/>
      <c r="EBM13" s="4136"/>
      <c r="EBN13" s="4136"/>
      <c r="EBO13" s="4136"/>
      <c r="EBP13" s="4136"/>
      <c r="EBQ13" s="4136"/>
      <c r="EBR13" s="4136"/>
      <c r="EBS13" s="4136"/>
      <c r="EBT13" s="4136"/>
      <c r="EBU13" s="4136"/>
      <c r="EBV13" s="4136"/>
      <c r="EBW13" s="4136"/>
      <c r="EBX13" s="4136"/>
      <c r="EBY13" s="4136"/>
      <c r="EBZ13" s="4136"/>
      <c r="ECA13" s="4136"/>
      <c r="ECB13" s="4136"/>
      <c r="ECC13" s="4136"/>
      <c r="ECD13" s="4136"/>
      <c r="ECE13" s="4136"/>
      <c r="ECF13" s="4136"/>
      <c r="ECG13" s="4136"/>
      <c r="ECH13" s="4136"/>
      <c r="ECI13" s="4136"/>
      <c r="ECJ13" s="4136"/>
      <c r="ECK13" s="4136"/>
      <c r="ECL13" s="4136"/>
      <c r="ECM13" s="4136"/>
      <c r="ECN13" s="4136"/>
      <c r="ECO13" s="4136"/>
      <c r="ECP13" s="4136"/>
      <c r="ECQ13" s="4136"/>
      <c r="ECR13" s="4136"/>
      <c r="ECS13" s="4136"/>
      <c r="ECT13" s="4136"/>
      <c r="ECU13" s="4136"/>
      <c r="ECV13" s="4136"/>
      <c r="ECW13" s="4136"/>
      <c r="ECX13" s="4136"/>
      <c r="ECY13" s="4136"/>
      <c r="ECZ13" s="4136"/>
      <c r="EDA13" s="4136"/>
      <c r="EDB13" s="4136"/>
      <c r="EDC13" s="4136"/>
      <c r="EDD13" s="4136"/>
      <c r="EDE13" s="4136"/>
      <c r="EDF13" s="4136"/>
      <c r="EDG13" s="4136"/>
      <c r="EDH13" s="4136"/>
      <c r="EDI13" s="4136"/>
      <c r="EDJ13" s="4136"/>
      <c r="EDK13" s="4136"/>
      <c r="EDL13" s="4136"/>
      <c r="EDM13" s="4136"/>
      <c r="EDN13" s="4136"/>
      <c r="EDO13" s="4136"/>
      <c r="EDP13" s="4136"/>
      <c r="EDQ13" s="4136"/>
      <c r="EDR13" s="4136"/>
      <c r="EDS13" s="4136"/>
      <c r="EDT13" s="4136"/>
      <c r="EDU13" s="4136"/>
      <c r="EDV13" s="4136"/>
      <c r="EDW13" s="4136"/>
      <c r="EDX13" s="4136"/>
      <c r="EDY13" s="4136"/>
      <c r="EDZ13" s="4136"/>
      <c r="EEA13" s="4136"/>
      <c r="EEB13" s="4136"/>
      <c r="EEC13" s="4136"/>
      <c r="EED13" s="4136"/>
      <c r="EEE13" s="4136"/>
      <c r="EEF13" s="4136"/>
      <c r="EEG13" s="4136"/>
      <c r="EEH13" s="4136"/>
      <c r="EEI13" s="4136"/>
      <c r="EEJ13" s="4136"/>
      <c r="EEK13" s="4136"/>
      <c r="EEL13" s="4136"/>
      <c r="EEM13" s="4136"/>
      <c r="EEN13" s="4136"/>
      <c r="EEO13" s="4136"/>
      <c r="EEP13" s="4136"/>
      <c r="EEQ13" s="4136"/>
      <c r="EER13" s="4136"/>
      <c r="EES13" s="4136"/>
      <c r="EET13" s="4136"/>
      <c r="EEU13" s="4136"/>
      <c r="EEV13" s="4136"/>
      <c r="EEW13" s="4136"/>
      <c r="EEX13" s="4136"/>
      <c r="EEY13" s="4136"/>
      <c r="EEZ13" s="4136"/>
      <c r="EFA13" s="4136"/>
      <c r="EFB13" s="4136"/>
      <c r="EFC13" s="4136"/>
      <c r="EFD13" s="4136"/>
      <c r="EFE13" s="4136"/>
      <c r="EFF13" s="4136"/>
      <c r="EFG13" s="4136"/>
      <c r="EFH13" s="4136"/>
      <c r="EFI13" s="4136"/>
      <c r="EFJ13" s="4136"/>
      <c r="EFK13" s="4136"/>
      <c r="EFL13" s="4136"/>
      <c r="EFM13" s="4136"/>
      <c r="EFN13" s="4136"/>
      <c r="EFO13" s="4136"/>
      <c r="EFP13" s="4136"/>
      <c r="EFQ13" s="4136"/>
      <c r="EFR13" s="4136"/>
      <c r="EFS13" s="4136"/>
      <c r="EFT13" s="4136"/>
      <c r="EFU13" s="4136"/>
      <c r="EFV13" s="4136"/>
      <c r="EFW13" s="4136"/>
      <c r="EFX13" s="4136"/>
      <c r="EFY13" s="4136"/>
      <c r="EFZ13" s="4136"/>
      <c r="EGA13" s="4136"/>
      <c r="EGB13" s="4136"/>
      <c r="EGC13" s="4136"/>
      <c r="EGD13" s="4136"/>
      <c r="EGE13" s="4136"/>
      <c r="EGF13" s="4136"/>
      <c r="EGG13" s="4136"/>
      <c r="EGH13" s="4136"/>
      <c r="EGI13" s="4136"/>
      <c r="EGJ13" s="4136"/>
      <c r="EGK13" s="4136"/>
      <c r="EGL13" s="4136"/>
      <c r="EGM13" s="4136"/>
      <c r="EGN13" s="4136"/>
      <c r="EGO13" s="4136"/>
      <c r="EGP13" s="4136"/>
      <c r="EGQ13" s="4136"/>
      <c r="EGR13" s="4136"/>
      <c r="EGS13" s="4136"/>
      <c r="EGT13" s="4136"/>
      <c r="EGU13" s="4136"/>
      <c r="EGV13" s="4136"/>
      <c r="EGW13" s="4136"/>
      <c r="EGX13" s="4136"/>
      <c r="EGY13" s="4136"/>
      <c r="EGZ13" s="4136"/>
      <c r="EHA13" s="4136"/>
      <c r="EHB13" s="4136"/>
      <c r="EHC13" s="4136"/>
      <c r="EHD13" s="4136"/>
      <c r="EHE13" s="4136"/>
      <c r="EHF13" s="4136"/>
      <c r="EHG13" s="4136"/>
      <c r="EHH13" s="4136"/>
      <c r="EHI13" s="4136"/>
      <c r="EHJ13" s="4136"/>
      <c r="EHK13" s="4136"/>
      <c r="EHL13" s="4136"/>
      <c r="EHM13" s="4136"/>
      <c r="EHN13" s="4136"/>
      <c r="EHO13" s="4136"/>
      <c r="EHP13" s="4136"/>
      <c r="EHQ13" s="4136"/>
      <c r="EHR13" s="4136"/>
      <c r="EHS13" s="4136"/>
      <c r="EHT13" s="4136"/>
      <c r="EHU13" s="4136"/>
      <c r="EHV13" s="4136"/>
      <c r="EHW13" s="4136"/>
      <c r="EHX13" s="4136"/>
      <c r="EHY13" s="4136"/>
      <c r="EHZ13" s="4136"/>
      <c r="EIA13" s="4136"/>
      <c r="EIB13" s="4136"/>
      <c r="EIC13" s="4136"/>
      <c r="EID13" s="4136"/>
      <c r="EIE13" s="4136"/>
      <c r="EIF13" s="4136"/>
      <c r="EIG13" s="4136"/>
      <c r="EIH13" s="4136"/>
      <c r="EII13" s="4136"/>
      <c r="EIJ13" s="4136"/>
      <c r="EIK13" s="4136"/>
      <c r="EIL13" s="4136"/>
      <c r="EIM13" s="4136"/>
      <c r="EIN13" s="4136"/>
      <c r="EIO13" s="4136"/>
      <c r="EIP13" s="4136"/>
      <c r="EIQ13" s="4136"/>
      <c r="EIR13" s="4136"/>
      <c r="EIS13" s="4136"/>
      <c r="EIT13" s="4136"/>
      <c r="EIU13" s="4136"/>
      <c r="EIV13" s="4136"/>
      <c r="EIW13" s="4136"/>
      <c r="EIX13" s="4136"/>
      <c r="EIY13" s="4136"/>
      <c r="EIZ13" s="4136"/>
      <c r="EJA13" s="4136"/>
      <c r="EJB13" s="4136"/>
      <c r="EJC13" s="4136"/>
      <c r="EJD13" s="4136"/>
      <c r="EJE13" s="4136"/>
      <c r="EJF13" s="4136"/>
      <c r="EJG13" s="4136"/>
      <c r="EJH13" s="4136"/>
      <c r="EJI13" s="4136"/>
      <c r="EJJ13" s="4136"/>
      <c r="EJK13" s="4136"/>
      <c r="EJL13" s="4136"/>
      <c r="EJM13" s="4136"/>
      <c r="EJN13" s="4136"/>
      <c r="EJO13" s="4136"/>
      <c r="EJP13" s="4136"/>
      <c r="EJQ13" s="4136"/>
      <c r="EJR13" s="4136"/>
      <c r="EJS13" s="4136"/>
      <c r="EJT13" s="4136"/>
      <c r="EJU13" s="4136"/>
      <c r="EJV13" s="4136"/>
      <c r="EJW13" s="4136"/>
      <c r="EJX13" s="4136"/>
      <c r="EJY13" s="4136"/>
      <c r="EJZ13" s="4136"/>
      <c r="EKA13" s="4136"/>
      <c r="EKB13" s="4136"/>
      <c r="EKC13" s="4136"/>
      <c r="EKD13" s="4136"/>
      <c r="EKE13" s="4136"/>
      <c r="EKF13" s="4136"/>
      <c r="EKG13" s="4136"/>
      <c r="EKH13" s="4136"/>
      <c r="EKI13" s="4136"/>
      <c r="EKJ13" s="4136"/>
      <c r="EKK13" s="4136"/>
      <c r="EKL13" s="4136"/>
      <c r="EKM13" s="4136"/>
      <c r="EKN13" s="4136"/>
      <c r="EKO13" s="4136"/>
      <c r="EKP13" s="4136"/>
      <c r="EKQ13" s="4136"/>
      <c r="EKR13" s="4136"/>
      <c r="EKS13" s="4136"/>
      <c r="EKT13" s="4136"/>
      <c r="EKU13" s="4136"/>
      <c r="EKV13" s="4136"/>
      <c r="EKW13" s="4136"/>
      <c r="EKX13" s="4136"/>
      <c r="EKY13" s="4136"/>
      <c r="EKZ13" s="4136"/>
      <c r="ELA13" s="4136"/>
      <c r="ELB13" s="4136"/>
      <c r="ELC13" s="4136"/>
      <c r="ELD13" s="4136"/>
      <c r="ELE13" s="4136"/>
      <c r="ELF13" s="4136"/>
      <c r="ELG13" s="4136"/>
      <c r="ELH13" s="4136"/>
      <c r="ELI13" s="4136"/>
      <c r="ELJ13" s="4136"/>
      <c r="ELK13" s="4136"/>
      <c r="ELL13" s="4136"/>
      <c r="ELM13" s="4136"/>
      <c r="ELN13" s="4136"/>
      <c r="ELO13" s="4136"/>
      <c r="ELP13" s="4136"/>
      <c r="ELQ13" s="4136"/>
      <c r="ELR13" s="4136"/>
      <c r="ELS13" s="4136"/>
      <c r="ELT13" s="4136"/>
      <c r="ELU13" s="4136"/>
      <c r="ELV13" s="4136"/>
      <c r="ELW13" s="4136"/>
      <c r="ELX13" s="4136"/>
      <c r="ELY13" s="4136"/>
      <c r="ELZ13" s="4136"/>
      <c r="EMA13" s="4136"/>
      <c r="EMB13" s="4136"/>
      <c r="EMC13" s="4136"/>
      <c r="EMD13" s="4136"/>
      <c r="EME13" s="4136"/>
      <c r="EMF13" s="4136"/>
      <c r="EMG13" s="4136"/>
      <c r="EMH13" s="4136"/>
      <c r="EMI13" s="4136"/>
      <c r="EMJ13" s="4136"/>
      <c r="EMK13" s="4136"/>
      <c r="EML13" s="4136"/>
      <c r="EMM13" s="4136"/>
      <c r="EMN13" s="4136"/>
      <c r="EMO13" s="4136"/>
      <c r="EMP13" s="4136"/>
      <c r="EMQ13" s="4136"/>
      <c r="EMR13" s="4136"/>
      <c r="EMS13" s="4136"/>
      <c r="EMT13" s="4136"/>
      <c r="EMU13" s="4136"/>
      <c r="EMV13" s="4136"/>
      <c r="EMW13" s="4136"/>
      <c r="EMX13" s="4136"/>
      <c r="EMY13" s="4136"/>
      <c r="EMZ13" s="4136"/>
      <c r="ENA13" s="4136"/>
      <c r="ENB13" s="4136"/>
      <c r="ENC13" s="4136"/>
      <c r="END13" s="4136"/>
      <c r="ENE13" s="4136"/>
      <c r="ENF13" s="4136"/>
      <c r="ENG13" s="4136"/>
      <c r="ENH13" s="4136"/>
      <c r="ENI13" s="4136"/>
      <c r="ENJ13" s="4136"/>
      <c r="ENK13" s="4136"/>
      <c r="ENL13" s="4136"/>
      <c r="ENM13" s="4136"/>
      <c r="ENN13" s="4136"/>
      <c r="ENO13" s="4136"/>
      <c r="ENP13" s="4136"/>
      <c r="ENQ13" s="4136"/>
      <c r="ENR13" s="4136"/>
      <c r="ENS13" s="4136"/>
      <c r="ENT13" s="4136"/>
      <c r="ENU13" s="4136"/>
      <c r="ENV13" s="4136"/>
      <c r="ENW13" s="4136"/>
      <c r="ENX13" s="4136"/>
      <c r="ENY13" s="4136"/>
      <c r="ENZ13" s="4136"/>
      <c r="EOA13" s="4136"/>
      <c r="EOB13" s="4136"/>
      <c r="EOC13" s="4136"/>
      <c r="EOD13" s="4136"/>
      <c r="EOE13" s="4136"/>
      <c r="EOF13" s="4136"/>
      <c r="EOG13" s="4136"/>
      <c r="EOH13" s="4136"/>
      <c r="EOI13" s="4136"/>
      <c r="EOJ13" s="4136"/>
      <c r="EOK13" s="4136"/>
      <c r="EOL13" s="4136"/>
      <c r="EOM13" s="4136"/>
      <c r="EON13" s="4136"/>
      <c r="EOO13" s="4136"/>
      <c r="EOP13" s="4136"/>
      <c r="EOQ13" s="4136"/>
      <c r="EOR13" s="4136"/>
      <c r="EOS13" s="4136"/>
      <c r="EOT13" s="4136"/>
      <c r="EOU13" s="4136"/>
      <c r="EOV13" s="4136"/>
      <c r="EOW13" s="4136"/>
      <c r="EOX13" s="4136"/>
      <c r="EOY13" s="4136"/>
      <c r="EOZ13" s="4136"/>
      <c r="EPA13" s="4136"/>
      <c r="EPB13" s="4136"/>
      <c r="EPC13" s="4136"/>
      <c r="EPD13" s="4136"/>
      <c r="EPE13" s="4136"/>
      <c r="EPF13" s="4136"/>
      <c r="EPG13" s="4136"/>
      <c r="EPH13" s="4136"/>
      <c r="EPI13" s="4136"/>
      <c r="EPJ13" s="4136"/>
      <c r="EPK13" s="4136"/>
      <c r="EPL13" s="4136"/>
      <c r="EPM13" s="4136"/>
      <c r="EPN13" s="4136"/>
      <c r="EPO13" s="4136"/>
      <c r="EPP13" s="4136"/>
      <c r="EPQ13" s="4136"/>
      <c r="EPR13" s="4136"/>
      <c r="EPS13" s="4136"/>
      <c r="EPT13" s="4136"/>
      <c r="EPU13" s="4136"/>
      <c r="EPV13" s="4136"/>
      <c r="EPW13" s="4136"/>
      <c r="EPX13" s="4136"/>
      <c r="EPY13" s="4136"/>
      <c r="EPZ13" s="4136"/>
      <c r="EQA13" s="4136"/>
      <c r="EQB13" s="4136"/>
      <c r="EQC13" s="4136"/>
      <c r="EQD13" s="4136"/>
      <c r="EQE13" s="4136"/>
      <c r="EQF13" s="4136"/>
      <c r="EQG13" s="4136"/>
      <c r="EQH13" s="4136"/>
      <c r="EQI13" s="4136"/>
      <c r="EQJ13" s="4136"/>
      <c r="EQK13" s="4136"/>
      <c r="EQL13" s="4136"/>
      <c r="EQM13" s="4136"/>
      <c r="EQN13" s="4136"/>
      <c r="EQO13" s="4136"/>
      <c r="EQP13" s="4136"/>
      <c r="EQQ13" s="4136"/>
      <c r="EQR13" s="4136"/>
      <c r="EQS13" s="4136"/>
      <c r="EQT13" s="4136"/>
      <c r="EQU13" s="4136"/>
      <c r="EQV13" s="4136"/>
      <c r="EQW13" s="4136"/>
      <c r="EQX13" s="4136"/>
      <c r="EQY13" s="4136"/>
      <c r="EQZ13" s="4136"/>
      <c r="ERA13" s="4136"/>
      <c r="ERB13" s="4136"/>
      <c r="ERC13" s="4136"/>
      <c r="ERD13" s="4136"/>
      <c r="ERE13" s="4136"/>
      <c r="ERF13" s="4136"/>
      <c r="ERG13" s="4136"/>
      <c r="ERH13" s="4136"/>
      <c r="ERI13" s="4136"/>
      <c r="ERJ13" s="4136"/>
      <c r="ERK13" s="4136"/>
      <c r="ERL13" s="4136"/>
      <c r="ERM13" s="4136"/>
      <c r="ERN13" s="4136"/>
      <c r="ERO13" s="4136"/>
      <c r="ERP13" s="4136"/>
      <c r="ERQ13" s="4136"/>
      <c r="ERR13" s="4136"/>
      <c r="ERS13" s="4136"/>
      <c r="ERT13" s="4136"/>
      <c r="ERU13" s="4136"/>
      <c r="ERV13" s="4136"/>
      <c r="ERW13" s="4136"/>
      <c r="ERX13" s="4136"/>
      <c r="ERY13" s="4136"/>
      <c r="ERZ13" s="4136"/>
      <c r="ESA13" s="4136"/>
      <c r="ESB13" s="4136"/>
      <c r="ESC13" s="4136"/>
      <c r="ESD13" s="4136"/>
      <c r="ESE13" s="4136"/>
      <c r="ESF13" s="4136"/>
      <c r="ESG13" s="4136"/>
      <c r="ESH13" s="4136"/>
      <c r="ESI13" s="4136"/>
      <c r="ESJ13" s="4136"/>
      <c r="ESK13" s="4136"/>
      <c r="ESL13" s="4136"/>
      <c r="ESM13" s="4136"/>
      <c r="ESN13" s="4136"/>
      <c r="ESO13" s="4136"/>
      <c r="ESP13" s="4136"/>
      <c r="ESQ13" s="4136"/>
      <c r="ESR13" s="4136"/>
      <c r="ESS13" s="4136"/>
      <c r="EST13" s="4136"/>
      <c r="ESU13" s="4136"/>
      <c r="ESV13" s="4136"/>
      <c r="ESW13" s="4136"/>
      <c r="ESX13" s="4136"/>
      <c r="ESY13" s="4136"/>
      <c r="ESZ13" s="4136"/>
      <c r="ETA13" s="4136"/>
      <c r="ETB13" s="4136"/>
      <c r="ETC13" s="4136"/>
      <c r="ETD13" s="4136"/>
      <c r="ETE13" s="4136"/>
      <c r="ETF13" s="4136"/>
      <c r="ETG13" s="4136"/>
      <c r="ETH13" s="4136"/>
      <c r="ETI13" s="4136"/>
      <c r="ETJ13" s="4136"/>
      <c r="ETK13" s="4136"/>
      <c r="ETL13" s="4136"/>
      <c r="ETM13" s="4136"/>
      <c r="ETN13" s="4136"/>
      <c r="ETO13" s="4136"/>
      <c r="ETP13" s="4136"/>
      <c r="ETQ13" s="4136"/>
      <c r="ETR13" s="4136"/>
      <c r="ETS13" s="4136"/>
      <c r="ETT13" s="4136"/>
      <c r="ETU13" s="4136"/>
      <c r="ETV13" s="4136"/>
      <c r="ETW13" s="4136"/>
      <c r="ETX13" s="4136"/>
      <c r="ETY13" s="4136"/>
      <c r="ETZ13" s="4136"/>
      <c r="EUA13" s="4136"/>
      <c r="EUB13" s="4136"/>
      <c r="EUC13" s="4136"/>
      <c r="EUD13" s="4136"/>
      <c r="EUE13" s="4136"/>
      <c r="EUF13" s="4136"/>
      <c r="EUG13" s="4136"/>
      <c r="EUH13" s="4136"/>
      <c r="EUI13" s="4136"/>
      <c r="EUJ13" s="4136"/>
      <c r="EUK13" s="4136"/>
      <c r="EUL13" s="4136"/>
      <c r="EUM13" s="4136"/>
      <c r="EUN13" s="4136"/>
      <c r="EUO13" s="4136"/>
      <c r="EUP13" s="4136"/>
      <c r="EUQ13" s="4136"/>
      <c r="EUR13" s="4136"/>
      <c r="EUS13" s="4136"/>
      <c r="EUT13" s="4136"/>
      <c r="EUU13" s="4136"/>
      <c r="EUV13" s="4136"/>
      <c r="EUW13" s="4136"/>
      <c r="EUX13" s="4136"/>
      <c r="EUY13" s="4136"/>
      <c r="EUZ13" s="4136"/>
      <c r="EVA13" s="4136"/>
      <c r="EVB13" s="4136"/>
      <c r="EVC13" s="4136"/>
      <c r="EVD13" s="4136"/>
      <c r="EVE13" s="4136"/>
      <c r="EVF13" s="4136"/>
      <c r="EVG13" s="4136"/>
      <c r="EVH13" s="4136"/>
      <c r="EVI13" s="4136"/>
      <c r="EVJ13" s="4136"/>
      <c r="EVK13" s="4136"/>
      <c r="EVL13" s="4136"/>
      <c r="EVM13" s="4136"/>
      <c r="EVN13" s="4136"/>
      <c r="EVO13" s="4136"/>
      <c r="EVP13" s="4136"/>
      <c r="EVQ13" s="4136"/>
      <c r="EVR13" s="4136"/>
      <c r="EVS13" s="4136"/>
      <c r="EVT13" s="4136"/>
      <c r="EVU13" s="4136"/>
      <c r="EVV13" s="4136"/>
      <c r="EVW13" s="4136"/>
      <c r="EVX13" s="4136"/>
      <c r="EVY13" s="4136"/>
      <c r="EVZ13" s="4136"/>
      <c r="EWA13" s="4136"/>
      <c r="EWB13" s="4136"/>
      <c r="EWC13" s="4136"/>
      <c r="EWD13" s="4136"/>
      <c r="EWE13" s="4136"/>
      <c r="EWF13" s="4136"/>
      <c r="EWG13" s="4136"/>
      <c r="EWH13" s="4136"/>
      <c r="EWI13" s="4136"/>
      <c r="EWJ13" s="4136"/>
      <c r="EWK13" s="4136"/>
      <c r="EWL13" s="4136"/>
      <c r="EWM13" s="4136"/>
      <c r="EWN13" s="4136"/>
      <c r="EWO13" s="4136"/>
      <c r="EWP13" s="4136"/>
      <c r="EWQ13" s="4136"/>
      <c r="EWR13" s="4136"/>
      <c r="EWS13" s="4136"/>
      <c r="EWT13" s="4136"/>
      <c r="EWU13" s="4136"/>
      <c r="EWV13" s="4136"/>
      <c r="EWW13" s="4136"/>
      <c r="EWX13" s="4136"/>
      <c r="EWY13" s="4136"/>
      <c r="EWZ13" s="4136"/>
      <c r="EXA13" s="4136"/>
      <c r="EXB13" s="4136"/>
      <c r="EXC13" s="4136"/>
      <c r="EXD13" s="4136"/>
      <c r="EXE13" s="4136"/>
      <c r="EXF13" s="4136"/>
      <c r="EXG13" s="4136"/>
      <c r="EXH13" s="4136"/>
      <c r="EXI13" s="4136"/>
      <c r="EXJ13" s="4136"/>
      <c r="EXK13" s="4136"/>
      <c r="EXL13" s="4136"/>
      <c r="EXM13" s="4136"/>
      <c r="EXN13" s="4136"/>
      <c r="EXO13" s="4136"/>
      <c r="EXP13" s="4136"/>
      <c r="EXQ13" s="4136"/>
      <c r="EXR13" s="4136"/>
      <c r="EXS13" s="4136"/>
      <c r="EXT13" s="4136"/>
      <c r="EXU13" s="4136"/>
      <c r="EXV13" s="4136"/>
      <c r="EXW13" s="4136"/>
      <c r="EXX13" s="4136"/>
      <c r="EXY13" s="4136"/>
      <c r="EXZ13" s="4136"/>
      <c r="EYA13" s="4136"/>
      <c r="EYB13" s="4136"/>
      <c r="EYC13" s="4136"/>
      <c r="EYD13" s="4136"/>
      <c r="EYE13" s="4136"/>
      <c r="EYF13" s="4136"/>
      <c r="EYG13" s="4136"/>
      <c r="EYH13" s="4136"/>
      <c r="EYI13" s="4136"/>
      <c r="EYJ13" s="4136"/>
      <c r="EYK13" s="4136"/>
      <c r="EYL13" s="4136"/>
      <c r="EYM13" s="4136"/>
      <c r="EYN13" s="4136"/>
      <c r="EYO13" s="4136"/>
      <c r="EYP13" s="4136"/>
      <c r="EYQ13" s="4136"/>
      <c r="EYR13" s="4136"/>
      <c r="EYS13" s="4136"/>
      <c r="EYT13" s="4136"/>
      <c r="EYU13" s="4136"/>
      <c r="EYV13" s="4136"/>
      <c r="EYW13" s="4136"/>
      <c r="EYX13" s="4136"/>
      <c r="EYY13" s="4136"/>
      <c r="EYZ13" s="4136"/>
      <c r="EZA13" s="4136"/>
      <c r="EZB13" s="4136"/>
      <c r="EZC13" s="4136"/>
      <c r="EZD13" s="4136"/>
      <c r="EZE13" s="4136"/>
      <c r="EZF13" s="4136"/>
      <c r="EZG13" s="4136"/>
      <c r="EZH13" s="4136"/>
      <c r="EZI13" s="4136"/>
      <c r="EZJ13" s="4136"/>
      <c r="EZK13" s="4136"/>
      <c r="EZL13" s="4136"/>
      <c r="EZM13" s="4136"/>
      <c r="EZN13" s="4136"/>
      <c r="EZO13" s="4136"/>
      <c r="EZP13" s="4136"/>
      <c r="EZQ13" s="4136"/>
      <c r="EZR13" s="4136"/>
      <c r="EZS13" s="4136"/>
      <c r="EZT13" s="4136"/>
      <c r="EZU13" s="4136"/>
      <c r="EZV13" s="4136"/>
      <c r="EZW13" s="4136"/>
      <c r="EZX13" s="4136"/>
      <c r="EZY13" s="4136"/>
      <c r="EZZ13" s="4136"/>
      <c r="FAA13" s="4136"/>
      <c r="FAB13" s="4136"/>
      <c r="FAC13" s="4136"/>
      <c r="FAD13" s="4136"/>
      <c r="FAE13" s="4136"/>
      <c r="FAF13" s="4136"/>
      <c r="FAG13" s="4136"/>
      <c r="FAH13" s="4136"/>
      <c r="FAI13" s="4136"/>
      <c r="FAJ13" s="4136"/>
      <c r="FAK13" s="4136"/>
      <c r="FAL13" s="4136"/>
      <c r="FAM13" s="4136"/>
      <c r="FAN13" s="4136"/>
      <c r="FAO13" s="4136"/>
      <c r="FAP13" s="4136"/>
      <c r="FAQ13" s="4136"/>
      <c r="FAR13" s="4136"/>
      <c r="FAS13" s="4136"/>
      <c r="FAT13" s="4136"/>
      <c r="FAU13" s="4136"/>
      <c r="FAV13" s="4136"/>
      <c r="FAW13" s="4136"/>
      <c r="FAX13" s="4136"/>
      <c r="FAY13" s="4136"/>
      <c r="FAZ13" s="4136"/>
      <c r="FBA13" s="4136"/>
      <c r="FBB13" s="4136"/>
      <c r="FBC13" s="4136"/>
      <c r="FBD13" s="4136"/>
      <c r="FBE13" s="4136"/>
      <c r="FBF13" s="4136"/>
      <c r="FBG13" s="4136"/>
      <c r="FBH13" s="4136"/>
      <c r="FBI13" s="4136"/>
      <c r="FBJ13" s="4136"/>
      <c r="FBK13" s="4136"/>
      <c r="FBL13" s="4136"/>
      <c r="FBM13" s="4136"/>
      <c r="FBN13" s="4136"/>
      <c r="FBO13" s="4136"/>
      <c r="FBP13" s="4136"/>
      <c r="FBQ13" s="4136"/>
      <c r="FBR13" s="4136"/>
      <c r="FBS13" s="4136"/>
      <c r="FBT13" s="4136"/>
      <c r="FBU13" s="4136"/>
      <c r="FBV13" s="4136"/>
      <c r="FBW13" s="4136"/>
      <c r="FBX13" s="4136"/>
      <c r="FBY13" s="4136"/>
      <c r="FBZ13" s="4136"/>
      <c r="FCA13" s="4136"/>
      <c r="FCB13" s="4136"/>
      <c r="FCC13" s="4136"/>
      <c r="FCD13" s="4136"/>
      <c r="FCE13" s="4136"/>
      <c r="FCF13" s="4136"/>
      <c r="FCG13" s="4136"/>
      <c r="FCH13" s="4136"/>
      <c r="FCI13" s="4136"/>
      <c r="FCJ13" s="4136"/>
      <c r="FCK13" s="4136"/>
      <c r="FCL13" s="4136"/>
      <c r="FCM13" s="4136"/>
      <c r="FCN13" s="4136"/>
      <c r="FCO13" s="4136"/>
      <c r="FCP13" s="4136"/>
      <c r="FCQ13" s="4136"/>
      <c r="FCR13" s="4136"/>
      <c r="FCS13" s="4136"/>
      <c r="FCT13" s="4136"/>
      <c r="FCU13" s="4136"/>
      <c r="FCV13" s="4136"/>
      <c r="FCW13" s="4136"/>
      <c r="FCX13" s="4136"/>
      <c r="FCY13" s="4136"/>
      <c r="FCZ13" s="4136"/>
      <c r="FDA13" s="4136"/>
      <c r="FDB13" s="4136"/>
      <c r="FDC13" s="4136"/>
      <c r="FDD13" s="4136"/>
      <c r="FDE13" s="4136"/>
      <c r="FDF13" s="4136"/>
      <c r="FDG13" s="4136"/>
      <c r="FDH13" s="4136"/>
      <c r="FDI13" s="4136"/>
      <c r="FDJ13" s="4136"/>
      <c r="FDK13" s="4136"/>
      <c r="FDL13" s="4136"/>
      <c r="FDM13" s="4136"/>
      <c r="FDN13" s="4136"/>
      <c r="FDO13" s="4136"/>
      <c r="FDP13" s="4136"/>
      <c r="FDQ13" s="4136"/>
      <c r="FDR13" s="4136"/>
      <c r="FDS13" s="4136"/>
      <c r="FDT13" s="4136"/>
      <c r="FDU13" s="4136"/>
      <c r="FDV13" s="4136"/>
      <c r="FDW13" s="4136"/>
      <c r="FDX13" s="4136"/>
      <c r="FDY13" s="4136"/>
      <c r="FDZ13" s="4136"/>
      <c r="FEA13" s="4136"/>
      <c r="FEB13" s="4136"/>
      <c r="FEC13" s="4136"/>
      <c r="FED13" s="4136"/>
      <c r="FEE13" s="4136"/>
      <c r="FEF13" s="4136"/>
      <c r="FEG13" s="4136"/>
      <c r="FEH13" s="4136"/>
      <c r="FEI13" s="4136"/>
      <c r="FEJ13" s="4136"/>
      <c r="FEK13" s="4136"/>
      <c r="FEL13" s="4136"/>
      <c r="FEM13" s="4136"/>
      <c r="FEN13" s="4136"/>
      <c r="FEO13" s="4136"/>
      <c r="FEP13" s="4136"/>
      <c r="FEQ13" s="4136"/>
      <c r="FER13" s="4136"/>
      <c r="FES13" s="4136"/>
      <c r="FET13" s="4136"/>
      <c r="FEU13" s="4136"/>
      <c r="FEV13" s="4136"/>
      <c r="FEW13" s="4136"/>
      <c r="FEX13" s="4136"/>
      <c r="FEY13" s="4136"/>
      <c r="FEZ13" s="4136"/>
      <c r="FFA13" s="4136"/>
      <c r="FFB13" s="4136"/>
      <c r="FFC13" s="4136"/>
      <c r="FFD13" s="4136"/>
      <c r="FFE13" s="4136"/>
      <c r="FFF13" s="4136"/>
      <c r="FFG13" s="4136"/>
      <c r="FFH13" s="4136"/>
      <c r="FFI13" s="4136"/>
      <c r="FFJ13" s="4136"/>
      <c r="FFK13" s="4136"/>
      <c r="FFL13" s="4136"/>
      <c r="FFM13" s="4136"/>
      <c r="FFN13" s="4136"/>
      <c r="FFO13" s="4136"/>
      <c r="FFP13" s="4136"/>
      <c r="FFQ13" s="4136"/>
      <c r="FFR13" s="4136"/>
      <c r="FFS13" s="4136"/>
      <c r="FFT13" s="4136"/>
      <c r="FFU13" s="4136"/>
      <c r="FFV13" s="4136"/>
      <c r="FFW13" s="4136"/>
      <c r="FFX13" s="4136"/>
      <c r="FFY13" s="4136"/>
      <c r="FFZ13" s="4136"/>
      <c r="FGA13" s="4136"/>
      <c r="FGB13" s="4136"/>
      <c r="FGC13" s="4136"/>
      <c r="FGD13" s="4136"/>
      <c r="FGE13" s="4136"/>
      <c r="FGF13" s="4136"/>
      <c r="FGG13" s="4136"/>
      <c r="FGH13" s="4136"/>
      <c r="FGI13" s="4136"/>
      <c r="FGJ13" s="4136"/>
      <c r="FGK13" s="4136"/>
      <c r="FGL13" s="4136"/>
      <c r="FGM13" s="4136"/>
      <c r="FGN13" s="4136"/>
      <c r="FGO13" s="4136"/>
      <c r="FGP13" s="4136"/>
      <c r="FGQ13" s="4136"/>
      <c r="FGR13" s="4136"/>
      <c r="FGS13" s="4136"/>
      <c r="FGT13" s="4136"/>
      <c r="FGU13" s="4136"/>
      <c r="FGV13" s="4136"/>
      <c r="FGW13" s="4136"/>
      <c r="FGX13" s="4136"/>
      <c r="FGY13" s="4136"/>
      <c r="FGZ13" s="4136"/>
      <c r="FHA13" s="4136"/>
      <c r="FHB13" s="4136"/>
      <c r="FHC13" s="4136"/>
      <c r="FHD13" s="4136"/>
      <c r="FHE13" s="4136"/>
      <c r="FHF13" s="4136"/>
      <c r="FHG13" s="4136"/>
      <c r="FHH13" s="4136"/>
      <c r="FHI13" s="4136"/>
      <c r="FHJ13" s="4136"/>
      <c r="FHK13" s="4136"/>
      <c r="FHL13" s="4136"/>
      <c r="FHM13" s="4136"/>
      <c r="FHN13" s="4136"/>
      <c r="FHO13" s="4136"/>
      <c r="FHP13" s="4136"/>
      <c r="FHQ13" s="4136"/>
      <c r="FHR13" s="4136"/>
      <c r="FHS13" s="4136"/>
      <c r="FHT13" s="4136"/>
      <c r="FHU13" s="4136"/>
      <c r="FHV13" s="4136"/>
      <c r="FHW13" s="4136"/>
      <c r="FHX13" s="4136"/>
      <c r="FHY13" s="4136"/>
      <c r="FHZ13" s="4136"/>
      <c r="FIA13" s="4136"/>
      <c r="FIB13" s="4136"/>
      <c r="FIC13" s="4136"/>
      <c r="FID13" s="4136"/>
      <c r="FIE13" s="4136"/>
      <c r="FIF13" s="4136"/>
      <c r="FIG13" s="4136"/>
      <c r="FIH13" s="4136"/>
      <c r="FII13" s="4136"/>
      <c r="FIJ13" s="4136"/>
      <c r="FIK13" s="4136"/>
      <c r="FIL13" s="4136"/>
      <c r="FIM13" s="4136"/>
      <c r="FIN13" s="4136"/>
      <c r="FIO13" s="4136"/>
      <c r="FIP13" s="4136"/>
      <c r="FIQ13" s="4136"/>
      <c r="FIR13" s="4136"/>
      <c r="FIS13" s="4136"/>
      <c r="FIT13" s="4136"/>
      <c r="FIU13" s="4136"/>
      <c r="FIV13" s="4136"/>
      <c r="FIW13" s="4136"/>
      <c r="FIX13" s="4136"/>
      <c r="FIY13" s="4136"/>
      <c r="FIZ13" s="4136"/>
      <c r="FJA13" s="4136"/>
      <c r="FJB13" s="4136"/>
      <c r="FJC13" s="4136"/>
      <c r="FJD13" s="4136"/>
      <c r="FJE13" s="4136"/>
      <c r="FJF13" s="4136"/>
      <c r="FJG13" s="4136"/>
      <c r="FJH13" s="4136"/>
      <c r="FJI13" s="4136"/>
      <c r="FJJ13" s="4136"/>
      <c r="FJK13" s="4136"/>
      <c r="FJL13" s="4136"/>
      <c r="FJM13" s="4136"/>
      <c r="FJN13" s="4136"/>
      <c r="FJO13" s="4136"/>
      <c r="FJP13" s="4136"/>
      <c r="FJQ13" s="4136"/>
      <c r="FJR13" s="4136"/>
      <c r="FJS13" s="4136"/>
      <c r="FJT13" s="4136"/>
      <c r="FJU13" s="4136"/>
      <c r="FJV13" s="4136"/>
      <c r="FJW13" s="4136"/>
      <c r="FJX13" s="4136"/>
      <c r="FJY13" s="4136"/>
      <c r="FJZ13" s="4136"/>
      <c r="FKA13" s="4136"/>
      <c r="FKB13" s="4136"/>
      <c r="FKC13" s="4136"/>
      <c r="FKD13" s="4136"/>
      <c r="FKE13" s="4136"/>
      <c r="FKF13" s="4136"/>
      <c r="FKG13" s="4136"/>
      <c r="FKH13" s="4136"/>
      <c r="FKI13" s="4136"/>
      <c r="FKJ13" s="4136"/>
      <c r="FKK13" s="4136"/>
      <c r="FKL13" s="4136"/>
      <c r="FKM13" s="4136"/>
      <c r="FKN13" s="4136"/>
      <c r="FKO13" s="4136"/>
      <c r="FKP13" s="4136"/>
      <c r="FKQ13" s="4136"/>
      <c r="FKR13" s="4136"/>
      <c r="FKS13" s="4136"/>
      <c r="FKT13" s="4136"/>
      <c r="FKU13" s="4136"/>
      <c r="FKV13" s="4136"/>
      <c r="FKW13" s="4136"/>
      <c r="FKX13" s="4136"/>
      <c r="FKY13" s="4136"/>
      <c r="FKZ13" s="4136"/>
      <c r="FLA13" s="4136"/>
      <c r="FLB13" s="4136"/>
      <c r="FLC13" s="4136"/>
      <c r="FLD13" s="4136"/>
      <c r="FLE13" s="4136"/>
      <c r="FLF13" s="4136"/>
      <c r="FLG13" s="4136"/>
      <c r="FLH13" s="4136"/>
      <c r="FLI13" s="4136"/>
      <c r="FLJ13" s="4136"/>
      <c r="FLK13" s="4136"/>
      <c r="FLL13" s="4136"/>
      <c r="FLM13" s="4136"/>
      <c r="FLN13" s="4136"/>
      <c r="FLO13" s="4136"/>
      <c r="FLP13" s="4136"/>
      <c r="FLQ13" s="4136"/>
      <c r="FLR13" s="4136"/>
      <c r="FLS13" s="4136"/>
      <c r="FLT13" s="4136"/>
      <c r="FLU13" s="4136"/>
      <c r="FLV13" s="4136"/>
      <c r="FLW13" s="4136"/>
      <c r="FLX13" s="4136"/>
      <c r="FLY13" s="4136"/>
      <c r="FLZ13" s="4136"/>
      <c r="FMA13" s="4136"/>
      <c r="FMB13" s="4136"/>
      <c r="FMC13" s="4136"/>
      <c r="FMD13" s="4136"/>
      <c r="FME13" s="4136"/>
      <c r="FMF13" s="4136"/>
      <c r="FMG13" s="4136"/>
      <c r="FMH13" s="4136"/>
      <c r="FMI13" s="4136"/>
      <c r="FMJ13" s="4136"/>
      <c r="FMK13" s="4136"/>
      <c r="FML13" s="4136"/>
      <c r="FMM13" s="4136"/>
      <c r="FMN13" s="4136"/>
      <c r="FMO13" s="4136"/>
      <c r="FMP13" s="4136"/>
      <c r="FMQ13" s="4136"/>
      <c r="FMR13" s="4136"/>
      <c r="FMS13" s="4136"/>
      <c r="FMT13" s="4136"/>
      <c r="FMU13" s="4136"/>
      <c r="FMV13" s="4136"/>
      <c r="FMW13" s="4136"/>
      <c r="FMX13" s="4136"/>
      <c r="FMY13" s="4136"/>
      <c r="FMZ13" s="4136"/>
      <c r="FNA13" s="4136"/>
      <c r="FNB13" s="4136"/>
      <c r="FNC13" s="4136"/>
      <c r="FND13" s="4136"/>
      <c r="FNE13" s="4136"/>
      <c r="FNF13" s="4136"/>
      <c r="FNG13" s="4136"/>
      <c r="FNH13" s="4136"/>
      <c r="FNI13" s="4136"/>
      <c r="FNJ13" s="4136"/>
      <c r="FNK13" s="4136"/>
      <c r="FNL13" s="4136"/>
      <c r="FNM13" s="4136"/>
      <c r="FNN13" s="4136"/>
      <c r="FNO13" s="4136"/>
      <c r="FNP13" s="4136"/>
      <c r="FNQ13" s="4136"/>
      <c r="FNR13" s="4136"/>
      <c r="FNS13" s="4136"/>
      <c r="FNT13" s="4136"/>
      <c r="FNU13" s="4136"/>
      <c r="FNV13" s="4136"/>
      <c r="FNW13" s="4136"/>
      <c r="FNX13" s="4136"/>
      <c r="FNY13" s="4136"/>
      <c r="FNZ13" s="4136"/>
      <c r="FOA13" s="4136"/>
      <c r="FOB13" s="4136"/>
      <c r="FOC13" s="4136"/>
      <c r="FOD13" s="4136"/>
      <c r="FOE13" s="4136"/>
      <c r="FOF13" s="4136"/>
      <c r="FOG13" s="4136"/>
      <c r="FOH13" s="4136"/>
      <c r="FOI13" s="4136"/>
      <c r="FOJ13" s="4136"/>
      <c r="FOK13" s="4136"/>
      <c r="FOL13" s="4136"/>
      <c r="FOM13" s="4136"/>
      <c r="FON13" s="4136"/>
      <c r="FOO13" s="4136"/>
      <c r="FOP13" s="4136"/>
      <c r="FOQ13" s="4136"/>
      <c r="FOR13" s="4136"/>
      <c r="FOS13" s="4136"/>
      <c r="FOT13" s="4136"/>
      <c r="FOU13" s="4136"/>
      <c r="FOV13" s="4136"/>
      <c r="FOW13" s="4136"/>
      <c r="FOX13" s="4136"/>
      <c r="FOY13" s="4136"/>
      <c r="FOZ13" s="4136"/>
      <c r="FPA13" s="4136"/>
      <c r="FPB13" s="4136"/>
      <c r="FPC13" s="4136"/>
      <c r="FPD13" s="4136"/>
      <c r="FPE13" s="4136"/>
      <c r="FPF13" s="4136"/>
      <c r="FPG13" s="4136"/>
      <c r="FPH13" s="4136"/>
      <c r="FPI13" s="4136"/>
      <c r="FPJ13" s="4136"/>
      <c r="FPK13" s="4136"/>
      <c r="FPL13" s="4136"/>
      <c r="FPM13" s="4136"/>
      <c r="FPN13" s="4136"/>
      <c r="FPO13" s="4136"/>
      <c r="FPP13" s="4136"/>
      <c r="FPQ13" s="4136"/>
      <c r="FPR13" s="4136"/>
      <c r="FPS13" s="4136"/>
      <c r="FPT13" s="4136"/>
      <c r="FPU13" s="4136"/>
      <c r="FPV13" s="4136"/>
      <c r="FPW13" s="4136"/>
      <c r="FPX13" s="4136"/>
      <c r="FPY13" s="4136"/>
      <c r="FPZ13" s="4136"/>
      <c r="FQA13" s="4136"/>
      <c r="FQB13" s="4136"/>
      <c r="FQC13" s="4136"/>
      <c r="FQD13" s="4136"/>
      <c r="FQE13" s="4136"/>
      <c r="FQF13" s="4136"/>
      <c r="FQG13" s="4136"/>
      <c r="FQH13" s="4136"/>
      <c r="FQI13" s="4136"/>
      <c r="FQJ13" s="4136"/>
      <c r="FQK13" s="4136"/>
      <c r="FQL13" s="4136"/>
      <c r="FQM13" s="4136"/>
      <c r="FQN13" s="4136"/>
      <c r="FQO13" s="4136"/>
      <c r="FQP13" s="4136"/>
      <c r="FQQ13" s="4136"/>
      <c r="FQR13" s="4136"/>
      <c r="FQS13" s="4136"/>
      <c r="FQT13" s="4136"/>
      <c r="FQU13" s="4136"/>
      <c r="FQV13" s="4136"/>
      <c r="FQW13" s="4136"/>
      <c r="FQX13" s="4136"/>
      <c r="FQY13" s="4136"/>
      <c r="FQZ13" s="4136"/>
      <c r="FRA13" s="4136"/>
      <c r="FRB13" s="4136"/>
      <c r="FRC13" s="4136"/>
      <c r="FRD13" s="4136"/>
      <c r="FRE13" s="4136"/>
      <c r="FRF13" s="4136"/>
      <c r="FRG13" s="4136"/>
      <c r="FRH13" s="4136"/>
      <c r="FRI13" s="4136"/>
      <c r="FRJ13" s="4136"/>
      <c r="FRK13" s="4136"/>
      <c r="FRL13" s="4136"/>
      <c r="FRM13" s="4136"/>
      <c r="FRN13" s="4136"/>
      <c r="FRO13" s="4136"/>
      <c r="FRP13" s="4136"/>
      <c r="FRQ13" s="4136"/>
      <c r="FRR13" s="4136"/>
      <c r="FRS13" s="4136"/>
      <c r="FRT13" s="4136"/>
      <c r="FRU13" s="4136"/>
      <c r="FRV13" s="4136"/>
      <c r="FRW13" s="4136"/>
      <c r="FRX13" s="4136"/>
      <c r="FRY13" s="4136"/>
      <c r="FRZ13" s="4136"/>
      <c r="FSA13" s="4136"/>
      <c r="FSB13" s="4136"/>
      <c r="FSC13" s="4136"/>
      <c r="FSD13" s="4136"/>
      <c r="FSE13" s="4136"/>
      <c r="FSF13" s="4136"/>
      <c r="FSG13" s="4136"/>
      <c r="FSH13" s="4136"/>
      <c r="FSI13" s="4136"/>
      <c r="FSJ13" s="4136"/>
      <c r="FSK13" s="4136"/>
      <c r="FSL13" s="4136"/>
      <c r="FSM13" s="4136"/>
      <c r="FSN13" s="4136"/>
      <c r="FSO13" s="4136"/>
      <c r="FSP13" s="4136"/>
      <c r="FSQ13" s="4136"/>
      <c r="FSR13" s="4136"/>
      <c r="FSS13" s="4136"/>
      <c r="FST13" s="4136"/>
      <c r="FSU13" s="4136"/>
      <c r="FSV13" s="4136"/>
      <c r="FSW13" s="4136"/>
      <c r="FSX13" s="4136"/>
      <c r="FSY13" s="4136"/>
      <c r="FSZ13" s="4136"/>
      <c r="FTA13" s="4136"/>
      <c r="FTB13" s="4136"/>
      <c r="FTC13" s="4136"/>
      <c r="FTD13" s="4136"/>
      <c r="FTE13" s="4136"/>
      <c r="FTF13" s="4136"/>
      <c r="FTG13" s="4136"/>
      <c r="FTH13" s="4136"/>
      <c r="FTI13" s="4136"/>
      <c r="FTJ13" s="4136"/>
      <c r="FTK13" s="4136"/>
      <c r="FTL13" s="4136"/>
      <c r="FTM13" s="4136"/>
      <c r="FTN13" s="4136"/>
      <c r="FTO13" s="4136"/>
      <c r="FTP13" s="4136"/>
      <c r="FTQ13" s="4136"/>
      <c r="FTR13" s="4136"/>
      <c r="FTS13" s="4136"/>
      <c r="FTT13" s="4136"/>
      <c r="FTU13" s="4136"/>
      <c r="FTV13" s="4136"/>
      <c r="FTW13" s="4136"/>
      <c r="FTX13" s="4136"/>
      <c r="FTY13" s="4136"/>
      <c r="FTZ13" s="4136"/>
      <c r="FUA13" s="4136"/>
      <c r="FUB13" s="4136"/>
      <c r="FUC13" s="4136"/>
      <c r="FUD13" s="4136"/>
      <c r="FUE13" s="4136"/>
      <c r="FUF13" s="4136"/>
      <c r="FUG13" s="4136"/>
      <c r="FUH13" s="4136"/>
      <c r="FUI13" s="4136"/>
      <c r="FUJ13" s="4136"/>
      <c r="FUK13" s="4136"/>
      <c r="FUL13" s="4136"/>
      <c r="FUM13" s="4136"/>
      <c r="FUN13" s="4136"/>
      <c r="FUO13" s="4136"/>
      <c r="FUP13" s="4136"/>
      <c r="FUQ13" s="4136"/>
      <c r="FUR13" s="4136"/>
      <c r="FUS13" s="4136"/>
      <c r="FUT13" s="4136"/>
      <c r="FUU13" s="4136"/>
      <c r="FUV13" s="4136"/>
      <c r="FUW13" s="4136"/>
      <c r="FUX13" s="4136"/>
      <c r="FUY13" s="4136"/>
      <c r="FUZ13" s="4136"/>
      <c r="FVA13" s="4136"/>
      <c r="FVB13" s="4136"/>
      <c r="FVC13" s="4136"/>
      <c r="FVD13" s="4136"/>
      <c r="FVE13" s="4136"/>
      <c r="FVF13" s="4136"/>
      <c r="FVG13" s="4136"/>
      <c r="FVH13" s="4136"/>
      <c r="FVI13" s="4136"/>
      <c r="FVJ13" s="4136"/>
      <c r="FVK13" s="4136"/>
      <c r="FVL13" s="4136"/>
      <c r="FVM13" s="4136"/>
      <c r="FVN13" s="4136"/>
      <c r="FVO13" s="4136"/>
      <c r="FVP13" s="4136"/>
      <c r="FVQ13" s="4136"/>
      <c r="FVR13" s="4136"/>
      <c r="FVS13" s="4136"/>
      <c r="FVT13" s="4136"/>
      <c r="FVU13" s="4136"/>
      <c r="FVV13" s="4136"/>
      <c r="FVW13" s="4136"/>
      <c r="FVX13" s="4136"/>
      <c r="FVY13" s="4136"/>
      <c r="FVZ13" s="4136"/>
      <c r="FWA13" s="4136"/>
      <c r="FWB13" s="4136"/>
      <c r="FWC13" s="4136"/>
      <c r="FWD13" s="4136"/>
      <c r="FWE13" s="4136"/>
      <c r="FWF13" s="4136"/>
      <c r="FWG13" s="4136"/>
      <c r="FWH13" s="4136"/>
      <c r="FWI13" s="4136"/>
      <c r="FWJ13" s="4136"/>
      <c r="FWK13" s="4136"/>
      <c r="FWL13" s="4136"/>
      <c r="FWM13" s="4136"/>
      <c r="FWN13" s="4136"/>
      <c r="FWO13" s="4136"/>
      <c r="FWP13" s="4136"/>
      <c r="FWQ13" s="4136"/>
      <c r="FWR13" s="4136"/>
      <c r="FWS13" s="4136"/>
      <c r="FWT13" s="4136"/>
      <c r="FWU13" s="4136"/>
      <c r="FWV13" s="4136"/>
      <c r="FWW13" s="4136"/>
      <c r="FWX13" s="4136"/>
      <c r="FWY13" s="4136"/>
      <c r="FWZ13" s="4136"/>
      <c r="FXA13" s="4136"/>
      <c r="FXB13" s="4136"/>
      <c r="FXC13" s="4136"/>
      <c r="FXD13" s="4136"/>
      <c r="FXE13" s="4136"/>
      <c r="FXF13" s="4136"/>
      <c r="FXG13" s="4136"/>
      <c r="FXH13" s="4136"/>
      <c r="FXI13" s="4136"/>
      <c r="FXJ13" s="4136"/>
      <c r="FXK13" s="4136"/>
      <c r="FXL13" s="4136"/>
      <c r="FXM13" s="4136"/>
      <c r="FXN13" s="4136"/>
      <c r="FXO13" s="4136"/>
      <c r="FXP13" s="4136"/>
      <c r="FXQ13" s="4136"/>
      <c r="FXR13" s="4136"/>
      <c r="FXS13" s="4136"/>
      <c r="FXT13" s="4136"/>
      <c r="FXU13" s="4136"/>
      <c r="FXV13" s="4136"/>
      <c r="FXW13" s="4136"/>
      <c r="FXX13" s="4136"/>
      <c r="FXY13" s="4136"/>
      <c r="FXZ13" s="4136"/>
      <c r="FYA13" s="4136"/>
      <c r="FYB13" s="4136"/>
      <c r="FYC13" s="4136"/>
      <c r="FYD13" s="4136"/>
      <c r="FYE13" s="4136"/>
      <c r="FYF13" s="4136"/>
      <c r="FYG13" s="4136"/>
      <c r="FYH13" s="4136"/>
      <c r="FYI13" s="4136"/>
      <c r="FYJ13" s="4136"/>
      <c r="FYK13" s="4136"/>
      <c r="FYL13" s="4136"/>
      <c r="FYM13" s="4136"/>
      <c r="FYN13" s="4136"/>
      <c r="FYO13" s="4136"/>
      <c r="FYP13" s="4136"/>
      <c r="FYQ13" s="4136"/>
      <c r="FYR13" s="4136"/>
      <c r="FYS13" s="4136"/>
      <c r="FYT13" s="4136"/>
      <c r="FYU13" s="4136"/>
      <c r="FYV13" s="4136"/>
      <c r="FYW13" s="4136"/>
      <c r="FYX13" s="4136"/>
      <c r="FYY13" s="4136"/>
      <c r="FYZ13" s="4136"/>
      <c r="FZA13" s="4136"/>
      <c r="FZB13" s="4136"/>
      <c r="FZC13" s="4136"/>
      <c r="FZD13" s="4136"/>
      <c r="FZE13" s="4136"/>
      <c r="FZF13" s="4136"/>
      <c r="FZG13" s="4136"/>
      <c r="FZH13" s="4136"/>
      <c r="FZI13" s="4136"/>
      <c r="FZJ13" s="4136"/>
      <c r="FZK13" s="4136"/>
      <c r="FZL13" s="4136"/>
      <c r="FZM13" s="4136"/>
      <c r="FZN13" s="4136"/>
      <c r="FZO13" s="4136"/>
      <c r="FZP13" s="4136"/>
      <c r="FZQ13" s="4136"/>
      <c r="FZR13" s="4136"/>
      <c r="FZS13" s="4136"/>
      <c r="FZT13" s="4136"/>
      <c r="FZU13" s="4136"/>
      <c r="FZV13" s="4136"/>
      <c r="FZW13" s="4136"/>
      <c r="FZX13" s="4136"/>
      <c r="FZY13" s="4136"/>
      <c r="FZZ13" s="4136"/>
      <c r="GAA13" s="4136"/>
      <c r="GAB13" s="4136"/>
      <c r="GAC13" s="4136"/>
      <c r="GAD13" s="4136"/>
      <c r="GAE13" s="4136"/>
      <c r="GAF13" s="4136"/>
      <c r="GAG13" s="4136"/>
      <c r="GAH13" s="4136"/>
      <c r="GAI13" s="4136"/>
      <c r="GAJ13" s="4136"/>
      <c r="GAK13" s="4136"/>
      <c r="GAL13" s="4136"/>
      <c r="GAM13" s="4136"/>
      <c r="GAN13" s="4136"/>
      <c r="GAO13" s="4136"/>
      <c r="GAP13" s="4136"/>
      <c r="GAQ13" s="4136"/>
      <c r="GAR13" s="4136"/>
      <c r="GAS13" s="4136"/>
      <c r="GAT13" s="4136"/>
      <c r="GAU13" s="4136"/>
      <c r="GAV13" s="4136"/>
      <c r="GAW13" s="4136"/>
      <c r="GAX13" s="4136"/>
      <c r="GAY13" s="4136"/>
      <c r="GAZ13" s="4136"/>
      <c r="GBA13" s="4136"/>
      <c r="GBB13" s="4136"/>
      <c r="GBC13" s="4136"/>
      <c r="GBD13" s="4136"/>
      <c r="GBE13" s="4136"/>
      <c r="GBF13" s="4136"/>
      <c r="GBG13" s="4136"/>
      <c r="GBH13" s="4136"/>
      <c r="GBI13" s="4136"/>
      <c r="GBJ13" s="4136"/>
      <c r="GBK13" s="4136"/>
      <c r="GBL13" s="4136"/>
      <c r="GBM13" s="4136"/>
      <c r="GBN13" s="4136"/>
      <c r="GBO13" s="4136"/>
      <c r="GBP13" s="4136"/>
      <c r="GBQ13" s="4136"/>
      <c r="GBR13" s="4136"/>
      <c r="GBS13" s="4136"/>
      <c r="GBT13" s="4136"/>
      <c r="GBU13" s="4136"/>
      <c r="GBV13" s="4136"/>
      <c r="GBW13" s="4136"/>
      <c r="GBX13" s="4136"/>
      <c r="GBY13" s="4136"/>
      <c r="GBZ13" s="4136"/>
      <c r="GCA13" s="4136"/>
      <c r="GCB13" s="4136"/>
      <c r="GCC13" s="4136"/>
      <c r="GCD13" s="4136"/>
      <c r="GCE13" s="4136"/>
      <c r="GCF13" s="4136"/>
      <c r="GCG13" s="4136"/>
      <c r="GCH13" s="4136"/>
      <c r="GCI13" s="4136"/>
      <c r="GCJ13" s="4136"/>
      <c r="GCK13" s="4136"/>
      <c r="GCL13" s="4136"/>
      <c r="GCM13" s="4136"/>
      <c r="GCN13" s="4136"/>
      <c r="GCO13" s="4136"/>
      <c r="GCP13" s="4136"/>
      <c r="GCQ13" s="4136"/>
      <c r="GCR13" s="4136"/>
      <c r="GCS13" s="4136"/>
      <c r="GCT13" s="4136"/>
      <c r="GCU13" s="4136"/>
      <c r="GCV13" s="4136"/>
      <c r="GCW13" s="4136"/>
      <c r="GCX13" s="4136"/>
      <c r="GCY13" s="4136"/>
      <c r="GCZ13" s="4136"/>
      <c r="GDA13" s="4136"/>
      <c r="GDB13" s="4136"/>
      <c r="GDC13" s="4136"/>
      <c r="GDD13" s="4136"/>
      <c r="GDE13" s="4136"/>
      <c r="GDF13" s="4136"/>
      <c r="GDG13" s="4136"/>
      <c r="GDH13" s="4136"/>
      <c r="GDI13" s="4136"/>
      <c r="GDJ13" s="4136"/>
      <c r="GDK13" s="4136"/>
      <c r="GDL13" s="4136"/>
      <c r="GDM13" s="4136"/>
      <c r="GDN13" s="4136"/>
      <c r="GDO13" s="4136"/>
      <c r="GDP13" s="4136"/>
      <c r="GDQ13" s="4136"/>
      <c r="GDR13" s="4136"/>
      <c r="GDS13" s="4136"/>
      <c r="GDT13" s="4136"/>
      <c r="GDU13" s="4136"/>
      <c r="GDV13" s="4136"/>
      <c r="GDW13" s="4136"/>
      <c r="GDX13" s="4136"/>
      <c r="GDY13" s="4136"/>
      <c r="GDZ13" s="4136"/>
      <c r="GEA13" s="4136"/>
      <c r="GEB13" s="4136"/>
      <c r="GEC13" s="4136"/>
      <c r="GED13" s="4136"/>
      <c r="GEE13" s="4136"/>
      <c r="GEF13" s="4136"/>
      <c r="GEG13" s="4136"/>
      <c r="GEH13" s="4136"/>
      <c r="GEI13" s="4136"/>
      <c r="GEJ13" s="4136"/>
      <c r="GEK13" s="4136"/>
      <c r="GEL13" s="4136"/>
      <c r="GEM13" s="4136"/>
      <c r="GEN13" s="4136"/>
      <c r="GEO13" s="4136"/>
      <c r="GEP13" s="4136"/>
      <c r="GEQ13" s="4136"/>
      <c r="GER13" s="4136"/>
      <c r="GES13" s="4136"/>
      <c r="GET13" s="4136"/>
      <c r="GEU13" s="4136"/>
      <c r="GEV13" s="4136"/>
      <c r="GEW13" s="4136"/>
      <c r="GEX13" s="4136"/>
      <c r="GEY13" s="4136"/>
      <c r="GEZ13" s="4136"/>
      <c r="GFA13" s="4136"/>
      <c r="GFB13" s="4136"/>
      <c r="GFC13" s="4136"/>
      <c r="GFD13" s="4136"/>
      <c r="GFE13" s="4136"/>
      <c r="GFF13" s="4136"/>
      <c r="GFG13" s="4136"/>
      <c r="GFH13" s="4136"/>
      <c r="GFI13" s="4136"/>
      <c r="GFJ13" s="4136"/>
      <c r="GFK13" s="4136"/>
      <c r="GFL13" s="4136"/>
      <c r="GFM13" s="4136"/>
      <c r="GFN13" s="4136"/>
      <c r="GFO13" s="4136"/>
      <c r="GFP13" s="4136"/>
      <c r="GFQ13" s="4136"/>
      <c r="GFR13" s="4136"/>
      <c r="GFS13" s="4136"/>
      <c r="GFT13" s="4136"/>
      <c r="GFU13" s="4136"/>
      <c r="GFV13" s="4136"/>
      <c r="GFW13" s="4136"/>
      <c r="GFX13" s="4136"/>
      <c r="GFY13" s="4136"/>
      <c r="GFZ13" s="4136"/>
      <c r="GGA13" s="4136"/>
      <c r="GGB13" s="4136"/>
      <c r="GGC13" s="4136"/>
      <c r="GGD13" s="4136"/>
      <c r="GGE13" s="4136"/>
      <c r="GGF13" s="4136"/>
      <c r="GGG13" s="4136"/>
      <c r="GGH13" s="4136"/>
      <c r="GGI13" s="4136"/>
      <c r="GGJ13" s="4136"/>
      <c r="GGK13" s="4136"/>
      <c r="GGL13" s="4136"/>
      <c r="GGM13" s="4136"/>
      <c r="GGN13" s="4136"/>
      <c r="GGO13" s="4136"/>
      <c r="GGP13" s="4136"/>
      <c r="GGQ13" s="4136"/>
      <c r="GGR13" s="4136"/>
      <c r="GGS13" s="4136"/>
      <c r="GGT13" s="4136"/>
      <c r="GGU13" s="4136"/>
      <c r="GGV13" s="4136"/>
      <c r="GGW13" s="4136"/>
      <c r="GGX13" s="4136"/>
      <c r="GGY13" s="4136"/>
      <c r="GGZ13" s="4136"/>
      <c r="GHA13" s="4136"/>
      <c r="GHB13" s="4136"/>
      <c r="GHC13" s="4136"/>
      <c r="GHD13" s="4136"/>
      <c r="GHE13" s="4136"/>
      <c r="GHF13" s="4136"/>
      <c r="GHG13" s="4136"/>
      <c r="GHH13" s="4136"/>
      <c r="GHI13" s="4136"/>
      <c r="GHJ13" s="4136"/>
      <c r="GHK13" s="4136"/>
      <c r="GHL13" s="4136"/>
      <c r="GHM13" s="4136"/>
      <c r="GHN13" s="4136"/>
      <c r="GHO13" s="4136"/>
      <c r="GHP13" s="4136"/>
      <c r="GHQ13" s="4136"/>
      <c r="GHR13" s="4136"/>
      <c r="GHS13" s="4136"/>
      <c r="GHT13" s="4136"/>
      <c r="GHU13" s="4136"/>
      <c r="GHV13" s="4136"/>
      <c r="GHW13" s="4136"/>
      <c r="GHX13" s="4136"/>
      <c r="GHY13" s="4136"/>
      <c r="GHZ13" s="4136"/>
      <c r="GIA13" s="4136"/>
      <c r="GIB13" s="4136"/>
      <c r="GIC13" s="4136"/>
      <c r="GID13" s="4136"/>
      <c r="GIE13" s="4136"/>
      <c r="GIF13" s="4136"/>
      <c r="GIG13" s="4136"/>
      <c r="GIH13" s="4136"/>
      <c r="GII13" s="4136"/>
      <c r="GIJ13" s="4136"/>
      <c r="GIK13" s="4136"/>
      <c r="GIL13" s="4136"/>
      <c r="GIM13" s="4136"/>
      <c r="GIN13" s="4136"/>
      <c r="GIO13" s="4136"/>
      <c r="GIP13" s="4136"/>
      <c r="GIQ13" s="4136"/>
      <c r="GIR13" s="4136"/>
      <c r="GIS13" s="4136"/>
      <c r="GIT13" s="4136"/>
      <c r="GIU13" s="4136"/>
      <c r="GIV13" s="4136"/>
      <c r="GIW13" s="4136"/>
      <c r="GIX13" s="4136"/>
      <c r="GIY13" s="4136"/>
      <c r="GIZ13" s="4136"/>
      <c r="GJA13" s="4136"/>
      <c r="GJB13" s="4136"/>
      <c r="GJC13" s="4136"/>
      <c r="GJD13" s="4136"/>
      <c r="GJE13" s="4136"/>
      <c r="GJF13" s="4136"/>
      <c r="GJG13" s="4136"/>
      <c r="GJH13" s="4136"/>
      <c r="GJI13" s="4136"/>
      <c r="GJJ13" s="4136"/>
      <c r="GJK13" s="4136"/>
      <c r="GJL13" s="4136"/>
      <c r="GJM13" s="4136"/>
      <c r="GJN13" s="4136"/>
      <c r="GJO13" s="4136"/>
      <c r="GJP13" s="4136"/>
      <c r="GJQ13" s="4136"/>
      <c r="GJR13" s="4136"/>
      <c r="GJS13" s="4136"/>
      <c r="GJT13" s="4136"/>
      <c r="GJU13" s="4136"/>
      <c r="GJV13" s="4136"/>
      <c r="GJW13" s="4136"/>
      <c r="GJX13" s="4136"/>
      <c r="GJY13" s="4136"/>
      <c r="GJZ13" s="4136"/>
      <c r="GKA13" s="4136"/>
      <c r="GKB13" s="4136"/>
      <c r="GKC13" s="4136"/>
      <c r="GKD13" s="4136"/>
      <c r="GKE13" s="4136"/>
      <c r="GKF13" s="4136"/>
      <c r="GKG13" s="4136"/>
      <c r="GKH13" s="4136"/>
      <c r="GKI13" s="4136"/>
      <c r="GKJ13" s="4136"/>
      <c r="GKK13" s="4136"/>
      <c r="GKL13" s="4136"/>
      <c r="GKM13" s="4136"/>
      <c r="GKN13" s="4136"/>
      <c r="GKO13" s="4136"/>
      <c r="GKP13" s="4136"/>
      <c r="GKQ13" s="4136"/>
      <c r="GKR13" s="4136"/>
      <c r="GKS13" s="4136"/>
      <c r="GKT13" s="4136"/>
      <c r="GKU13" s="4136"/>
      <c r="GKV13" s="4136"/>
      <c r="GKW13" s="4136"/>
      <c r="GKX13" s="4136"/>
      <c r="GKY13" s="4136"/>
      <c r="GKZ13" s="4136"/>
      <c r="GLA13" s="4136"/>
      <c r="GLB13" s="4136"/>
      <c r="GLC13" s="4136"/>
      <c r="GLD13" s="4136"/>
      <c r="GLE13" s="4136"/>
      <c r="GLF13" s="4136"/>
      <c r="GLG13" s="4136"/>
      <c r="GLH13" s="4136"/>
      <c r="GLI13" s="4136"/>
      <c r="GLJ13" s="4136"/>
      <c r="GLK13" s="4136"/>
      <c r="GLL13" s="4136"/>
      <c r="GLM13" s="4136"/>
      <c r="GLN13" s="4136"/>
      <c r="GLO13" s="4136"/>
      <c r="GLP13" s="4136"/>
      <c r="GLQ13" s="4136"/>
      <c r="GLR13" s="4136"/>
      <c r="GLS13" s="4136"/>
      <c r="GLT13" s="4136"/>
      <c r="GLU13" s="4136"/>
      <c r="GLV13" s="4136"/>
      <c r="GLW13" s="4136"/>
      <c r="GLX13" s="4136"/>
      <c r="GLY13" s="4136"/>
      <c r="GLZ13" s="4136"/>
      <c r="GMA13" s="4136"/>
      <c r="GMB13" s="4136"/>
      <c r="GMC13" s="4136"/>
      <c r="GMD13" s="4136"/>
      <c r="GME13" s="4136"/>
      <c r="GMF13" s="4136"/>
      <c r="GMG13" s="4136"/>
      <c r="GMH13" s="4136"/>
      <c r="GMI13" s="4136"/>
      <c r="GMJ13" s="4136"/>
      <c r="GMK13" s="4136"/>
      <c r="GML13" s="4136"/>
      <c r="GMM13" s="4136"/>
      <c r="GMN13" s="4136"/>
      <c r="GMO13" s="4136"/>
      <c r="GMP13" s="4136"/>
      <c r="GMQ13" s="4136"/>
      <c r="GMR13" s="4136"/>
      <c r="GMS13" s="4136"/>
      <c r="GMT13" s="4136"/>
      <c r="GMU13" s="4136"/>
      <c r="GMV13" s="4136"/>
      <c r="GMW13" s="4136"/>
      <c r="GMX13" s="4136"/>
      <c r="GMY13" s="4136"/>
      <c r="GMZ13" s="4136"/>
      <c r="GNA13" s="4136"/>
      <c r="GNB13" s="4136"/>
      <c r="GNC13" s="4136"/>
      <c r="GND13" s="4136"/>
      <c r="GNE13" s="4136"/>
      <c r="GNF13" s="4136"/>
      <c r="GNG13" s="4136"/>
      <c r="GNH13" s="4136"/>
      <c r="GNI13" s="4136"/>
      <c r="GNJ13" s="4136"/>
      <c r="GNK13" s="4136"/>
      <c r="GNL13" s="4136"/>
      <c r="GNM13" s="4136"/>
      <c r="GNN13" s="4136"/>
      <c r="GNO13" s="4136"/>
      <c r="GNP13" s="4136"/>
      <c r="GNQ13" s="4136"/>
      <c r="GNR13" s="4136"/>
      <c r="GNS13" s="4136"/>
      <c r="GNT13" s="4136"/>
      <c r="GNU13" s="4136"/>
      <c r="GNV13" s="4136"/>
      <c r="GNW13" s="4136"/>
      <c r="GNX13" s="4136"/>
      <c r="GNY13" s="4136"/>
      <c r="GNZ13" s="4136"/>
      <c r="GOA13" s="4136"/>
      <c r="GOB13" s="4136"/>
      <c r="GOC13" s="4136"/>
      <c r="GOD13" s="4136"/>
      <c r="GOE13" s="4136"/>
      <c r="GOF13" s="4136"/>
      <c r="GOG13" s="4136"/>
      <c r="GOH13" s="4136"/>
      <c r="GOI13" s="4136"/>
      <c r="GOJ13" s="4136"/>
      <c r="GOK13" s="4136"/>
      <c r="GOL13" s="4136"/>
      <c r="GOM13" s="4136"/>
      <c r="GON13" s="4136"/>
      <c r="GOO13" s="4136"/>
      <c r="GOP13" s="4136"/>
      <c r="GOQ13" s="4136"/>
      <c r="GOR13" s="4136"/>
      <c r="GOS13" s="4136"/>
      <c r="GOT13" s="4136"/>
      <c r="GOU13" s="4136"/>
      <c r="GOV13" s="4136"/>
      <c r="GOW13" s="4136"/>
      <c r="GOX13" s="4136"/>
      <c r="GOY13" s="4136"/>
      <c r="GOZ13" s="4136"/>
      <c r="GPA13" s="4136"/>
      <c r="GPB13" s="4136"/>
      <c r="GPC13" s="4136"/>
      <c r="GPD13" s="4136"/>
      <c r="GPE13" s="4136"/>
      <c r="GPF13" s="4136"/>
      <c r="GPG13" s="4136"/>
      <c r="GPH13" s="4136"/>
      <c r="GPI13" s="4136"/>
      <c r="GPJ13" s="4136"/>
      <c r="GPK13" s="4136"/>
      <c r="GPL13" s="4136"/>
      <c r="GPM13" s="4136"/>
      <c r="GPN13" s="4136"/>
      <c r="GPO13" s="4136"/>
      <c r="GPP13" s="4136"/>
      <c r="GPQ13" s="4136"/>
      <c r="GPR13" s="4136"/>
      <c r="GPS13" s="4136"/>
      <c r="GPT13" s="4136"/>
      <c r="GPU13" s="4136"/>
      <c r="GPV13" s="4136"/>
      <c r="GPW13" s="4136"/>
      <c r="GPX13" s="4136"/>
      <c r="GPY13" s="4136"/>
      <c r="GPZ13" s="4136"/>
      <c r="GQA13" s="4136"/>
      <c r="GQB13" s="4136"/>
      <c r="GQC13" s="4136"/>
      <c r="GQD13" s="4136"/>
      <c r="GQE13" s="4136"/>
      <c r="GQF13" s="4136"/>
      <c r="GQG13" s="4136"/>
      <c r="GQH13" s="4136"/>
      <c r="GQI13" s="4136"/>
      <c r="GQJ13" s="4136"/>
      <c r="GQK13" s="4136"/>
      <c r="GQL13" s="4136"/>
      <c r="GQM13" s="4136"/>
      <c r="GQN13" s="4136"/>
      <c r="GQO13" s="4136"/>
      <c r="GQP13" s="4136"/>
      <c r="GQQ13" s="4136"/>
      <c r="GQR13" s="4136"/>
      <c r="GQS13" s="4136"/>
      <c r="GQT13" s="4136"/>
      <c r="GQU13" s="4136"/>
      <c r="GQV13" s="4136"/>
      <c r="GQW13" s="4136"/>
      <c r="GQX13" s="4136"/>
      <c r="GQY13" s="4136"/>
      <c r="GQZ13" s="4136"/>
      <c r="GRA13" s="4136"/>
      <c r="GRB13" s="4136"/>
      <c r="GRC13" s="4136"/>
      <c r="GRD13" s="4136"/>
      <c r="GRE13" s="4136"/>
      <c r="GRF13" s="4136"/>
      <c r="GRG13" s="4136"/>
      <c r="GRH13" s="4136"/>
      <c r="GRI13" s="4136"/>
      <c r="GRJ13" s="4136"/>
      <c r="GRK13" s="4136"/>
      <c r="GRL13" s="4136"/>
      <c r="GRM13" s="4136"/>
      <c r="GRN13" s="4136"/>
      <c r="GRO13" s="4136"/>
      <c r="GRP13" s="4136"/>
      <c r="GRQ13" s="4136"/>
      <c r="GRR13" s="4136"/>
      <c r="GRS13" s="4136"/>
      <c r="GRT13" s="4136"/>
      <c r="GRU13" s="4136"/>
      <c r="GRV13" s="4136"/>
      <c r="GRW13" s="4136"/>
      <c r="GRX13" s="4136"/>
      <c r="GRY13" s="4136"/>
      <c r="GRZ13" s="4136"/>
      <c r="GSA13" s="4136"/>
      <c r="GSB13" s="4136"/>
      <c r="GSC13" s="4136"/>
      <c r="GSD13" s="4136"/>
      <c r="GSE13" s="4136"/>
      <c r="GSF13" s="4136"/>
      <c r="GSG13" s="4136"/>
      <c r="GSH13" s="4136"/>
      <c r="GSI13" s="4136"/>
      <c r="GSJ13" s="4136"/>
      <c r="GSK13" s="4136"/>
      <c r="GSL13" s="4136"/>
      <c r="GSM13" s="4136"/>
      <c r="GSN13" s="4136"/>
      <c r="GSO13" s="4136"/>
      <c r="GSP13" s="4136"/>
      <c r="GSQ13" s="4136"/>
      <c r="GSR13" s="4136"/>
      <c r="GSS13" s="4136"/>
      <c r="GST13" s="4136"/>
      <c r="GSU13" s="4136"/>
      <c r="GSV13" s="4136"/>
      <c r="GSW13" s="4136"/>
      <c r="GSX13" s="4136"/>
      <c r="GSY13" s="4136"/>
      <c r="GSZ13" s="4136"/>
      <c r="GTA13" s="4136"/>
      <c r="GTB13" s="4136"/>
      <c r="GTC13" s="4136"/>
      <c r="GTD13" s="4136"/>
      <c r="GTE13" s="4136"/>
      <c r="GTF13" s="4136"/>
      <c r="GTG13" s="4136"/>
      <c r="GTH13" s="4136"/>
      <c r="GTI13" s="4136"/>
      <c r="GTJ13" s="4136"/>
      <c r="GTK13" s="4136"/>
      <c r="GTL13" s="4136"/>
      <c r="GTM13" s="4136"/>
      <c r="GTN13" s="4136"/>
      <c r="GTO13" s="4136"/>
      <c r="GTP13" s="4136"/>
      <c r="GTQ13" s="4136"/>
      <c r="GTR13" s="4136"/>
      <c r="GTS13" s="4136"/>
      <c r="GTT13" s="4136"/>
      <c r="GTU13" s="4136"/>
      <c r="GTV13" s="4136"/>
      <c r="GTW13" s="4136"/>
      <c r="GTX13" s="4136"/>
      <c r="GTY13" s="4136"/>
      <c r="GTZ13" s="4136"/>
      <c r="GUA13" s="4136"/>
      <c r="GUB13" s="4136"/>
      <c r="GUC13" s="4136"/>
      <c r="GUD13" s="4136"/>
      <c r="GUE13" s="4136"/>
      <c r="GUF13" s="4136"/>
      <c r="GUG13" s="4136"/>
      <c r="GUH13" s="4136"/>
      <c r="GUI13" s="4136"/>
      <c r="GUJ13" s="4136"/>
      <c r="GUK13" s="4136"/>
      <c r="GUL13" s="4136"/>
      <c r="GUM13" s="4136"/>
      <c r="GUN13" s="4136"/>
      <c r="GUO13" s="4136"/>
      <c r="GUP13" s="4136"/>
      <c r="GUQ13" s="4136"/>
      <c r="GUR13" s="4136"/>
      <c r="GUS13" s="4136"/>
      <c r="GUT13" s="4136"/>
      <c r="GUU13" s="4136"/>
      <c r="GUV13" s="4136"/>
      <c r="GUW13" s="4136"/>
      <c r="GUX13" s="4136"/>
      <c r="GUY13" s="4136"/>
      <c r="GUZ13" s="4136"/>
      <c r="GVA13" s="4136"/>
      <c r="GVB13" s="4136"/>
      <c r="GVC13" s="4136"/>
      <c r="GVD13" s="4136"/>
      <c r="GVE13" s="4136"/>
      <c r="GVF13" s="4136"/>
      <c r="GVG13" s="4136"/>
      <c r="GVH13" s="4136"/>
      <c r="GVI13" s="4136"/>
      <c r="GVJ13" s="4136"/>
      <c r="GVK13" s="4136"/>
      <c r="GVL13" s="4136"/>
      <c r="GVM13" s="4136"/>
      <c r="GVN13" s="4136"/>
      <c r="GVO13" s="4136"/>
      <c r="GVP13" s="4136"/>
      <c r="GVQ13" s="4136"/>
      <c r="GVR13" s="4136"/>
      <c r="GVS13" s="4136"/>
      <c r="GVT13" s="4136"/>
      <c r="GVU13" s="4136"/>
      <c r="GVV13" s="4136"/>
      <c r="GVW13" s="4136"/>
      <c r="GVX13" s="4136"/>
      <c r="GVY13" s="4136"/>
      <c r="GVZ13" s="4136"/>
      <c r="GWA13" s="4136"/>
      <c r="GWB13" s="4136"/>
      <c r="GWC13" s="4136"/>
      <c r="GWD13" s="4136"/>
      <c r="GWE13" s="4136"/>
      <c r="GWF13" s="4136"/>
      <c r="GWG13" s="4136"/>
      <c r="GWH13" s="4136"/>
      <c r="GWI13" s="4136"/>
      <c r="GWJ13" s="4136"/>
      <c r="GWK13" s="4136"/>
      <c r="GWL13" s="4136"/>
      <c r="GWM13" s="4136"/>
      <c r="GWN13" s="4136"/>
      <c r="GWO13" s="4136"/>
      <c r="GWP13" s="4136"/>
      <c r="GWQ13" s="4136"/>
      <c r="GWR13" s="4136"/>
      <c r="GWS13" s="4136"/>
      <c r="GWT13" s="4136"/>
      <c r="GWU13" s="4136"/>
      <c r="GWV13" s="4136"/>
      <c r="GWW13" s="4136"/>
      <c r="GWX13" s="4136"/>
      <c r="GWY13" s="4136"/>
      <c r="GWZ13" s="4136"/>
      <c r="GXA13" s="4136"/>
      <c r="GXB13" s="4136"/>
      <c r="GXC13" s="4136"/>
      <c r="GXD13" s="4136"/>
      <c r="GXE13" s="4136"/>
      <c r="GXF13" s="4136"/>
      <c r="GXG13" s="4136"/>
      <c r="GXH13" s="4136"/>
      <c r="GXI13" s="4136"/>
      <c r="GXJ13" s="4136"/>
      <c r="GXK13" s="4136"/>
      <c r="GXL13" s="4136"/>
      <c r="GXM13" s="4136"/>
      <c r="GXN13" s="4136"/>
      <c r="GXO13" s="4136"/>
      <c r="GXP13" s="4136"/>
      <c r="GXQ13" s="4136"/>
      <c r="GXR13" s="4136"/>
      <c r="GXS13" s="4136"/>
      <c r="GXT13" s="4136"/>
      <c r="GXU13" s="4136"/>
      <c r="GXV13" s="4136"/>
      <c r="GXW13" s="4136"/>
      <c r="GXX13" s="4136"/>
      <c r="GXY13" s="4136"/>
      <c r="GXZ13" s="4136"/>
      <c r="GYA13" s="4136"/>
      <c r="GYB13" s="4136"/>
      <c r="GYC13" s="4136"/>
      <c r="GYD13" s="4136"/>
      <c r="GYE13" s="4136"/>
      <c r="GYF13" s="4136"/>
      <c r="GYG13" s="4136"/>
      <c r="GYH13" s="4136"/>
      <c r="GYI13" s="4136"/>
      <c r="GYJ13" s="4136"/>
      <c r="GYK13" s="4136"/>
      <c r="GYL13" s="4136"/>
      <c r="GYM13" s="4136"/>
      <c r="GYN13" s="4136"/>
      <c r="GYO13" s="4136"/>
      <c r="GYP13" s="4136"/>
      <c r="GYQ13" s="4136"/>
      <c r="GYR13" s="4136"/>
      <c r="GYS13" s="4136"/>
      <c r="GYT13" s="4136"/>
      <c r="GYU13" s="4136"/>
      <c r="GYV13" s="4136"/>
      <c r="GYW13" s="4136"/>
      <c r="GYX13" s="4136"/>
      <c r="GYY13" s="4136"/>
      <c r="GYZ13" s="4136"/>
      <c r="GZA13" s="4136"/>
      <c r="GZB13" s="4136"/>
      <c r="GZC13" s="4136"/>
      <c r="GZD13" s="4136"/>
      <c r="GZE13" s="4136"/>
      <c r="GZF13" s="4136"/>
      <c r="GZG13" s="4136"/>
      <c r="GZH13" s="4136"/>
      <c r="GZI13" s="4136"/>
      <c r="GZJ13" s="4136"/>
      <c r="GZK13" s="4136"/>
      <c r="GZL13" s="4136"/>
      <c r="GZM13" s="4136"/>
      <c r="GZN13" s="4136"/>
      <c r="GZO13" s="4136"/>
      <c r="GZP13" s="4136"/>
      <c r="GZQ13" s="4136"/>
      <c r="GZR13" s="4136"/>
      <c r="GZS13" s="4136"/>
      <c r="GZT13" s="4136"/>
      <c r="GZU13" s="4136"/>
      <c r="GZV13" s="4136"/>
      <c r="GZW13" s="4136"/>
      <c r="GZX13" s="4136"/>
      <c r="GZY13" s="4136"/>
      <c r="GZZ13" s="4136"/>
      <c r="HAA13" s="4136"/>
      <c r="HAB13" s="4136"/>
      <c r="HAC13" s="4136"/>
      <c r="HAD13" s="4136"/>
      <c r="HAE13" s="4136"/>
      <c r="HAF13" s="4136"/>
      <c r="HAG13" s="4136"/>
      <c r="HAH13" s="4136"/>
      <c r="HAI13" s="4136"/>
      <c r="HAJ13" s="4136"/>
      <c r="HAK13" s="4136"/>
      <c r="HAL13" s="4136"/>
      <c r="HAM13" s="4136"/>
      <c r="HAN13" s="4136"/>
      <c r="HAO13" s="4136"/>
      <c r="HAP13" s="4136"/>
      <c r="HAQ13" s="4136"/>
      <c r="HAR13" s="4136"/>
      <c r="HAS13" s="4136"/>
      <c r="HAT13" s="4136"/>
      <c r="HAU13" s="4136"/>
      <c r="HAV13" s="4136"/>
      <c r="HAW13" s="4136"/>
      <c r="HAX13" s="4136"/>
      <c r="HAY13" s="4136"/>
      <c r="HAZ13" s="4136"/>
      <c r="HBA13" s="4136"/>
      <c r="HBB13" s="4136"/>
      <c r="HBC13" s="4136"/>
      <c r="HBD13" s="4136"/>
      <c r="HBE13" s="4136"/>
      <c r="HBF13" s="4136"/>
      <c r="HBG13" s="4136"/>
      <c r="HBH13" s="4136"/>
      <c r="HBI13" s="4136"/>
      <c r="HBJ13" s="4136"/>
      <c r="HBK13" s="4136"/>
      <c r="HBL13" s="4136"/>
      <c r="HBM13" s="4136"/>
      <c r="HBN13" s="4136"/>
      <c r="HBO13" s="4136"/>
      <c r="HBP13" s="4136"/>
      <c r="HBQ13" s="4136"/>
      <c r="HBR13" s="4136"/>
      <c r="HBS13" s="4136"/>
      <c r="HBT13" s="4136"/>
      <c r="HBU13" s="4136"/>
      <c r="HBV13" s="4136"/>
      <c r="HBW13" s="4136"/>
      <c r="HBX13" s="4136"/>
      <c r="HBY13" s="4136"/>
      <c r="HBZ13" s="4136"/>
      <c r="HCA13" s="4136"/>
      <c r="HCB13" s="4136"/>
      <c r="HCC13" s="4136"/>
      <c r="HCD13" s="4136"/>
      <c r="HCE13" s="4136"/>
      <c r="HCF13" s="4136"/>
      <c r="HCG13" s="4136"/>
      <c r="HCH13" s="4136"/>
      <c r="HCI13" s="4136"/>
      <c r="HCJ13" s="4136"/>
      <c r="HCK13" s="4136"/>
      <c r="HCL13" s="4136"/>
      <c r="HCM13" s="4136"/>
      <c r="HCN13" s="4136"/>
      <c r="HCO13" s="4136"/>
      <c r="HCP13" s="4136"/>
      <c r="HCQ13" s="4136"/>
      <c r="HCR13" s="4136"/>
      <c r="HCS13" s="4136"/>
      <c r="HCT13" s="4136"/>
      <c r="HCU13" s="4136"/>
      <c r="HCV13" s="4136"/>
      <c r="HCW13" s="4136"/>
      <c r="HCX13" s="4136"/>
      <c r="HCY13" s="4136"/>
      <c r="HCZ13" s="4136"/>
      <c r="HDA13" s="4136"/>
      <c r="HDB13" s="4136"/>
      <c r="HDC13" s="4136"/>
      <c r="HDD13" s="4136"/>
      <c r="HDE13" s="4136"/>
      <c r="HDF13" s="4136"/>
      <c r="HDG13" s="4136"/>
      <c r="HDH13" s="4136"/>
      <c r="HDI13" s="4136"/>
      <c r="HDJ13" s="4136"/>
      <c r="HDK13" s="4136"/>
      <c r="HDL13" s="4136"/>
      <c r="HDM13" s="4136"/>
      <c r="HDN13" s="4136"/>
      <c r="HDO13" s="4136"/>
      <c r="HDP13" s="4136"/>
      <c r="HDQ13" s="4136"/>
      <c r="HDR13" s="4136"/>
      <c r="HDS13" s="4136"/>
      <c r="HDT13" s="4136"/>
      <c r="HDU13" s="4136"/>
      <c r="HDV13" s="4136"/>
      <c r="HDW13" s="4136"/>
      <c r="HDX13" s="4136"/>
      <c r="HDY13" s="4136"/>
      <c r="HDZ13" s="4136"/>
      <c r="HEA13" s="4136"/>
      <c r="HEB13" s="4136"/>
      <c r="HEC13" s="4136"/>
      <c r="HED13" s="4136"/>
      <c r="HEE13" s="4136"/>
      <c r="HEF13" s="4136"/>
      <c r="HEG13" s="4136"/>
      <c r="HEH13" s="4136"/>
      <c r="HEI13" s="4136"/>
      <c r="HEJ13" s="4136"/>
      <c r="HEK13" s="4136"/>
      <c r="HEL13" s="4136"/>
      <c r="HEM13" s="4136"/>
      <c r="HEN13" s="4136"/>
      <c r="HEO13" s="4136"/>
      <c r="HEP13" s="4136"/>
      <c r="HEQ13" s="4136"/>
      <c r="HER13" s="4136"/>
      <c r="HES13" s="4136"/>
      <c r="HET13" s="4136"/>
      <c r="HEU13" s="4136"/>
      <c r="HEV13" s="4136"/>
      <c r="HEW13" s="4136"/>
      <c r="HEX13" s="4136"/>
      <c r="HEY13" s="4136"/>
      <c r="HEZ13" s="4136"/>
      <c r="HFA13" s="4136"/>
      <c r="HFB13" s="4136"/>
      <c r="HFC13" s="4136"/>
      <c r="HFD13" s="4136"/>
      <c r="HFE13" s="4136"/>
      <c r="HFF13" s="4136"/>
      <c r="HFG13" s="4136"/>
      <c r="HFH13" s="4136"/>
      <c r="HFI13" s="4136"/>
      <c r="HFJ13" s="4136"/>
      <c r="HFK13" s="4136"/>
      <c r="HFL13" s="4136"/>
      <c r="HFM13" s="4136"/>
      <c r="HFN13" s="4136"/>
      <c r="HFO13" s="4136"/>
      <c r="HFP13" s="4136"/>
      <c r="HFQ13" s="4136"/>
      <c r="HFR13" s="4136"/>
      <c r="HFS13" s="4136"/>
      <c r="HFT13" s="4136"/>
      <c r="HFU13" s="4136"/>
      <c r="HFV13" s="4136"/>
      <c r="HFW13" s="4136"/>
      <c r="HFX13" s="4136"/>
      <c r="HFY13" s="4136"/>
      <c r="HFZ13" s="4136"/>
      <c r="HGA13" s="4136"/>
      <c r="HGB13" s="4136"/>
      <c r="HGC13" s="4136"/>
      <c r="HGD13" s="4136"/>
      <c r="HGE13" s="4136"/>
      <c r="HGF13" s="4136"/>
      <c r="HGG13" s="4136"/>
      <c r="HGH13" s="4136"/>
      <c r="HGI13" s="4136"/>
      <c r="HGJ13" s="4136"/>
      <c r="HGK13" s="4136"/>
      <c r="HGL13" s="4136"/>
      <c r="HGM13" s="4136"/>
      <c r="HGN13" s="4136"/>
      <c r="HGO13" s="4136"/>
      <c r="HGP13" s="4136"/>
      <c r="HGQ13" s="4136"/>
      <c r="HGR13" s="4136"/>
      <c r="HGS13" s="4136"/>
      <c r="HGT13" s="4136"/>
      <c r="HGU13" s="4136"/>
      <c r="HGV13" s="4136"/>
      <c r="HGW13" s="4136"/>
      <c r="HGX13" s="4136"/>
      <c r="HGY13" s="4136"/>
      <c r="HGZ13" s="4136"/>
      <c r="HHA13" s="4136"/>
      <c r="HHB13" s="4136"/>
      <c r="HHC13" s="4136"/>
      <c r="HHD13" s="4136"/>
      <c r="HHE13" s="4136"/>
      <c r="HHF13" s="4136"/>
      <c r="HHG13" s="4136"/>
      <c r="HHH13" s="4136"/>
      <c r="HHI13" s="4136"/>
      <c r="HHJ13" s="4136"/>
      <c r="HHK13" s="4136"/>
      <c r="HHL13" s="4136"/>
      <c r="HHM13" s="4136"/>
      <c r="HHN13" s="4136"/>
      <c r="HHO13" s="4136"/>
      <c r="HHP13" s="4136"/>
      <c r="HHQ13" s="4136"/>
      <c r="HHR13" s="4136"/>
      <c r="HHS13" s="4136"/>
      <c r="HHT13" s="4136"/>
      <c r="HHU13" s="4136"/>
      <c r="HHV13" s="4136"/>
      <c r="HHW13" s="4136"/>
      <c r="HHX13" s="4136"/>
      <c r="HHY13" s="4136"/>
      <c r="HHZ13" s="4136"/>
      <c r="HIA13" s="4136"/>
      <c r="HIB13" s="4136"/>
      <c r="HIC13" s="4136"/>
      <c r="HID13" s="4136"/>
      <c r="HIE13" s="4136"/>
      <c r="HIF13" s="4136"/>
      <c r="HIG13" s="4136"/>
      <c r="HIH13" s="4136"/>
      <c r="HII13" s="4136"/>
      <c r="HIJ13" s="4136"/>
      <c r="HIK13" s="4136"/>
      <c r="HIL13" s="4136"/>
      <c r="HIM13" s="4136"/>
      <c r="HIN13" s="4136"/>
      <c r="HIO13" s="4136"/>
      <c r="HIP13" s="4136"/>
      <c r="HIQ13" s="4136"/>
      <c r="HIR13" s="4136"/>
      <c r="HIS13" s="4136"/>
      <c r="HIT13" s="4136"/>
      <c r="HIU13" s="4136"/>
      <c r="HIV13" s="4136"/>
      <c r="HIW13" s="4136"/>
      <c r="HIX13" s="4136"/>
      <c r="HIY13" s="4136"/>
      <c r="HIZ13" s="4136"/>
      <c r="HJA13" s="4136"/>
      <c r="HJB13" s="4136"/>
      <c r="HJC13" s="4136"/>
      <c r="HJD13" s="4136"/>
      <c r="HJE13" s="4136"/>
      <c r="HJF13" s="4136"/>
      <c r="HJG13" s="4136"/>
      <c r="HJH13" s="4136"/>
      <c r="HJI13" s="4136"/>
      <c r="HJJ13" s="4136"/>
      <c r="HJK13" s="4136"/>
      <c r="HJL13" s="4136"/>
      <c r="HJM13" s="4136"/>
      <c r="HJN13" s="4136"/>
      <c r="HJO13" s="4136"/>
      <c r="HJP13" s="4136"/>
      <c r="HJQ13" s="4136"/>
      <c r="HJR13" s="4136"/>
      <c r="HJS13" s="4136"/>
      <c r="HJT13" s="4136"/>
      <c r="HJU13" s="4136"/>
      <c r="HJV13" s="4136"/>
      <c r="HJW13" s="4136"/>
      <c r="HJX13" s="4136"/>
      <c r="HJY13" s="4136"/>
      <c r="HJZ13" s="4136"/>
      <c r="HKA13" s="4136"/>
      <c r="HKB13" s="4136"/>
      <c r="HKC13" s="4136"/>
      <c r="HKD13" s="4136"/>
      <c r="HKE13" s="4136"/>
      <c r="HKF13" s="4136"/>
      <c r="HKG13" s="4136"/>
      <c r="HKH13" s="4136"/>
      <c r="HKI13" s="4136"/>
      <c r="HKJ13" s="4136"/>
      <c r="HKK13" s="4136"/>
      <c r="HKL13" s="4136"/>
      <c r="HKM13" s="4136"/>
      <c r="HKN13" s="4136"/>
      <c r="HKO13" s="4136"/>
      <c r="HKP13" s="4136"/>
      <c r="HKQ13" s="4136"/>
      <c r="HKR13" s="4136"/>
      <c r="HKS13" s="4136"/>
      <c r="HKT13" s="4136"/>
      <c r="HKU13" s="4136"/>
      <c r="HKV13" s="4136"/>
      <c r="HKW13" s="4136"/>
      <c r="HKX13" s="4136"/>
      <c r="HKY13" s="4136"/>
      <c r="HKZ13" s="4136"/>
      <c r="HLA13" s="4136"/>
      <c r="HLB13" s="4136"/>
      <c r="HLC13" s="4136"/>
      <c r="HLD13" s="4136"/>
      <c r="HLE13" s="4136"/>
      <c r="HLF13" s="4136"/>
      <c r="HLG13" s="4136"/>
      <c r="HLH13" s="4136"/>
      <c r="HLI13" s="4136"/>
      <c r="HLJ13" s="4136"/>
      <c r="HLK13" s="4136"/>
      <c r="HLL13" s="4136"/>
      <c r="HLM13" s="4136"/>
      <c r="HLN13" s="4136"/>
      <c r="HLO13" s="4136"/>
      <c r="HLP13" s="4136"/>
      <c r="HLQ13" s="4136"/>
      <c r="HLR13" s="4136"/>
      <c r="HLS13" s="4136"/>
      <c r="HLT13" s="4136"/>
      <c r="HLU13" s="4136"/>
      <c r="HLV13" s="4136"/>
      <c r="HLW13" s="4136"/>
      <c r="HLX13" s="4136"/>
      <c r="HLY13" s="4136"/>
      <c r="HLZ13" s="4136"/>
      <c r="HMA13" s="4136"/>
      <c r="HMB13" s="4136"/>
      <c r="HMC13" s="4136"/>
      <c r="HMD13" s="4136"/>
      <c r="HME13" s="4136"/>
      <c r="HMF13" s="4136"/>
      <c r="HMG13" s="4136"/>
      <c r="HMH13" s="4136"/>
      <c r="HMI13" s="4136"/>
      <c r="HMJ13" s="4136"/>
      <c r="HMK13" s="4136"/>
      <c r="HML13" s="4136"/>
      <c r="HMM13" s="4136"/>
      <c r="HMN13" s="4136"/>
      <c r="HMO13" s="4136"/>
      <c r="HMP13" s="4136"/>
      <c r="HMQ13" s="4136"/>
      <c r="HMR13" s="4136"/>
      <c r="HMS13" s="4136"/>
      <c r="HMT13" s="4136"/>
      <c r="HMU13" s="4136"/>
      <c r="HMV13" s="4136"/>
      <c r="HMW13" s="4136"/>
      <c r="HMX13" s="4136"/>
      <c r="HMY13" s="4136"/>
      <c r="HMZ13" s="4136"/>
      <c r="HNA13" s="4136"/>
      <c r="HNB13" s="4136"/>
      <c r="HNC13" s="4136"/>
      <c r="HND13" s="4136"/>
      <c r="HNE13" s="4136"/>
      <c r="HNF13" s="4136"/>
      <c r="HNG13" s="4136"/>
      <c r="HNH13" s="4136"/>
      <c r="HNI13" s="4136"/>
      <c r="HNJ13" s="4136"/>
      <c r="HNK13" s="4136"/>
      <c r="HNL13" s="4136"/>
      <c r="HNM13" s="4136"/>
      <c r="HNN13" s="4136"/>
      <c r="HNO13" s="4136"/>
      <c r="HNP13" s="4136"/>
      <c r="HNQ13" s="4136"/>
      <c r="HNR13" s="4136"/>
      <c r="HNS13" s="4136"/>
      <c r="HNT13" s="4136"/>
      <c r="HNU13" s="4136"/>
      <c r="HNV13" s="4136"/>
      <c r="HNW13" s="4136"/>
      <c r="HNX13" s="4136"/>
      <c r="HNY13" s="4136"/>
      <c r="HNZ13" s="4136"/>
      <c r="HOA13" s="4136"/>
      <c r="HOB13" s="4136"/>
      <c r="HOC13" s="4136"/>
      <c r="HOD13" s="4136"/>
      <c r="HOE13" s="4136"/>
      <c r="HOF13" s="4136"/>
      <c r="HOG13" s="4136"/>
      <c r="HOH13" s="4136"/>
      <c r="HOI13" s="4136"/>
      <c r="HOJ13" s="4136"/>
      <c r="HOK13" s="4136"/>
      <c r="HOL13" s="4136"/>
      <c r="HOM13" s="4136"/>
      <c r="HON13" s="4136"/>
      <c r="HOO13" s="4136"/>
      <c r="HOP13" s="4136"/>
      <c r="HOQ13" s="4136"/>
      <c r="HOR13" s="4136"/>
      <c r="HOS13" s="4136"/>
      <c r="HOT13" s="4136"/>
      <c r="HOU13" s="4136"/>
      <c r="HOV13" s="4136"/>
      <c r="HOW13" s="4136"/>
      <c r="HOX13" s="4136"/>
      <c r="HOY13" s="4136"/>
      <c r="HOZ13" s="4136"/>
      <c r="HPA13" s="4136"/>
      <c r="HPB13" s="4136"/>
      <c r="HPC13" s="4136"/>
      <c r="HPD13" s="4136"/>
      <c r="HPE13" s="4136"/>
      <c r="HPF13" s="4136"/>
      <c r="HPG13" s="4136"/>
      <c r="HPH13" s="4136"/>
      <c r="HPI13" s="4136"/>
      <c r="HPJ13" s="4136"/>
      <c r="HPK13" s="4136"/>
      <c r="HPL13" s="4136"/>
      <c r="HPM13" s="4136"/>
      <c r="HPN13" s="4136"/>
      <c r="HPO13" s="4136"/>
      <c r="HPP13" s="4136"/>
      <c r="HPQ13" s="4136"/>
      <c r="HPR13" s="4136"/>
      <c r="HPS13" s="4136"/>
      <c r="HPT13" s="4136"/>
      <c r="HPU13" s="4136"/>
      <c r="HPV13" s="4136"/>
      <c r="HPW13" s="4136"/>
      <c r="HPX13" s="4136"/>
      <c r="HPY13" s="4136"/>
      <c r="HPZ13" s="4136"/>
      <c r="HQA13" s="4136"/>
      <c r="HQB13" s="4136"/>
      <c r="HQC13" s="4136"/>
      <c r="HQD13" s="4136"/>
      <c r="HQE13" s="4136"/>
      <c r="HQF13" s="4136"/>
      <c r="HQG13" s="4136"/>
      <c r="HQH13" s="4136"/>
      <c r="HQI13" s="4136"/>
      <c r="HQJ13" s="4136"/>
      <c r="HQK13" s="4136"/>
      <c r="HQL13" s="4136"/>
      <c r="HQM13" s="4136"/>
      <c r="HQN13" s="4136"/>
      <c r="HQO13" s="4136"/>
      <c r="HQP13" s="4136"/>
      <c r="HQQ13" s="4136"/>
      <c r="HQR13" s="4136"/>
      <c r="HQS13" s="4136"/>
      <c r="HQT13" s="4136"/>
      <c r="HQU13" s="4136"/>
      <c r="HQV13" s="4136"/>
      <c r="HQW13" s="4136"/>
      <c r="HQX13" s="4136"/>
      <c r="HQY13" s="4136"/>
      <c r="HQZ13" s="4136"/>
      <c r="HRA13" s="4136"/>
      <c r="HRB13" s="4136"/>
      <c r="HRC13" s="4136"/>
      <c r="HRD13" s="4136"/>
      <c r="HRE13" s="4136"/>
      <c r="HRF13" s="4136"/>
      <c r="HRG13" s="4136"/>
      <c r="HRH13" s="4136"/>
      <c r="HRI13" s="4136"/>
      <c r="HRJ13" s="4136"/>
      <c r="HRK13" s="4136"/>
      <c r="HRL13" s="4136"/>
      <c r="HRM13" s="4136"/>
      <c r="HRN13" s="4136"/>
      <c r="HRO13" s="4136"/>
      <c r="HRP13" s="4136"/>
      <c r="HRQ13" s="4136"/>
      <c r="HRR13" s="4136"/>
      <c r="HRS13" s="4136"/>
      <c r="HRT13" s="4136"/>
      <c r="HRU13" s="4136"/>
      <c r="HRV13" s="4136"/>
      <c r="HRW13" s="4136"/>
      <c r="HRX13" s="4136"/>
      <c r="HRY13" s="4136"/>
      <c r="HRZ13" s="4136"/>
      <c r="HSA13" s="4136"/>
      <c r="HSB13" s="4136"/>
      <c r="HSC13" s="4136"/>
      <c r="HSD13" s="4136"/>
      <c r="HSE13" s="4136"/>
      <c r="HSF13" s="4136"/>
      <c r="HSG13" s="4136"/>
      <c r="HSH13" s="4136"/>
      <c r="HSI13" s="4136"/>
      <c r="HSJ13" s="4136"/>
      <c r="HSK13" s="4136"/>
      <c r="HSL13" s="4136"/>
      <c r="HSM13" s="4136"/>
      <c r="HSN13" s="4136"/>
      <c r="HSO13" s="4136"/>
      <c r="HSP13" s="4136"/>
      <c r="HSQ13" s="4136"/>
      <c r="HSR13" s="4136"/>
      <c r="HSS13" s="4136"/>
      <c r="HST13" s="4136"/>
      <c r="HSU13" s="4136"/>
      <c r="HSV13" s="4136"/>
      <c r="HSW13" s="4136"/>
      <c r="HSX13" s="4136"/>
      <c r="HSY13" s="4136"/>
      <c r="HSZ13" s="4136"/>
      <c r="HTA13" s="4136"/>
      <c r="HTB13" s="4136"/>
      <c r="HTC13" s="4136"/>
      <c r="HTD13" s="4136"/>
      <c r="HTE13" s="4136"/>
      <c r="HTF13" s="4136"/>
      <c r="HTG13" s="4136"/>
      <c r="HTH13" s="4136"/>
      <c r="HTI13" s="4136"/>
      <c r="HTJ13" s="4136"/>
      <c r="HTK13" s="4136"/>
      <c r="HTL13" s="4136"/>
      <c r="HTM13" s="4136"/>
      <c r="HTN13" s="4136"/>
      <c r="HTO13" s="4136"/>
      <c r="HTP13" s="4136"/>
      <c r="HTQ13" s="4136"/>
      <c r="HTR13" s="4136"/>
      <c r="HTS13" s="4136"/>
      <c r="HTT13" s="4136"/>
      <c r="HTU13" s="4136"/>
      <c r="HTV13" s="4136"/>
      <c r="HTW13" s="4136"/>
      <c r="HTX13" s="4136"/>
      <c r="HTY13" s="4136"/>
      <c r="HTZ13" s="4136"/>
      <c r="HUA13" s="4136"/>
      <c r="HUB13" s="4136"/>
      <c r="HUC13" s="4136"/>
      <c r="HUD13" s="4136"/>
      <c r="HUE13" s="4136"/>
      <c r="HUF13" s="4136"/>
      <c r="HUG13" s="4136"/>
      <c r="HUH13" s="4136"/>
      <c r="HUI13" s="4136"/>
      <c r="HUJ13" s="4136"/>
      <c r="HUK13" s="4136"/>
      <c r="HUL13" s="4136"/>
      <c r="HUM13" s="4136"/>
      <c r="HUN13" s="4136"/>
      <c r="HUO13" s="4136"/>
      <c r="HUP13" s="4136"/>
      <c r="HUQ13" s="4136"/>
      <c r="HUR13" s="4136"/>
      <c r="HUS13" s="4136"/>
      <c r="HUT13" s="4136"/>
      <c r="HUU13" s="4136"/>
      <c r="HUV13" s="4136"/>
      <c r="HUW13" s="4136"/>
      <c r="HUX13" s="4136"/>
      <c r="HUY13" s="4136"/>
      <c r="HUZ13" s="4136"/>
      <c r="HVA13" s="4136"/>
      <c r="HVB13" s="4136"/>
      <c r="HVC13" s="4136"/>
      <c r="HVD13" s="4136"/>
      <c r="HVE13" s="4136"/>
      <c r="HVF13" s="4136"/>
      <c r="HVG13" s="4136"/>
      <c r="HVH13" s="4136"/>
      <c r="HVI13" s="4136"/>
      <c r="HVJ13" s="4136"/>
      <c r="HVK13" s="4136"/>
      <c r="HVL13" s="4136"/>
      <c r="HVM13" s="4136"/>
      <c r="HVN13" s="4136"/>
      <c r="HVO13" s="4136"/>
      <c r="HVP13" s="4136"/>
      <c r="HVQ13" s="4136"/>
      <c r="HVR13" s="4136"/>
      <c r="HVS13" s="4136"/>
      <c r="HVT13" s="4136"/>
      <c r="HVU13" s="4136"/>
      <c r="HVV13" s="4136"/>
      <c r="HVW13" s="4136"/>
      <c r="HVX13" s="4136"/>
      <c r="HVY13" s="4136"/>
      <c r="HVZ13" s="4136"/>
      <c r="HWA13" s="4136"/>
      <c r="HWB13" s="4136"/>
      <c r="HWC13" s="4136"/>
      <c r="HWD13" s="4136"/>
      <c r="HWE13" s="4136"/>
      <c r="HWF13" s="4136"/>
      <c r="HWG13" s="4136"/>
      <c r="HWH13" s="4136"/>
      <c r="HWI13" s="4136"/>
      <c r="HWJ13" s="4136"/>
      <c r="HWK13" s="4136"/>
      <c r="HWL13" s="4136"/>
      <c r="HWM13" s="4136"/>
      <c r="HWN13" s="4136"/>
      <c r="HWO13" s="4136"/>
      <c r="HWP13" s="4136"/>
      <c r="HWQ13" s="4136"/>
      <c r="HWR13" s="4136"/>
      <c r="HWS13" s="4136"/>
      <c r="HWT13" s="4136"/>
      <c r="HWU13" s="4136"/>
      <c r="HWV13" s="4136"/>
      <c r="HWW13" s="4136"/>
      <c r="HWX13" s="4136"/>
      <c r="HWY13" s="4136"/>
      <c r="HWZ13" s="4136"/>
      <c r="HXA13" s="4136"/>
      <c r="HXB13" s="4136"/>
      <c r="HXC13" s="4136"/>
      <c r="HXD13" s="4136"/>
      <c r="HXE13" s="4136"/>
      <c r="HXF13" s="4136"/>
      <c r="HXG13" s="4136"/>
      <c r="HXH13" s="4136"/>
      <c r="HXI13" s="4136"/>
      <c r="HXJ13" s="4136"/>
      <c r="HXK13" s="4136"/>
      <c r="HXL13" s="4136"/>
      <c r="HXM13" s="4136"/>
      <c r="HXN13" s="4136"/>
      <c r="HXO13" s="4136"/>
      <c r="HXP13" s="4136"/>
      <c r="HXQ13" s="4136"/>
      <c r="HXR13" s="4136"/>
      <c r="HXS13" s="4136"/>
      <c r="HXT13" s="4136"/>
      <c r="HXU13" s="4136"/>
      <c r="HXV13" s="4136"/>
      <c r="HXW13" s="4136"/>
      <c r="HXX13" s="4136"/>
      <c r="HXY13" s="4136"/>
      <c r="HXZ13" s="4136"/>
      <c r="HYA13" s="4136"/>
      <c r="HYB13" s="4136"/>
      <c r="HYC13" s="4136"/>
      <c r="HYD13" s="4136"/>
      <c r="HYE13" s="4136"/>
      <c r="HYF13" s="4136"/>
      <c r="HYG13" s="4136"/>
      <c r="HYH13" s="4136"/>
      <c r="HYI13" s="4136"/>
      <c r="HYJ13" s="4136"/>
      <c r="HYK13" s="4136"/>
      <c r="HYL13" s="4136"/>
      <c r="HYM13" s="4136"/>
      <c r="HYN13" s="4136"/>
      <c r="HYO13" s="4136"/>
      <c r="HYP13" s="4136"/>
      <c r="HYQ13" s="4136"/>
      <c r="HYR13" s="4136"/>
      <c r="HYS13" s="4136"/>
      <c r="HYT13" s="4136"/>
      <c r="HYU13" s="4136"/>
      <c r="HYV13" s="4136"/>
      <c r="HYW13" s="4136"/>
      <c r="HYX13" s="4136"/>
      <c r="HYY13" s="4136"/>
      <c r="HYZ13" s="4136"/>
      <c r="HZA13" s="4136"/>
      <c r="HZB13" s="4136"/>
      <c r="HZC13" s="4136"/>
      <c r="HZD13" s="4136"/>
      <c r="HZE13" s="4136"/>
      <c r="HZF13" s="4136"/>
      <c r="HZG13" s="4136"/>
      <c r="HZH13" s="4136"/>
      <c r="HZI13" s="4136"/>
      <c r="HZJ13" s="4136"/>
      <c r="HZK13" s="4136"/>
      <c r="HZL13" s="4136"/>
      <c r="HZM13" s="4136"/>
      <c r="HZN13" s="4136"/>
      <c r="HZO13" s="4136"/>
      <c r="HZP13" s="4136"/>
      <c r="HZQ13" s="4136"/>
      <c r="HZR13" s="4136"/>
      <c r="HZS13" s="4136"/>
      <c r="HZT13" s="4136"/>
      <c r="HZU13" s="4136"/>
      <c r="HZV13" s="4136"/>
      <c r="HZW13" s="4136"/>
      <c r="HZX13" s="4136"/>
      <c r="HZY13" s="4136"/>
      <c r="HZZ13" s="4136"/>
      <c r="IAA13" s="4136"/>
      <c r="IAB13" s="4136"/>
      <c r="IAC13" s="4136"/>
      <c r="IAD13" s="4136"/>
      <c r="IAE13" s="4136"/>
      <c r="IAF13" s="4136"/>
      <c r="IAG13" s="4136"/>
      <c r="IAH13" s="4136"/>
      <c r="IAI13" s="4136"/>
      <c r="IAJ13" s="4136"/>
      <c r="IAK13" s="4136"/>
      <c r="IAL13" s="4136"/>
      <c r="IAM13" s="4136"/>
      <c r="IAN13" s="4136"/>
      <c r="IAO13" s="4136"/>
      <c r="IAP13" s="4136"/>
      <c r="IAQ13" s="4136"/>
      <c r="IAR13" s="4136"/>
      <c r="IAS13" s="4136"/>
      <c r="IAT13" s="4136"/>
      <c r="IAU13" s="4136"/>
      <c r="IAV13" s="4136"/>
      <c r="IAW13" s="4136"/>
      <c r="IAX13" s="4136"/>
      <c r="IAY13" s="4136"/>
      <c r="IAZ13" s="4136"/>
      <c r="IBA13" s="4136"/>
      <c r="IBB13" s="4136"/>
      <c r="IBC13" s="4136"/>
      <c r="IBD13" s="4136"/>
      <c r="IBE13" s="4136"/>
      <c r="IBF13" s="4136"/>
      <c r="IBG13" s="4136"/>
      <c r="IBH13" s="4136"/>
      <c r="IBI13" s="4136"/>
      <c r="IBJ13" s="4136"/>
      <c r="IBK13" s="4136"/>
      <c r="IBL13" s="4136"/>
      <c r="IBM13" s="4136"/>
      <c r="IBN13" s="4136"/>
      <c r="IBO13" s="4136"/>
      <c r="IBP13" s="4136"/>
      <c r="IBQ13" s="4136"/>
      <c r="IBR13" s="4136"/>
      <c r="IBS13" s="4136"/>
      <c r="IBT13" s="4136"/>
      <c r="IBU13" s="4136"/>
      <c r="IBV13" s="4136"/>
      <c r="IBW13" s="4136"/>
      <c r="IBX13" s="4136"/>
      <c r="IBY13" s="4136"/>
      <c r="IBZ13" s="4136"/>
      <c r="ICA13" s="4136"/>
      <c r="ICB13" s="4136"/>
      <c r="ICC13" s="4136"/>
      <c r="ICD13" s="4136"/>
      <c r="ICE13" s="4136"/>
      <c r="ICF13" s="4136"/>
      <c r="ICG13" s="4136"/>
      <c r="ICH13" s="4136"/>
      <c r="ICI13" s="4136"/>
      <c r="ICJ13" s="4136"/>
      <c r="ICK13" s="4136"/>
      <c r="ICL13" s="4136"/>
      <c r="ICM13" s="4136"/>
      <c r="ICN13" s="4136"/>
      <c r="ICO13" s="4136"/>
      <c r="ICP13" s="4136"/>
      <c r="ICQ13" s="4136"/>
      <c r="ICR13" s="4136"/>
      <c r="ICS13" s="4136"/>
      <c r="ICT13" s="4136"/>
      <c r="ICU13" s="4136"/>
      <c r="ICV13" s="4136"/>
      <c r="ICW13" s="4136"/>
      <c r="ICX13" s="4136"/>
      <c r="ICY13" s="4136"/>
      <c r="ICZ13" s="4136"/>
      <c r="IDA13" s="4136"/>
      <c r="IDB13" s="4136"/>
      <c r="IDC13" s="4136"/>
      <c r="IDD13" s="4136"/>
      <c r="IDE13" s="4136"/>
      <c r="IDF13" s="4136"/>
      <c r="IDG13" s="4136"/>
      <c r="IDH13" s="4136"/>
      <c r="IDI13" s="4136"/>
      <c r="IDJ13" s="4136"/>
      <c r="IDK13" s="4136"/>
      <c r="IDL13" s="4136"/>
      <c r="IDM13" s="4136"/>
      <c r="IDN13" s="4136"/>
      <c r="IDO13" s="4136"/>
      <c r="IDP13" s="4136"/>
      <c r="IDQ13" s="4136"/>
      <c r="IDR13" s="4136"/>
      <c r="IDS13" s="4136"/>
      <c r="IDT13" s="4136"/>
      <c r="IDU13" s="4136"/>
      <c r="IDV13" s="4136"/>
      <c r="IDW13" s="4136"/>
      <c r="IDX13" s="4136"/>
      <c r="IDY13" s="4136"/>
      <c r="IDZ13" s="4136"/>
      <c r="IEA13" s="4136"/>
      <c r="IEB13" s="4136"/>
      <c r="IEC13" s="4136"/>
      <c r="IED13" s="4136"/>
      <c r="IEE13" s="4136"/>
      <c r="IEF13" s="4136"/>
      <c r="IEG13" s="4136"/>
      <c r="IEH13" s="4136"/>
      <c r="IEI13" s="4136"/>
      <c r="IEJ13" s="4136"/>
      <c r="IEK13" s="4136"/>
      <c r="IEL13" s="4136"/>
      <c r="IEM13" s="4136"/>
      <c r="IEN13" s="4136"/>
      <c r="IEO13" s="4136"/>
      <c r="IEP13" s="4136"/>
      <c r="IEQ13" s="4136"/>
      <c r="IER13" s="4136"/>
      <c r="IES13" s="4136"/>
      <c r="IET13" s="4136"/>
      <c r="IEU13" s="4136"/>
      <c r="IEV13" s="4136"/>
      <c r="IEW13" s="4136"/>
      <c r="IEX13" s="4136"/>
      <c r="IEY13" s="4136"/>
      <c r="IEZ13" s="4136"/>
      <c r="IFA13" s="4136"/>
      <c r="IFB13" s="4136"/>
      <c r="IFC13" s="4136"/>
      <c r="IFD13" s="4136"/>
      <c r="IFE13" s="4136"/>
      <c r="IFF13" s="4136"/>
      <c r="IFG13" s="4136"/>
      <c r="IFH13" s="4136"/>
      <c r="IFI13" s="4136"/>
      <c r="IFJ13" s="4136"/>
      <c r="IFK13" s="4136"/>
      <c r="IFL13" s="4136"/>
      <c r="IFM13" s="4136"/>
      <c r="IFN13" s="4136"/>
      <c r="IFO13" s="4136"/>
      <c r="IFP13" s="4136"/>
      <c r="IFQ13" s="4136"/>
      <c r="IFR13" s="4136"/>
      <c r="IFS13" s="4136"/>
      <c r="IFT13" s="4136"/>
      <c r="IFU13" s="4136"/>
      <c r="IFV13" s="4136"/>
      <c r="IFW13" s="4136"/>
      <c r="IFX13" s="4136"/>
      <c r="IFY13" s="4136"/>
      <c r="IFZ13" s="4136"/>
      <c r="IGA13" s="4136"/>
      <c r="IGB13" s="4136"/>
      <c r="IGC13" s="4136"/>
      <c r="IGD13" s="4136"/>
      <c r="IGE13" s="4136"/>
      <c r="IGF13" s="4136"/>
      <c r="IGG13" s="4136"/>
      <c r="IGH13" s="4136"/>
      <c r="IGI13" s="4136"/>
      <c r="IGJ13" s="4136"/>
      <c r="IGK13" s="4136"/>
      <c r="IGL13" s="4136"/>
      <c r="IGM13" s="4136"/>
      <c r="IGN13" s="4136"/>
      <c r="IGO13" s="4136"/>
      <c r="IGP13" s="4136"/>
      <c r="IGQ13" s="4136"/>
      <c r="IGR13" s="4136"/>
      <c r="IGS13" s="4136"/>
      <c r="IGT13" s="4136"/>
      <c r="IGU13" s="4136"/>
      <c r="IGV13" s="4136"/>
      <c r="IGW13" s="4136"/>
      <c r="IGX13" s="4136"/>
      <c r="IGY13" s="4136"/>
      <c r="IGZ13" s="4136"/>
      <c r="IHA13" s="4136"/>
      <c r="IHB13" s="4136"/>
      <c r="IHC13" s="4136"/>
      <c r="IHD13" s="4136"/>
      <c r="IHE13" s="4136"/>
      <c r="IHF13" s="4136"/>
      <c r="IHG13" s="4136"/>
      <c r="IHH13" s="4136"/>
      <c r="IHI13" s="4136"/>
      <c r="IHJ13" s="4136"/>
      <c r="IHK13" s="4136"/>
      <c r="IHL13" s="4136"/>
      <c r="IHM13" s="4136"/>
      <c r="IHN13" s="4136"/>
      <c r="IHO13" s="4136"/>
      <c r="IHP13" s="4136"/>
      <c r="IHQ13" s="4136"/>
      <c r="IHR13" s="4136"/>
      <c r="IHS13" s="4136"/>
      <c r="IHT13" s="4136"/>
      <c r="IHU13" s="4136"/>
      <c r="IHV13" s="4136"/>
      <c r="IHW13" s="4136"/>
      <c r="IHX13" s="4136"/>
      <c r="IHY13" s="4136"/>
      <c r="IHZ13" s="4136"/>
      <c r="IIA13" s="4136"/>
      <c r="IIB13" s="4136"/>
      <c r="IIC13" s="4136"/>
      <c r="IID13" s="4136"/>
      <c r="IIE13" s="4136"/>
      <c r="IIF13" s="4136"/>
      <c r="IIG13" s="4136"/>
      <c r="IIH13" s="4136"/>
      <c r="III13" s="4136"/>
      <c r="IIJ13" s="4136"/>
      <c r="IIK13" s="4136"/>
      <c r="IIL13" s="4136"/>
      <c r="IIM13" s="4136"/>
      <c r="IIN13" s="4136"/>
      <c r="IIO13" s="4136"/>
      <c r="IIP13" s="4136"/>
      <c r="IIQ13" s="4136"/>
      <c r="IIR13" s="4136"/>
      <c r="IIS13" s="4136"/>
      <c r="IIT13" s="4136"/>
      <c r="IIU13" s="4136"/>
      <c r="IIV13" s="4136"/>
      <c r="IIW13" s="4136"/>
      <c r="IIX13" s="4136"/>
      <c r="IIY13" s="4136"/>
      <c r="IIZ13" s="4136"/>
      <c r="IJA13" s="4136"/>
      <c r="IJB13" s="4136"/>
      <c r="IJC13" s="4136"/>
      <c r="IJD13" s="4136"/>
      <c r="IJE13" s="4136"/>
      <c r="IJF13" s="4136"/>
      <c r="IJG13" s="4136"/>
      <c r="IJH13" s="4136"/>
      <c r="IJI13" s="4136"/>
      <c r="IJJ13" s="4136"/>
      <c r="IJK13" s="4136"/>
      <c r="IJL13" s="4136"/>
      <c r="IJM13" s="4136"/>
      <c r="IJN13" s="4136"/>
      <c r="IJO13" s="4136"/>
      <c r="IJP13" s="4136"/>
      <c r="IJQ13" s="4136"/>
      <c r="IJR13" s="4136"/>
      <c r="IJS13" s="4136"/>
      <c r="IJT13" s="4136"/>
      <c r="IJU13" s="4136"/>
      <c r="IJV13" s="4136"/>
      <c r="IJW13" s="4136"/>
      <c r="IJX13" s="4136"/>
      <c r="IJY13" s="4136"/>
      <c r="IJZ13" s="4136"/>
      <c r="IKA13" s="4136"/>
      <c r="IKB13" s="4136"/>
      <c r="IKC13" s="4136"/>
      <c r="IKD13" s="4136"/>
      <c r="IKE13" s="4136"/>
      <c r="IKF13" s="4136"/>
      <c r="IKG13" s="4136"/>
      <c r="IKH13" s="4136"/>
      <c r="IKI13" s="4136"/>
      <c r="IKJ13" s="4136"/>
      <c r="IKK13" s="4136"/>
      <c r="IKL13" s="4136"/>
      <c r="IKM13" s="4136"/>
      <c r="IKN13" s="4136"/>
      <c r="IKO13" s="4136"/>
      <c r="IKP13" s="4136"/>
      <c r="IKQ13" s="4136"/>
      <c r="IKR13" s="4136"/>
      <c r="IKS13" s="4136"/>
      <c r="IKT13" s="4136"/>
      <c r="IKU13" s="4136"/>
      <c r="IKV13" s="4136"/>
      <c r="IKW13" s="4136"/>
      <c r="IKX13" s="4136"/>
      <c r="IKY13" s="4136"/>
      <c r="IKZ13" s="4136"/>
      <c r="ILA13" s="4136"/>
      <c r="ILB13" s="4136"/>
      <c r="ILC13" s="4136"/>
      <c r="ILD13" s="4136"/>
      <c r="ILE13" s="4136"/>
      <c r="ILF13" s="4136"/>
      <c r="ILG13" s="4136"/>
      <c r="ILH13" s="4136"/>
      <c r="ILI13" s="4136"/>
      <c r="ILJ13" s="4136"/>
      <c r="ILK13" s="4136"/>
      <c r="ILL13" s="4136"/>
      <c r="ILM13" s="4136"/>
      <c r="ILN13" s="4136"/>
      <c r="ILO13" s="4136"/>
      <c r="ILP13" s="4136"/>
      <c r="ILQ13" s="4136"/>
      <c r="ILR13" s="4136"/>
      <c r="ILS13" s="4136"/>
      <c r="ILT13" s="4136"/>
      <c r="ILU13" s="4136"/>
      <c r="ILV13" s="4136"/>
      <c r="ILW13" s="4136"/>
      <c r="ILX13" s="4136"/>
      <c r="ILY13" s="4136"/>
      <c r="ILZ13" s="4136"/>
      <c r="IMA13" s="4136"/>
      <c r="IMB13" s="4136"/>
      <c r="IMC13" s="4136"/>
      <c r="IMD13" s="4136"/>
      <c r="IME13" s="4136"/>
      <c r="IMF13" s="4136"/>
      <c r="IMG13" s="4136"/>
      <c r="IMH13" s="4136"/>
      <c r="IMI13" s="4136"/>
      <c r="IMJ13" s="4136"/>
      <c r="IMK13" s="4136"/>
      <c r="IML13" s="4136"/>
      <c r="IMM13" s="4136"/>
      <c r="IMN13" s="4136"/>
      <c r="IMO13" s="4136"/>
      <c r="IMP13" s="4136"/>
      <c r="IMQ13" s="4136"/>
      <c r="IMR13" s="4136"/>
      <c r="IMS13" s="4136"/>
      <c r="IMT13" s="4136"/>
      <c r="IMU13" s="4136"/>
      <c r="IMV13" s="4136"/>
      <c r="IMW13" s="4136"/>
      <c r="IMX13" s="4136"/>
      <c r="IMY13" s="4136"/>
      <c r="IMZ13" s="4136"/>
      <c r="INA13" s="4136"/>
      <c r="INB13" s="4136"/>
      <c r="INC13" s="4136"/>
      <c r="IND13" s="4136"/>
      <c r="INE13" s="4136"/>
      <c r="INF13" s="4136"/>
      <c r="ING13" s="4136"/>
      <c r="INH13" s="4136"/>
      <c r="INI13" s="4136"/>
      <c r="INJ13" s="4136"/>
      <c r="INK13" s="4136"/>
      <c r="INL13" s="4136"/>
      <c r="INM13" s="4136"/>
      <c r="INN13" s="4136"/>
      <c r="INO13" s="4136"/>
      <c r="INP13" s="4136"/>
      <c r="INQ13" s="4136"/>
      <c r="INR13" s="4136"/>
      <c r="INS13" s="4136"/>
      <c r="INT13" s="4136"/>
      <c r="INU13" s="4136"/>
      <c r="INV13" s="4136"/>
      <c r="INW13" s="4136"/>
      <c r="INX13" s="4136"/>
      <c r="INY13" s="4136"/>
      <c r="INZ13" s="4136"/>
      <c r="IOA13" s="4136"/>
      <c r="IOB13" s="4136"/>
      <c r="IOC13" s="4136"/>
      <c r="IOD13" s="4136"/>
      <c r="IOE13" s="4136"/>
      <c r="IOF13" s="4136"/>
      <c r="IOG13" s="4136"/>
      <c r="IOH13" s="4136"/>
      <c r="IOI13" s="4136"/>
      <c r="IOJ13" s="4136"/>
      <c r="IOK13" s="4136"/>
      <c r="IOL13" s="4136"/>
      <c r="IOM13" s="4136"/>
      <c r="ION13" s="4136"/>
      <c r="IOO13" s="4136"/>
      <c r="IOP13" s="4136"/>
      <c r="IOQ13" s="4136"/>
      <c r="IOR13" s="4136"/>
      <c r="IOS13" s="4136"/>
      <c r="IOT13" s="4136"/>
      <c r="IOU13" s="4136"/>
      <c r="IOV13" s="4136"/>
      <c r="IOW13" s="4136"/>
      <c r="IOX13" s="4136"/>
      <c r="IOY13" s="4136"/>
      <c r="IOZ13" s="4136"/>
      <c r="IPA13" s="4136"/>
      <c r="IPB13" s="4136"/>
      <c r="IPC13" s="4136"/>
      <c r="IPD13" s="4136"/>
      <c r="IPE13" s="4136"/>
      <c r="IPF13" s="4136"/>
      <c r="IPG13" s="4136"/>
      <c r="IPH13" s="4136"/>
      <c r="IPI13" s="4136"/>
      <c r="IPJ13" s="4136"/>
      <c r="IPK13" s="4136"/>
      <c r="IPL13" s="4136"/>
      <c r="IPM13" s="4136"/>
      <c r="IPN13" s="4136"/>
      <c r="IPO13" s="4136"/>
      <c r="IPP13" s="4136"/>
      <c r="IPQ13" s="4136"/>
      <c r="IPR13" s="4136"/>
      <c r="IPS13" s="4136"/>
      <c r="IPT13" s="4136"/>
      <c r="IPU13" s="4136"/>
      <c r="IPV13" s="4136"/>
      <c r="IPW13" s="4136"/>
      <c r="IPX13" s="4136"/>
      <c r="IPY13" s="4136"/>
      <c r="IPZ13" s="4136"/>
      <c r="IQA13" s="4136"/>
      <c r="IQB13" s="4136"/>
      <c r="IQC13" s="4136"/>
      <c r="IQD13" s="4136"/>
      <c r="IQE13" s="4136"/>
      <c r="IQF13" s="4136"/>
      <c r="IQG13" s="4136"/>
      <c r="IQH13" s="4136"/>
      <c r="IQI13" s="4136"/>
      <c r="IQJ13" s="4136"/>
      <c r="IQK13" s="4136"/>
      <c r="IQL13" s="4136"/>
      <c r="IQM13" s="4136"/>
      <c r="IQN13" s="4136"/>
      <c r="IQO13" s="4136"/>
      <c r="IQP13" s="4136"/>
      <c r="IQQ13" s="4136"/>
      <c r="IQR13" s="4136"/>
      <c r="IQS13" s="4136"/>
      <c r="IQT13" s="4136"/>
      <c r="IQU13" s="4136"/>
      <c r="IQV13" s="4136"/>
      <c r="IQW13" s="4136"/>
      <c r="IQX13" s="4136"/>
      <c r="IQY13" s="4136"/>
      <c r="IQZ13" s="4136"/>
      <c r="IRA13" s="4136"/>
      <c r="IRB13" s="4136"/>
      <c r="IRC13" s="4136"/>
      <c r="IRD13" s="4136"/>
      <c r="IRE13" s="4136"/>
      <c r="IRF13" s="4136"/>
      <c r="IRG13" s="4136"/>
      <c r="IRH13" s="4136"/>
      <c r="IRI13" s="4136"/>
      <c r="IRJ13" s="4136"/>
      <c r="IRK13" s="4136"/>
      <c r="IRL13" s="4136"/>
      <c r="IRM13" s="4136"/>
      <c r="IRN13" s="4136"/>
      <c r="IRO13" s="4136"/>
      <c r="IRP13" s="4136"/>
      <c r="IRQ13" s="4136"/>
      <c r="IRR13" s="4136"/>
      <c r="IRS13" s="4136"/>
      <c r="IRT13" s="4136"/>
      <c r="IRU13" s="4136"/>
      <c r="IRV13" s="4136"/>
      <c r="IRW13" s="4136"/>
      <c r="IRX13" s="4136"/>
      <c r="IRY13" s="4136"/>
      <c r="IRZ13" s="4136"/>
      <c r="ISA13" s="4136"/>
      <c r="ISB13" s="4136"/>
      <c r="ISC13" s="4136"/>
      <c r="ISD13" s="4136"/>
      <c r="ISE13" s="4136"/>
      <c r="ISF13" s="4136"/>
      <c r="ISG13" s="4136"/>
      <c r="ISH13" s="4136"/>
      <c r="ISI13" s="4136"/>
      <c r="ISJ13" s="4136"/>
      <c r="ISK13" s="4136"/>
      <c r="ISL13" s="4136"/>
      <c r="ISM13" s="4136"/>
      <c r="ISN13" s="4136"/>
      <c r="ISO13" s="4136"/>
      <c r="ISP13" s="4136"/>
      <c r="ISQ13" s="4136"/>
      <c r="ISR13" s="4136"/>
      <c r="ISS13" s="4136"/>
      <c r="IST13" s="4136"/>
      <c r="ISU13" s="4136"/>
      <c r="ISV13" s="4136"/>
      <c r="ISW13" s="4136"/>
      <c r="ISX13" s="4136"/>
      <c r="ISY13" s="4136"/>
      <c r="ISZ13" s="4136"/>
      <c r="ITA13" s="4136"/>
      <c r="ITB13" s="4136"/>
      <c r="ITC13" s="4136"/>
      <c r="ITD13" s="4136"/>
      <c r="ITE13" s="4136"/>
      <c r="ITF13" s="4136"/>
      <c r="ITG13" s="4136"/>
      <c r="ITH13" s="4136"/>
      <c r="ITI13" s="4136"/>
      <c r="ITJ13" s="4136"/>
      <c r="ITK13" s="4136"/>
      <c r="ITL13" s="4136"/>
      <c r="ITM13" s="4136"/>
      <c r="ITN13" s="4136"/>
      <c r="ITO13" s="4136"/>
      <c r="ITP13" s="4136"/>
      <c r="ITQ13" s="4136"/>
      <c r="ITR13" s="4136"/>
      <c r="ITS13" s="4136"/>
      <c r="ITT13" s="4136"/>
      <c r="ITU13" s="4136"/>
      <c r="ITV13" s="4136"/>
      <c r="ITW13" s="4136"/>
      <c r="ITX13" s="4136"/>
      <c r="ITY13" s="4136"/>
      <c r="ITZ13" s="4136"/>
      <c r="IUA13" s="4136"/>
      <c r="IUB13" s="4136"/>
      <c r="IUC13" s="4136"/>
      <c r="IUD13" s="4136"/>
      <c r="IUE13" s="4136"/>
      <c r="IUF13" s="4136"/>
      <c r="IUG13" s="4136"/>
      <c r="IUH13" s="4136"/>
      <c r="IUI13" s="4136"/>
      <c r="IUJ13" s="4136"/>
      <c r="IUK13" s="4136"/>
      <c r="IUL13" s="4136"/>
      <c r="IUM13" s="4136"/>
      <c r="IUN13" s="4136"/>
      <c r="IUO13" s="4136"/>
      <c r="IUP13" s="4136"/>
      <c r="IUQ13" s="4136"/>
      <c r="IUR13" s="4136"/>
      <c r="IUS13" s="4136"/>
      <c r="IUT13" s="4136"/>
      <c r="IUU13" s="4136"/>
      <c r="IUV13" s="4136"/>
      <c r="IUW13" s="4136"/>
      <c r="IUX13" s="4136"/>
      <c r="IUY13" s="4136"/>
      <c r="IUZ13" s="4136"/>
      <c r="IVA13" s="4136"/>
      <c r="IVB13" s="4136"/>
      <c r="IVC13" s="4136"/>
      <c r="IVD13" s="4136"/>
      <c r="IVE13" s="4136"/>
      <c r="IVF13" s="4136"/>
      <c r="IVG13" s="4136"/>
      <c r="IVH13" s="4136"/>
      <c r="IVI13" s="4136"/>
      <c r="IVJ13" s="4136"/>
      <c r="IVK13" s="4136"/>
      <c r="IVL13" s="4136"/>
      <c r="IVM13" s="4136"/>
      <c r="IVN13" s="4136"/>
      <c r="IVO13" s="4136"/>
      <c r="IVP13" s="4136"/>
      <c r="IVQ13" s="4136"/>
      <c r="IVR13" s="4136"/>
      <c r="IVS13" s="4136"/>
      <c r="IVT13" s="4136"/>
      <c r="IVU13" s="4136"/>
      <c r="IVV13" s="4136"/>
      <c r="IVW13" s="4136"/>
      <c r="IVX13" s="4136"/>
      <c r="IVY13" s="4136"/>
      <c r="IVZ13" s="4136"/>
      <c r="IWA13" s="4136"/>
      <c r="IWB13" s="4136"/>
      <c r="IWC13" s="4136"/>
      <c r="IWD13" s="4136"/>
      <c r="IWE13" s="4136"/>
      <c r="IWF13" s="4136"/>
      <c r="IWG13" s="4136"/>
      <c r="IWH13" s="4136"/>
      <c r="IWI13" s="4136"/>
      <c r="IWJ13" s="4136"/>
      <c r="IWK13" s="4136"/>
      <c r="IWL13" s="4136"/>
      <c r="IWM13" s="4136"/>
      <c r="IWN13" s="4136"/>
      <c r="IWO13" s="4136"/>
      <c r="IWP13" s="4136"/>
      <c r="IWQ13" s="4136"/>
      <c r="IWR13" s="4136"/>
      <c r="IWS13" s="4136"/>
      <c r="IWT13" s="4136"/>
      <c r="IWU13" s="4136"/>
      <c r="IWV13" s="4136"/>
      <c r="IWW13" s="4136"/>
      <c r="IWX13" s="4136"/>
      <c r="IWY13" s="4136"/>
      <c r="IWZ13" s="4136"/>
      <c r="IXA13" s="4136"/>
      <c r="IXB13" s="4136"/>
      <c r="IXC13" s="4136"/>
      <c r="IXD13" s="4136"/>
      <c r="IXE13" s="4136"/>
      <c r="IXF13" s="4136"/>
      <c r="IXG13" s="4136"/>
      <c r="IXH13" s="4136"/>
      <c r="IXI13" s="4136"/>
      <c r="IXJ13" s="4136"/>
      <c r="IXK13" s="4136"/>
      <c r="IXL13" s="4136"/>
      <c r="IXM13" s="4136"/>
      <c r="IXN13" s="4136"/>
      <c r="IXO13" s="4136"/>
      <c r="IXP13" s="4136"/>
      <c r="IXQ13" s="4136"/>
      <c r="IXR13" s="4136"/>
      <c r="IXS13" s="4136"/>
      <c r="IXT13" s="4136"/>
      <c r="IXU13" s="4136"/>
      <c r="IXV13" s="4136"/>
      <c r="IXW13" s="4136"/>
      <c r="IXX13" s="4136"/>
      <c r="IXY13" s="4136"/>
      <c r="IXZ13" s="4136"/>
      <c r="IYA13" s="4136"/>
      <c r="IYB13" s="4136"/>
      <c r="IYC13" s="4136"/>
      <c r="IYD13" s="4136"/>
      <c r="IYE13" s="4136"/>
      <c r="IYF13" s="4136"/>
      <c r="IYG13" s="4136"/>
      <c r="IYH13" s="4136"/>
      <c r="IYI13" s="4136"/>
      <c r="IYJ13" s="4136"/>
      <c r="IYK13" s="4136"/>
      <c r="IYL13" s="4136"/>
      <c r="IYM13" s="4136"/>
      <c r="IYN13" s="4136"/>
      <c r="IYO13" s="4136"/>
      <c r="IYP13" s="4136"/>
      <c r="IYQ13" s="4136"/>
      <c r="IYR13" s="4136"/>
      <c r="IYS13" s="4136"/>
      <c r="IYT13" s="4136"/>
      <c r="IYU13" s="4136"/>
      <c r="IYV13" s="4136"/>
      <c r="IYW13" s="4136"/>
      <c r="IYX13" s="4136"/>
      <c r="IYY13" s="4136"/>
      <c r="IYZ13" s="4136"/>
      <c r="IZA13" s="4136"/>
      <c r="IZB13" s="4136"/>
      <c r="IZC13" s="4136"/>
      <c r="IZD13" s="4136"/>
      <c r="IZE13" s="4136"/>
      <c r="IZF13" s="4136"/>
      <c r="IZG13" s="4136"/>
      <c r="IZH13" s="4136"/>
      <c r="IZI13" s="4136"/>
      <c r="IZJ13" s="4136"/>
      <c r="IZK13" s="4136"/>
      <c r="IZL13" s="4136"/>
      <c r="IZM13" s="4136"/>
      <c r="IZN13" s="4136"/>
      <c r="IZO13" s="4136"/>
      <c r="IZP13" s="4136"/>
      <c r="IZQ13" s="4136"/>
      <c r="IZR13" s="4136"/>
      <c r="IZS13" s="4136"/>
      <c r="IZT13" s="4136"/>
      <c r="IZU13" s="4136"/>
      <c r="IZV13" s="4136"/>
      <c r="IZW13" s="4136"/>
      <c r="IZX13" s="4136"/>
      <c r="IZY13" s="4136"/>
      <c r="IZZ13" s="4136"/>
      <c r="JAA13" s="4136"/>
      <c r="JAB13" s="4136"/>
      <c r="JAC13" s="4136"/>
      <c r="JAD13" s="4136"/>
      <c r="JAE13" s="4136"/>
      <c r="JAF13" s="4136"/>
      <c r="JAG13" s="4136"/>
      <c r="JAH13" s="4136"/>
      <c r="JAI13" s="4136"/>
      <c r="JAJ13" s="4136"/>
      <c r="JAK13" s="4136"/>
      <c r="JAL13" s="4136"/>
      <c r="JAM13" s="4136"/>
      <c r="JAN13" s="4136"/>
      <c r="JAO13" s="4136"/>
      <c r="JAP13" s="4136"/>
      <c r="JAQ13" s="4136"/>
      <c r="JAR13" s="4136"/>
      <c r="JAS13" s="4136"/>
      <c r="JAT13" s="4136"/>
      <c r="JAU13" s="4136"/>
      <c r="JAV13" s="4136"/>
      <c r="JAW13" s="4136"/>
      <c r="JAX13" s="4136"/>
      <c r="JAY13" s="4136"/>
      <c r="JAZ13" s="4136"/>
      <c r="JBA13" s="4136"/>
      <c r="JBB13" s="4136"/>
      <c r="JBC13" s="4136"/>
      <c r="JBD13" s="4136"/>
      <c r="JBE13" s="4136"/>
      <c r="JBF13" s="4136"/>
      <c r="JBG13" s="4136"/>
      <c r="JBH13" s="4136"/>
      <c r="JBI13" s="4136"/>
      <c r="JBJ13" s="4136"/>
      <c r="JBK13" s="4136"/>
      <c r="JBL13" s="4136"/>
      <c r="JBM13" s="4136"/>
      <c r="JBN13" s="4136"/>
      <c r="JBO13" s="4136"/>
      <c r="JBP13" s="4136"/>
      <c r="JBQ13" s="4136"/>
      <c r="JBR13" s="4136"/>
      <c r="JBS13" s="4136"/>
      <c r="JBT13" s="4136"/>
      <c r="JBU13" s="4136"/>
      <c r="JBV13" s="4136"/>
      <c r="JBW13" s="4136"/>
      <c r="JBX13" s="4136"/>
      <c r="JBY13" s="4136"/>
      <c r="JBZ13" s="4136"/>
      <c r="JCA13" s="4136"/>
      <c r="JCB13" s="4136"/>
      <c r="JCC13" s="4136"/>
      <c r="JCD13" s="4136"/>
      <c r="JCE13" s="4136"/>
      <c r="JCF13" s="4136"/>
      <c r="JCG13" s="4136"/>
      <c r="JCH13" s="4136"/>
      <c r="JCI13" s="4136"/>
      <c r="JCJ13" s="4136"/>
      <c r="JCK13" s="4136"/>
      <c r="JCL13" s="4136"/>
      <c r="JCM13" s="4136"/>
      <c r="JCN13" s="4136"/>
      <c r="JCO13" s="4136"/>
      <c r="JCP13" s="4136"/>
      <c r="JCQ13" s="4136"/>
      <c r="JCR13" s="4136"/>
      <c r="JCS13" s="4136"/>
      <c r="JCT13" s="4136"/>
      <c r="JCU13" s="4136"/>
      <c r="JCV13" s="4136"/>
      <c r="JCW13" s="4136"/>
      <c r="JCX13" s="4136"/>
      <c r="JCY13" s="4136"/>
      <c r="JCZ13" s="4136"/>
      <c r="JDA13" s="4136"/>
      <c r="JDB13" s="4136"/>
      <c r="JDC13" s="4136"/>
      <c r="JDD13" s="4136"/>
      <c r="JDE13" s="4136"/>
      <c r="JDF13" s="4136"/>
      <c r="JDG13" s="4136"/>
      <c r="JDH13" s="4136"/>
      <c r="JDI13" s="4136"/>
      <c r="JDJ13" s="4136"/>
      <c r="JDK13" s="4136"/>
      <c r="JDL13" s="4136"/>
      <c r="JDM13" s="4136"/>
      <c r="JDN13" s="4136"/>
      <c r="JDO13" s="4136"/>
      <c r="JDP13" s="4136"/>
      <c r="JDQ13" s="4136"/>
      <c r="JDR13" s="4136"/>
      <c r="JDS13" s="4136"/>
      <c r="JDT13" s="4136"/>
      <c r="JDU13" s="4136"/>
      <c r="JDV13" s="4136"/>
      <c r="JDW13" s="4136"/>
      <c r="JDX13" s="4136"/>
      <c r="JDY13" s="4136"/>
      <c r="JDZ13" s="4136"/>
      <c r="JEA13" s="4136"/>
      <c r="JEB13" s="4136"/>
      <c r="JEC13" s="4136"/>
      <c r="JED13" s="4136"/>
      <c r="JEE13" s="4136"/>
      <c r="JEF13" s="4136"/>
      <c r="JEG13" s="4136"/>
      <c r="JEH13" s="4136"/>
      <c r="JEI13" s="4136"/>
      <c r="JEJ13" s="4136"/>
      <c r="JEK13" s="4136"/>
      <c r="JEL13" s="4136"/>
      <c r="JEM13" s="4136"/>
      <c r="JEN13" s="4136"/>
      <c r="JEO13" s="4136"/>
      <c r="JEP13" s="4136"/>
      <c r="JEQ13" s="4136"/>
      <c r="JER13" s="4136"/>
      <c r="JES13" s="4136"/>
      <c r="JET13" s="4136"/>
      <c r="JEU13" s="4136"/>
      <c r="JEV13" s="4136"/>
      <c r="JEW13" s="4136"/>
      <c r="JEX13" s="4136"/>
      <c r="JEY13" s="4136"/>
      <c r="JEZ13" s="4136"/>
      <c r="JFA13" s="4136"/>
      <c r="JFB13" s="4136"/>
      <c r="JFC13" s="4136"/>
      <c r="JFD13" s="4136"/>
      <c r="JFE13" s="4136"/>
      <c r="JFF13" s="4136"/>
      <c r="JFG13" s="4136"/>
      <c r="JFH13" s="4136"/>
      <c r="JFI13" s="4136"/>
      <c r="JFJ13" s="4136"/>
      <c r="JFK13" s="4136"/>
      <c r="JFL13" s="4136"/>
      <c r="JFM13" s="4136"/>
      <c r="JFN13" s="4136"/>
      <c r="JFO13" s="4136"/>
      <c r="JFP13" s="4136"/>
      <c r="JFQ13" s="4136"/>
      <c r="JFR13" s="4136"/>
      <c r="JFS13" s="4136"/>
      <c r="JFT13" s="4136"/>
      <c r="JFU13" s="4136"/>
      <c r="JFV13" s="4136"/>
      <c r="JFW13" s="4136"/>
      <c r="JFX13" s="4136"/>
      <c r="JFY13" s="4136"/>
      <c r="JFZ13" s="4136"/>
      <c r="JGA13" s="4136"/>
      <c r="JGB13" s="4136"/>
      <c r="JGC13" s="4136"/>
      <c r="JGD13" s="4136"/>
      <c r="JGE13" s="4136"/>
      <c r="JGF13" s="4136"/>
      <c r="JGG13" s="4136"/>
      <c r="JGH13" s="4136"/>
      <c r="JGI13" s="4136"/>
      <c r="JGJ13" s="4136"/>
      <c r="JGK13" s="4136"/>
      <c r="JGL13" s="4136"/>
      <c r="JGM13" s="4136"/>
      <c r="JGN13" s="4136"/>
      <c r="JGO13" s="4136"/>
      <c r="JGP13" s="4136"/>
      <c r="JGQ13" s="4136"/>
      <c r="JGR13" s="4136"/>
      <c r="JGS13" s="4136"/>
      <c r="JGT13" s="4136"/>
      <c r="JGU13" s="4136"/>
      <c r="JGV13" s="4136"/>
      <c r="JGW13" s="4136"/>
      <c r="JGX13" s="4136"/>
      <c r="JGY13" s="4136"/>
      <c r="JGZ13" s="4136"/>
      <c r="JHA13" s="4136"/>
      <c r="JHB13" s="4136"/>
      <c r="JHC13" s="4136"/>
      <c r="JHD13" s="4136"/>
      <c r="JHE13" s="4136"/>
      <c r="JHF13" s="4136"/>
      <c r="JHG13" s="4136"/>
      <c r="JHH13" s="4136"/>
      <c r="JHI13" s="4136"/>
      <c r="JHJ13" s="4136"/>
      <c r="JHK13" s="4136"/>
      <c r="JHL13" s="4136"/>
      <c r="JHM13" s="4136"/>
      <c r="JHN13" s="4136"/>
      <c r="JHO13" s="4136"/>
      <c r="JHP13" s="4136"/>
      <c r="JHQ13" s="4136"/>
      <c r="JHR13" s="4136"/>
      <c r="JHS13" s="4136"/>
      <c r="JHT13" s="4136"/>
      <c r="JHU13" s="4136"/>
      <c r="JHV13" s="4136"/>
      <c r="JHW13" s="4136"/>
      <c r="JHX13" s="4136"/>
      <c r="JHY13" s="4136"/>
      <c r="JHZ13" s="4136"/>
      <c r="JIA13" s="4136"/>
      <c r="JIB13" s="4136"/>
      <c r="JIC13" s="4136"/>
      <c r="JID13" s="4136"/>
      <c r="JIE13" s="4136"/>
      <c r="JIF13" s="4136"/>
      <c r="JIG13" s="4136"/>
      <c r="JIH13" s="4136"/>
      <c r="JII13" s="4136"/>
      <c r="JIJ13" s="4136"/>
      <c r="JIK13" s="4136"/>
      <c r="JIL13" s="4136"/>
      <c r="JIM13" s="4136"/>
      <c r="JIN13" s="4136"/>
      <c r="JIO13" s="4136"/>
      <c r="JIP13" s="4136"/>
      <c r="JIQ13" s="4136"/>
      <c r="JIR13" s="4136"/>
      <c r="JIS13" s="4136"/>
      <c r="JIT13" s="4136"/>
      <c r="JIU13" s="4136"/>
      <c r="JIV13" s="4136"/>
      <c r="JIW13" s="4136"/>
      <c r="JIX13" s="4136"/>
      <c r="JIY13" s="4136"/>
      <c r="JIZ13" s="4136"/>
      <c r="JJA13" s="4136"/>
      <c r="JJB13" s="4136"/>
      <c r="JJC13" s="4136"/>
      <c r="JJD13" s="4136"/>
      <c r="JJE13" s="4136"/>
      <c r="JJF13" s="4136"/>
      <c r="JJG13" s="4136"/>
      <c r="JJH13" s="4136"/>
      <c r="JJI13" s="4136"/>
      <c r="JJJ13" s="4136"/>
      <c r="JJK13" s="4136"/>
      <c r="JJL13" s="4136"/>
      <c r="JJM13" s="4136"/>
      <c r="JJN13" s="4136"/>
      <c r="JJO13" s="4136"/>
      <c r="JJP13" s="4136"/>
      <c r="JJQ13" s="4136"/>
      <c r="JJR13" s="4136"/>
      <c r="JJS13" s="4136"/>
      <c r="JJT13" s="4136"/>
      <c r="JJU13" s="4136"/>
      <c r="JJV13" s="4136"/>
      <c r="JJW13" s="4136"/>
      <c r="JJX13" s="4136"/>
      <c r="JJY13" s="4136"/>
      <c r="JJZ13" s="4136"/>
      <c r="JKA13" s="4136"/>
      <c r="JKB13" s="4136"/>
      <c r="JKC13" s="4136"/>
      <c r="JKD13" s="4136"/>
      <c r="JKE13" s="4136"/>
      <c r="JKF13" s="4136"/>
      <c r="JKG13" s="4136"/>
      <c r="JKH13" s="4136"/>
      <c r="JKI13" s="4136"/>
      <c r="JKJ13" s="4136"/>
      <c r="JKK13" s="4136"/>
      <c r="JKL13" s="4136"/>
      <c r="JKM13" s="4136"/>
      <c r="JKN13" s="4136"/>
      <c r="JKO13" s="4136"/>
      <c r="JKP13" s="4136"/>
      <c r="JKQ13" s="4136"/>
      <c r="JKR13" s="4136"/>
      <c r="JKS13" s="4136"/>
      <c r="JKT13" s="4136"/>
      <c r="JKU13" s="4136"/>
      <c r="JKV13" s="4136"/>
      <c r="JKW13" s="4136"/>
      <c r="JKX13" s="4136"/>
      <c r="JKY13" s="4136"/>
      <c r="JKZ13" s="4136"/>
      <c r="JLA13" s="4136"/>
      <c r="JLB13" s="4136"/>
      <c r="JLC13" s="4136"/>
      <c r="JLD13" s="4136"/>
      <c r="JLE13" s="4136"/>
      <c r="JLF13" s="4136"/>
      <c r="JLG13" s="4136"/>
      <c r="JLH13" s="4136"/>
      <c r="JLI13" s="4136"/>
      <c r="JLJ13" s="4136"/>
      <c r="JLK13" s="4136"/>
      <c r="JLL13" s="4136"/>
      <c r="JLM13" s="4136"/>
      <c r="JLN13" s="4136"/>
      <c r="JLO13" s="4136"/>
      <c r="JLP13" s="4136"/>
      <c r="JLQ13" s="4136"/>
      <c r="JLR13" s="4136"/>
      <c r="JLS13" s="4136"/>
      <c r="JLT13" s="4136"/>
      <c r="JLU13" s="4136"/>
      <c r="JLV13" s="4136"/>
      <c r="JLW13" s="4136"/>
      <c r="JLX13" s="4136"/>
      <c r="JLY13" s="4136"/>
      <c r="JLZ13" s="4136"/>
      <c r="JMA13" s="4136"/>
      <c r="JMB13" s="4136"/>
      <c r="JMC13" s="4136"/>
      <c r="JMD13" s="4136"/>
      <c r="JME13" s="4136"/>
      <c r="JMF13" s="4136"/>
      <c r="JMG13" s="4136"/>
      <c r="JMH13" s="4136"/>
      <c r="JMI13" s="4136"/>
      <c r="JMJ13" s="4136"/>
      <c r="JMK13" s="4136"/>
      <c r="JML13" s="4136"/>
      <c r="JMM13" s="4136"/>
      <c r="JMN13" s="4136"/>
      <c r="JMO13" s="4136"/>
      <c r="JMP13" s="4136"/>
      <c r="JMQ13" s="4136"/>
      <c r="JMR13" s="4136"/>
      <c r="JMS13" s="4136"/>
      <c r="JMT13" s="4136"/>
      <c r="JMU13" s="4136"/>
      <c r="JMV13" s="4136"/>
      <c r="JMW13" s="4136"/>
      <c r="JMX13" s="4136"/>
      <c r="JMY13" s="4136"/>
      <c r="JMZ13" s="4136"/>
      <c r="JNA13" s="4136"/>
      <c r="JNB13" s="4136"/>
      <c r="JNC13" s="4136"/>
      <c r="JND13" s="4136"/>
      <c r="JNE13" s="4136"/>
      <c r="JNF13" s="4136"/>
      <c r="JNG13" s="4136"/>
      <c r="JNH13" s="4136"/>
      <c r="JNI13" s="4136"/>
      <c r="JNJ13" s="4136"/>
      <c r="JNK13" s="4136"/>
      <c r="JNL13" s="4136"/>
      <c r="JNM13" s="4136"/>
      <c r="JNN13" s="4136"/>
      <c r="JNO13" s="4136"/>
      <c r="JNP13" s="4136"/>
      <c r="JNQ13" s="4136"/>
      <c r="JNR13" s="4136"/>
      <c r="JNS13" s="4136"/>
      <c r="JNT13" s="4136"/>
      <c r="JNU13" s="4136"/>
      <c r="JNV13" s="4136"/>
      <c r="JNW13" s="4136"/>
      <c r="JNX13" s="4136"/>
      <c r="JNY13" s="4136"/>
      <c r="JNZ13" s="4136"/>
      <c r="JOA13" s="4136"/>
      <c r="JOB13" s="4136"/>
      <c r="JOC13" s="4136"/>
      <c r="JOD13" s="4136"/>
      <c r="JOE13" s="4136"/>
      <c r="JOF13" s="4136"/>
      <c r="JOG13" s="4136"/>
      <c r="JOH13" s="4136"/>
      <c r="JOI13" s="4136"/>
      <c r="JOJ13" s="4136"/>
      <c r="JOK13" s="4136"/>
      <c r="JOL13" s="4136"/>
      <c r="JOM13" s="4136"/>
      <c r="JON13" s="4136"/>
      <c r="JOO13" s="4136"/>
      <c r="JOP13" s="4136"/>
      <c r="JOQ13" s="4136"/>
      <c r="JOR13" s="4136"/>
      <c r="JOS13" s="4136"/>
      <c r="JOT13" s="4136"/>
      <c r="JOU13" s="4136"/>
      <c r="JOV13" s="4136"/>
      <c r="JOW13" s="4136"/>
      <c r="JOX13" s="4136"/>
      <c r="JOY13" s="4136"/>
      <c r="JOZ13" s="4136"/>
      <c r="JPA13" s="4136"/>
      <c r="JPB13" s="4136"/>
      <c r="JPC13" s="4136"/>
      <c r="JPD13" s="4136"/>
      <c r="JPE13" s="4136"/>
      <c r="JPF13" s="4136"/>
      <c r="JPG13" s="4136"/>
      <c r="JPH13" s="4136"/>
      <c r="JPI13" s="4136"/>
      <c r="JPJ13" s="4136"/>
      <c r="JPK13" s="4136"/>
      <c r="JPL13" s="4136"/>
      <c r="JPM13" s="4136"/>
      <c r="JPN13" s="4136"/>
      <c r="JPO13" s="4136"/>
      <c r="JPP13" s="4136"/>
      <c r="JPQ13" s="4136"/>
      <c r="JPR13" s="4136"/>
      <c r="JPS13" s="4136"/>
      <c r="JPT13" s="4136"/>
      <c r="JPU13" s="4136"/>
      <c r="JPV13" s="4136"/>
      <c r="JPW13" s="4136"/>
      <c r="JPX13" s="4136"/>
      <c r="JPY13" s="4136"/>
      <c r="JPZ13" s="4136"/>
      <c r="JQA13" s="4136"/>
      <c r="JQB13" s="4136"/>
      <c r="JQC13" s="4136"/>
      <c r="JQD13" s="4136"/>
      <c r="JQE13" s="4136"/>
      <c r="JQF13" s="4136"/>
      <c r="JQG13" s="4136"/>
      <c r="JQH13" s="4136"/>
      <c r="JQI13" s="4136"/>
      <c r="JQJ13" s="4136"/>
      <c r="JQK13" s="4136"/>
      <c r="JQL13" s="4136"/>
      <c r="JQM13" s="4136"/>
      <c r="JQN13" s="4136"/>
      <c r="JQO13" s="4136"/>
      <c r="JQP13" s="4136"/>
      <c r="JQQ13" s="4136"/>
      <c r="JQR13" s="4136"/>
      <c r="JQS13" s="4136"/>
      <c r="JQT13" s="4136"/>
      <c r="JQU13" s="4136"/>
      <c r="JQV13" s="4136"/>
      <c r="JQW13" s="4136"/>
      <c r="JQX13" s="4136"/>
      <c r="JQY13" s="4136"/>
      <c r="JQZ13" s="4136"/>
      <c r="JRA13" s="4136"/>
      <c r="JRB13" s="4136"/>
      <c r="JRC13" s="4136"/>
      <c r="JRD13" s="4136"/>
      <c r="JRE13" s="4136"/>
      <c r="JRF13" s="4136"/>
      <c r="JRG13" s="4136"/>
      <c r="JRH13" s="4136"/>
      <c r="JRI13" s="4136"/>
      <c r="JRJ13" s="4136"/>
      <c r="JRK13" s="4136"/>
      <c r="JRL13" s="4136"/>
      <c r="JRM13" s="4136"/>
      <c r="JRN13" s="4136"/>
      <c r="JRO13" s="4136"/>
      <c r="JRP13" s="4136"/>
      <c r="JRQ13" s="4136"/>
      <c r="JRR13" s="4136"/>
      <c r="JRS13" s="4136"/>
      <c r="JRT13" s="4136"/>
      <c r="JRU13" s="4136"/>
      <c r="JRV13" s="4136"/>
      <c r="JRW13" s="4136"/>
      <c r="JRX13" s="4136"/>
      <c r="JRY13" s="4136"/>
      <c r="JRZ13" s="4136"/>
      <c r="JSA13" s="4136"/>
      <c r="JSB13" s="4136"/>
      <c r="JSC13" s="4136"/>
      <c r="JSD13" s="4136"/>
      <c r="JSE13" s="4136"/>
      <c r="JSF13" s="4136"/>
      <c r="JSG13" s="4136"/>
      <c r="JSH13" s="4136"/>
      <c r="JSI13" s="4136"/>
      <c r="JSJ13" s="4136"/>
      <c r="JSK13" s="4136"/>
      <c r="JSL13" s="4136"/>
      <c r="JSM13" s="4136"/>
      <c r="JSN13" s="4136"/>
      <c r="JSO13" s="4136"/>
      <c r="JSP13" s="4136"/>
      <c r="JSQ13" s="4136"/>
      <c r="JSR13" s="4136"/>
      <c r="JSS13" s="4136"/>
      <c r="JST13" s="4136"/>
      <c r="JSU13" s="4136"/>
      <c r="JSV13" s="4136"/>
      <c r="JSW13" s="4136"/>
      <c r="JSX13" s="4136"/>
      <c r="JSY13" s="4136"/>
      <c r="JSZ13" s="4136"/>
      <c r="JTA13" s="4136"/>
      <c r="JTB13" s="4136"/>
      <c r="JTC13" s="4136"/>
      <c r="JTD13" s="4136"/>
      <c r="JTE13" s="4136"/>
      <c r="JTF13" s="4136"/>
      <c r="JTG13" s="4136"/>
      <c r="JTH13" s="4136"/>
      <c r="JTI13" s="4136"/>
      <c r="JTJ13" s="4136"/>
      <c r="JTK13" s="4136"/>
      <c r="JTL13" s="4136"/>
      <c r="JTM13" s="4136"/>
      <c r="JTN13" s="4136"/>
      <c r="JTO13" s="4136"/>
      <c r="JTP13" s="4136"/>
      <c r="JTQ13" s="4136"/>
      <c r="JTR13" s="4136"/>
      <c r="JTS13" s="4136"/>
      <c r="JTT13" s="4136"/>
      <c r="JTU13" s="4136"/>
      <c r="JTV13" s="4136"/>
      <c r="JTW13" s="4136"/>
      <c r="JTX13" s="4136"/>
      <c r="JTY13" s="4136"/>
      <c r="JTZ13" s="4136"/>
      <c r="JUA13" s="4136"/>
      <c r="JUB13" s="4136"/>
      <c r="JUC13" s="4136"/>
      <c r="JUD13" s="4136"/>
      <c r="JUE13" s="4136"/>
      <c r="JUF13" s="4136"/>
      <c r="JUG13" s="4136"/>
      <c r="JUH13" s="4136"/>
      <c r="JUI13" s="4136"/>
      <c r="JUJ13" s="4136"/>
      <c r="JUK13" s="4136"/>
      <c r="JUL13" s="4136"/>
      <c r="JUM13" s="4136"/>
      <c r="JUN13" s="4136"/>
      <c r="JUO13" s="4136"/>
      <c r="JUP13" s="4136"/>
      <c r="JUQ13" s="4136"/>
      <c r="JUR13" s="4136"/>
      <c r="JUS13" s="4136"/>
      <c r="JUT13" s="4136"/>
      <c r="JUU13" s="4136"/>
      <c r="JUV13" s="4136"/>
      <c r="JUW13" s="4136"/>
      <c r="JUX13" s="4136"/>
      <c r="JUY13" s="4136"/>
      <c r="JUZ13" s="4136"/>
      <c r="JVA13" s="4136"/>
      <c r="JVB13" s="4136"/>
      <c r="JVC13" s="4136"/>
      <c r="JVD13" s="4136"/>
      <c r="JVE13" s="4136"/>
      <c r="JVF13" s="4136"/>
      <c r="JVG13" s="4136"/>
      <c r="JVH13" s="4136"/>
      <c r="JVI13" s="4136"/>
      <c r="JVJ13" s="4136"/>
      <c r="JVK13" s="4136"/>
      <c r="JVL13" s="4136"/>
      <c r="JVM13" s="4136"/>
      <c r="JVN13" s="4136"/>
      <c r="JVO13" s="4136"/>
      <c r="JVP13" s="4136"/>
      <c r="JVQ13" s="4136"/>
      <c r="JVR13" s="4136"/>
      <c r="JVS13" s="4136"/>
      <c r="JVT13" s="4136"/>
      <c r="JVU13" s="4136"/>
      <c r="JVV13" s="4136"/>
      <c r="JVW13" s="4136"/>
      <c r="JVX13" s="4136"/>
      <c r="JVY13" s="4136"/>
      <c r="JVZ13" s="4136"/>
      <c r="JWA13" s="4136"/>
      <c r="JWB13" s="4136"/>
      <c r="JWC13" s="4136"/>
      <c r="JWD13" s="4136"/>
      <c r="JWE13" s="4136"/>
      <c r="JWF13" s="4136"/>
      <c r="JWG13" s="4136"/>
      <c r="JWH13" s="4136"/>
      <c r="JWI13" s="4136"/>
      <c r="JWJ13" s="4136"/>
      <c r="JWK13" s="4136"/>
      <c r="JWL13" s="4136"/>
      <c r="JWM13" s="4136"/>
      <c r="JWN13" s="4136"/>
      <c r="JWO13" s="4136"/>
      <c r="JWP13" s="4136"/>
      <c r="JWQ13" s="4136"/>
      <c r="JWR13" s="4136"/>
      <c r="JWS13" s="4136"/>
      <c r="JWT13" s="4136"/>
      <c r="JWU13" s="4136"/>
      <c r="JWV13" s="4136"/>
      <c r="JWW13" s="4136"/>
      <c r="JWX13" s="4136"/>
      <c r="JWY13" s="4136"/>
      <c r="JWZ13" s="4136"/>
      <c r="JXA13" s="4136"/>
      <c r="JXB13" s="4136"/>
      <c r="JXC13" s="4136"/>
      <c r="JXD13" s="4136"/>
      <c r="JXE13" s="4136"/>
      <c r="JXF13" s="4136"/>
      <c r="JXG13" s="4136"/>
      <c r="JXH13" s="4136"/>
      <c r="JXI13" s="4136"/>
      <c r="JXJ13" s="4136"/>
      <c r="JXK13" s="4136"/>
      <c r="JXL13" s="4136"/>
      <c r="JXM13" s="4136"/>
      <c r="JXN13" s="4136"/>
      <c r="JXO13" s="4136"/>
      <c r="JXP13" s="4136"/>
      <c r="JXQ13" s="4136"/>
      <c r="JXR13" s="4136"/>
      <c r="JXS13" s="4136"/>
      <c r="JXT13" s="4136"/>
      <c r="JXU13" s="4136"/>
      <c r="JXV13" s="4136"/>
      <c r="JXW13" s="4136"/>
      <c r="JXX13" s="4136"/>
      <c r="JXY13" s="4136"/>
      <c r="JXZ13" s="4136"/>
      <c r="JYA13" s="4136"/>
      <c r="JYB13" s="4136"/>
      <c r="JYC13" s="4136"/>
      <c r="JYD13" s="4136"/>
      <c r="JYE13" s="4136"/>
      <c r="JYF13" s="4136"/>
      <c r="JYG13" s="4136"/>
      <c r="JYH13" s="4136"/>
      <c r="JYI13" s="4136"/>
      <c r="JYJ13" s="4136"/>
      <c r="JYK13" s="4136"/>
      <c r="JYL13" s="4136"/>
      <c r="JYM13" s="4136"/>
      <c r="JYN13" s="4136"/>
      <c r="JYO13" s="4136"/>
      <c r="JYP13" s="4136"/>
      <c r="JYQ13" s="4136"/>
      <c r="JYR13" s="4136"/>
      <c r="JYS13" s="4136"/>
      <c r="JYT13" s="4136"/>
      <c r="JYU13" s="4136"/>
      <c r="JYV13" s="4136"/>
      <c r="JYW13" s="4136"/>
      <c r="JYX13" s="4136"/>
      <c r="JYY13" s="4136"/>
      <c r="JYZ13" s="4136"/>
      <c r="JZA13" s="4136"/>
      <c r="JZB13" s="4136"/>
      <c r="JZC13" s="4136"/>
      <c r="JZD13" s="4136"/>
      <c r="JZE13" s="4136"/>
      <c r="JZF13" s="4136"/>
      <c r="JZG13" s="4136"/>
      <c r="JZH13" s="4136"/>
      <c r="JZI13" s="4136"/>
      <c r="JZJ13" s="4136"/>
      <c r="JZK13" s="4136"/>
      <c r="JZL13" s="4136"/>
      <c r="JZM13" s="4136"/>
      <c r="JZN13" s="4136"/>
      <c r="JZO13" s="4136"/>
      <c r="JZP13" s="4136"/>
      <c r="JZQ13" s="4136"/>
      <c r="JZR13" s="4136"/>
      <c r="JZS13" s="4136"/>
      <c r="JZT13" s="4136"/>
      <c r="JZU13" s="4136"/>
      <c r="JZV13" s="4136"/>
      <c r="JZW13" s="4136"/>
      <c r="JZX13" s="4136"/>
      <c r="JZY13" s="4136"/>
      <c r="JZZ13" s="4136"/>
      <c r="KAA13" s="4136"/>
      <c r="KAB13" s="4136"/>
      <c r="KAC13" s="4136"/>
      <c r="KAD13" s="4136"/>
      <c r="KAE13" s="4136"/>
      <c r="KAF13" s="4136"/>
      <c r="KAG13" s="4136"/>
      <c r="KAH13" s="4136"/>
      <c r="KAI13" s="4136"/>
      <c r="KAJ13" s="4136"/>
      <c r="KAK13" s="4136"/>
      <c r="KAL13" s="4136"/>
      <c r="KAM13" s="4136"/>
      <c r="KAN13" s="4136"/>
      <c r="KAO13" s="4136"/>
      <c r="KAP13" s="4136"/>
      <c r="KAQ13" s="4136"/>
      <c r="KAR13" s="4136"/>
      <c r="KAS13" s="4136"/>
      <c r="KAT13" s="4136"/>
      <c r="KAU13" s="4136"/>
      <c r="KAV13" s="4136"/>
      <c r="KAW13" s="4136"/>
      <c r="KAX13" s="4136"/>
      <c r="KAY13" s="4136"/>
      <c r="KAZ13" s="4136"/>
      <c r="KBA13" s="4136"/>
      <c r="KBB13" s="4136"/>
      <c r="KBC13" s="4136"/>
      <c r="KBD13" s="4136"/>
      <c r="KBE13" s="4136"/>
      <c r="KBF13" s="4136"/>
      <c r="KBG13" s="4136"/>
      <c r="KBH13" s="4136"/>
      <c r="KBI13" s="4136"/>
      <c r="KBJ13" s="4136"/>
      <c r="KBK13" s="4136"/>
      <c r="KBL13" s="4136"/>
      <c r="KBM13" s="4136"/>
      <c r="KBN13" s="4136"/>
      <c r="KBO13" s="4136"/>
      <c r="KBP13" s="4136"/>
      <c r="KBQ13" s="4136"/>
      <c r="KBR13" s="4136"/>
      <c r="KBS13" s="4136"/>
      <c r="KBT13" s="4136"/>
      <c r="KBU13" s="4136"/>
      <c r="KBV13" s="4136"/>
      <c r="KBW13" s="4136"/>
      <c r="KBX13" s="4136"/>
      <c r="KBY13" s="4136"/>
      <c r="KBZ13" s="4136"/>
      <c r="KCA13" s="4136"/>
      <c r="KCB13" s="4136"/>
      <c r="KCC13" s="4136"/>
      <c r="KCD13" s="4136"/>
      <c r="KCE13" s="4136"/>
      <c r="KCF13" s="4136"/>
      <c r="KCG13" s="4136"/>
      <c r="KCH13" s="4136"/>
      <c r="KCI13" s="4136"/>
      <c r="KCJ13" s="4136"/>
      <c r="KCK13" s="4136"/>
      <c r="KCL13" s="4136"/>
      <c r="KCM13" s="4136"/>
      <c r="KCN13" s="4136"/>
      <c r="KCO13" s="4136"/>
      <c r="KCP13" s="4136"/>
      <c r="KCQ13" s="4136"/>
      <c r="KCR13" s="4136"/>
      <c r="KCS13" s="4136"/>
      <c r="KCT13" s="4136"/>
      <c r="KCU13" s="4136"/>
      <c r="KCV13" s="4136"/>
      <c r="KCW13" s="4136"/>
      <c r="KCX13" s="4136"/>
      <c r="KCY13" s="4136"/>
      <c r="KCZ13" s="4136"/>
      <c r="KDA13" s="4136"/>
      <c r="KDB13" s="4136"/>
      <c r="KDC13" s="4136"/>
      <c r="KDD13" s="4136"/>
      <c r="KDE13" s="4136"/>
      <c r="KDF13" s="4136"/>
      <c r="KDG13" s="4136"/>
      <c r="KDH13" s="4136"/>
      <c r="KDI13" s="4136"/>
      <c r="KDJ13" s="4136"/>
      <c r="KDK13" s="4136"/>
      <c r="KDL13" s="4136"/>
      <c r="KDM13" s="4136"/>
      <c r="KDN13" s="4136"/>
      <c r="KDO13" s="4136"/>
      <c r="KDP13" s="4136"/>
      <c r="KDQ13" s="4136"/>
      <c r="KDR13" s="4136"/>
      <c r="KDS13" s="4136"/>
      <c r="KDT13" s="4136"/>
      <c r="KDU13" s="4136"/>
      <c r="KDV13" s="4136"/>
      <c r="KDW13" s="4136"/>
      <c r="KDX13" s="4136"/>
      <c r="KDY13" s="4136"/>
      <c r="KDZ13" s="4136"/>
      <c r="KEA13" s="4136"/>
      <c r="KEB13" s="4136"/>
      <c r="KEC13" s="4136"/>
      <c r="KED13" s="4136"/>
      <c r="KEE13" s="4136"/>
      <c r="KEF13" s="4136"/>
      <c r="KEG13" s="4136"/>
      <c r="KEH13" s="4136"/>
      <c r="KEI13" s="4136"/>
      <c r="KEJ13" s="4136"/>
      <c r="KEK13" s="4136"/>
      <c r="KEL13" s="4136"/>
      <c r="KEM13" s="4136"/>
      <c r="KEN13" s="4136"/>
      <c r="KEO13" s="4136"/>
      <c r="KEP13" s="4136"/>
      <c r="KEQ13" s="4136"/>
      <c r="KER13" s="4136"/>
      <c r="KES13" s="4136"/>
      <c r="KET13" s="4136"/>
      <c r="KEU13" s="4136"/>
      <c r="KEV13" s="4136"/>
      <c r="KEW13" s="4136"/>
      <c r="KEX13" s="4136"/>
      <c r="KEY13" s="4136"/>
      <c r="KEZ13" s="4136"/>
      <c r="KFA13" s="4136"/>
      <c r="KFB13" s="4136"/>
      <c r="KFC13" s="4136"/>
      <c r="KFD13" s="4136"/>
      <c r="KFE13" s="4136"/>
      <c r="KFF13" s="4136"/>
      <c r="KFG13" s="4136"/>
      <c r="KFH13" s="4136"/>
      <c r="KFI13" s="4136"/>
      <c r="KFJ13" s="4136"/>
      <c r="KFK13" s="4136"/>
      <c r="KFL13" s="4136"/>
      <c r="KFM13" s="4136"/>
      <c r="KFN13" s="4136"/>
      <c r="KFO13" s="4136"/>
      <c r="KFP13" s="4136"/>
      <c r="KFQ13" s="4136"/>
      <c r="KFR13" s="4136"/>
      <c r="KFS13" s="4136"/>
      <c r="KFT13" s="4136"/>
      <c r="KFU13" s="4136"/>
      <c r="KFV13" s="4136"/>
      <c r="KFW13" s="4136"/>
      <c r="KFX13" s="4136"/>
      <c r="KFY13" s="4136"/>
      <c r="KFZ13" s="4136"/>
      <c r="KGA13" s="4136"/>
      <c r="KGB13" s="4136"/>
      <c r="KGC13" s="4136"/>
      <c r="KGD13" s="4136"/>
      <c r="KGE13" s="4136"/>
      <c r="KGF13" s="4136"/>
      <c r="KGG13" s="4136"/>
      <c r="KGH13" s="4136"/>
      <c r="KGI13" s="4136"/>
      <c r="KGJ13" s="4136"/>
      <c r="KGK13" s="4136"/>
      <c r="KGL13" s="4136"/>
      <c r="KGM13" s="4136"/>
      <c r="KGN13" s="4136"/>
      <c r="KGO13" s="4136"/>
      <c r="KGP13" s="4136"/>
      <c r="KGQ13" s="4136"/>
      <c r="KGR13" s="4136"/>
      <c r="KGS13" s="4136"/>
      <c r="KGT13" s="4136"/>
      <c r="KGU13" s="4136"/>
      <c r="KGV13" s="4136"/>
      <c r="KGW13" s="4136"/>
      <c r="KGX13" s="4136"/>
      <c r="KGY13" s="4136"/>
      <c r="KGZ13" s="4136"/>
      <c r="KHA13" s="4136"/>
      <c r="KHB13" s="4136"/>
      <c r="KHC13" s="4136"/>
      <c r="KHD13" s="4136"/>
      <c r="KHE13" s="4136"/>
      <c r="KHF13" s="4136"/>
      <c r="KHG13" s="4136"/>
      <c r="KHH13" s="4136"/>
      <c r="KHI13" s="4136"/>
      <c r="KHJ13" s="4136"/>
      <c r="KHK13" s="4136"/>
      <c r="KHL13" s="4136"/>
      <c r="KHM13" s="4136"/>
      <c r="KHN13" s="4136"/>
      <c r="KHO13" s="4136"/>
      <c r="KHP13" s="4136"/>
      <c r="KHQ13" s="4136"/>
      <c r="KHR13" s="4136"/>
      <c r="KHS13" s="4136"/>
      <c r="KHT13" s="4136"/>
      <c r="KHU13" s="4136"/>
      <c r="KHV13" s="4136"/>
      <c r="KHW13" s="4136"/>
      <c r="KHX13" s="4136"/>
      <c r="KHY13" s="4136"/>
      <c r="KHZ13" s="4136"/>
      <c r="KIA13" s="4136"/>
      <c r="KIB13" s="4136"/>
      <c r="KIC13" s="4136"/>
      <c r="KID13" s="4136"/>
      <c r="KIE13" s="4136"/>
      <c r="KIF13" s="4136"/>
      <c r="KIG13" s="4136"/>
      <c r="KIH13" s="4136"/>
      <c r="KII13" s="4136"/>
      <c r="KIJ13" s="4136"/>
      <c r="KIK13" s="4136"/>
      <c r="KIL13" s="4136"/>
      <c r="KIM13" s="4136"/>
      <c r="KIN13" s="4136"/>
      <c r="KIO13" s="4136"/>
      <c r="KIP13" s="4136"/>
      <c r="KIQ13" s="4136"/>
      <c r="KIR13" s="4136"/>
      <c r="KIS13" s="4136"/>
      <c r="KIT13" s="4136"/>
      <c r="KIU13" s="4136"/>
      <c r="KIV13" s="4136"/>
      <c r="KIW13" s="4136"/>
      <c r="KIX13" s="4136"/>
      <c r="KIY13" s="4136"/>
      <c r="KIZ13" s="4136"/>
      <c r="KJA13" s="4136"/>
      <c r="KJB13" s="4136"/>
      <c r="KJC13" s="4136"/>
      <c r="KJD13" s="4136"/>
      <c r="KJE13" s="4136"/>
      <c r="KJF13" s="4136"/>
      <c r="KJG13" s="4136"/>
      <c r="KJH13" s="4136"/>
      <c r="KJI13" s="4136"/>
      <c r="KJJ13" s="4136"/>
      <c r="KJK13" s="4136"/>
      <c r="KJL13" s="4136"/>
      <c r="KJM13" s="4136"/>
      <c r="KJN13" s="4136"/>
      <c r="KJO13" s="4136"/>
      <c r="KJP13" s="4136"/>
      <c r="KJQ13" s="4136"/>
      <c r="KJR13" s="4136"/>
      <c r="KJS13" s="4136"/>
      <c r="KJT13" s="4136"/>
      <c r="KJU13" s="4136"/>
      <c r="KJV13" s="4136"/>
      <c r="KJW13" s="4136"/>
      <c r="KJX13" s="4136"/>
      <c r="KJY13" s="4136"/>
      <c r="KJZ13" s="4136"/>
      <c r="KKA13" s="4136"/>
      <c r="KKB13" s="4136"/>
      <c r="KKC13" s="4136"/>
      <c r="KKD13" s="4136"/>
      <c r="KKE13" s="4136"/>
      <c r="KKF13" s="4136"/>
      <c r="KKG13" s="4136"/>
      <c r="KKH13" s="4136"/>
      <c r="KKI13" s="4136"/>
      <c r="KKJ13" s="4136"/>
      <c r="KKK13" s="4136"/>
      <c r="KKL13" s="4136"/>
      <c r="KKM13" s="4136"/>
      <c r="KKN13" s="4136"/>
      <c r="KKO13" s="4136"/>
      <c r="KKP13" s="4136"/>
      <c r="KKQ13" s="4136"/>
      <c r="KKR13" s="4136"/>
      <c r="KKS13" s="4136"/>
      <c r="KKT13" s="4136"/>
      <c r="KKU13" s="4136"/>
      <c r="KKV13" s="4136"/>
      <c r="KKW13" s="4136"/>
      <c r="KKX13" s="4136"/>
      <c r="KKY13" s="4136"/>
      <c r="KKZ13" s="4136"/>
      <c r="KLA13" s="4136"/>
      <c r="KLB13" s="4136"/>
      <c r="KLC13" s="4136"/>
      <c r="KLD13" s="4136"/>
      <c r="KLE13" s="4136"/>
      <c r="KLF13" s="4136"/>
      <c r="KLG13" s="4136"/>
      <c r="KLH13" s="4136"/>
      <c r="KLI13" s="4136"/>
      <c r="KLJ13" s="4136"/>
      <c r="KLK13" s="4136"/>
      <c r="KLL13" s="4136"/>
      <c r="KLM13" s="4136"/>
      <c r="KLN13" s="4136"/>
      <c r="KLO13" s="4136"/>
      <c r="KLP13" s="4136"/>
      <c r="KLQ13" s="4136"/>
      <c r="KLR13" s="4136"/>
      <c r="KLS13" s="4136"/>
      <c r="KLT13" s="4136"/>
      <c r="KLU13" s="4136"/>
      <c r="KLV13" s="4136"/>
      <c r="KLW13" s="4136"/>
      <c r="KLX13" s="4136"/>
      <c r="KLY13" s="4136"/>
      <c r="KLZ13" s="4136"/>
      <c r="KMA13" s="4136"/>
      <c r="KMB13" s="4136"/>
      <c r="KMC13" s="4136"/>
      <c r="KMD13" s="4136"/>
      <c r="KME13" s="4136"/>
      <c r="KMF13" s="4136"/>
      <c r="KMG13" s="4136"/>
      <c r="KMH13" s="4136"/>
      <c r="KMI13" s="4136"/>
      <c r="KMJ13" s="4136"/>
      <c r="KMK13" s="4136"/>
      <c r="KML13" s="4136"/>
      <c r="KMM13" s="4136"/>
      <c r="KMN13" s="4136"/>
      <c r="KMO13" s="4136"/>
      <c r="KMP13" s="4136"/>
      <c r="KMQ13" s="4136"/>
      <c r="KMR13" s="4136"/>
      <c r="KMS13" s="4136"/>
      <c r="KMT13" s="4136"/>
      <c r="KMU13" s="4136"/>
      <c r="KMV13" s="4136"/>
      <c r="KMW13" s="4136"/>
      <c r="KMX13" s="4136"/>
      <c r="KMY13" s="4136"/>
      <c r="KMZ13" s="4136"/>
      <c r="KNA13" s="4136"/>
      <c r="KNB13" s="4136"/>
      <c r="KNC13" s="4136"/>
      <c r="KND13" s="4136"/>
      <c r="KNE13" s="4136"/>
      <c r="KNF13" s="4136"/>
      <c r="KNG13" s="4136"/>
      <c r="KNH13" s="4136"/>
      <c r="KNI13" s="4136"/>
      <c r="KNJ13" s="4136"/>
      <c r="KNK13" s="4136"/>
      <c r="KNL13" s="4136"/>
      <c r="KNM13" s="4136"/>
      <c r="KNN13" s="4136"/>
      <c r="KNO13" s="4136"/>
      <c r="KNP13" s="4136"/>
      <c r="KNQ13" s="4136"/>
      <c r="KNR13" s="4136"/>
      <c r="KNS13" s="4136"/>
      <c r="KNT13" s="4136"/>
      <c r="KNU13" s="4136"/>
      <c r="KNV13" s="4136"/>
      <c r="KNW13" s="4136"/>
      <c r="KNX13" s="4136"/>
      <c r="KNY13" s="4136"/>
      <c r="KNZ13" s="4136"/>
      <c r="KOA13" s="4136"/>
      <c r="KOB13" s="4136"/>
      <c r="KOC13" s="4136"/>
      <c r="KOD13" s="4136"/>
      <c r="KOE13" s="4136"/>
      <c r="KOF13" s="4136"/>
      <c r="KOG13" s="4136"/>
      <c r="KOH13" s="4136"/>
      <c r="KOI13" s="4136"/>
      <c r="KOJ13" s="4136"/>
      <c r="KOK13" s="4136"/>
      <c r="KOL13" s="4136"/>
      <c r="KOM13" s="4136"/>
      <c r="KON13" s="4136"/>
      <c r="KOO13" s="4136"/>
      <c r="KOP13" s="4136"/>
      <c r="KOQ13" s="4136"/>
      <c r="KOR13" s="4136"/>
      <c r="KOS13" s="4136"/>
      <c r="KOT13" s="4136"/>
      <c r="KOU13" s="4136"/>
      <c r="KOV13" s="4136"/>
      <c r="KOW13" s="4136"/>
      <c r="KOX13" s="4136"/>
      <c r="KOY13" s="4136"/>
      <c r="KOZ13" s="4136"/>
      <c r="KPA13" s="4136"/>
      <c r="KPB13" s="4136"/>
      <c r="KPC13" s="4136"/>
      <c r="KPD13" s="4136"/>
      <c r="KPE13" s="4136"/>
      <c r="KPF13" s="4136"/>
      <c r="KPG13" s="4136"/>
      <c r="KPH13" s="4136"/>
      <c r="KPI13" s="4136"/>
      <c r="KPJ13" s="4136"/>
      <c r="KPK13" s="4136"/>
      <c r="KPL13" s="4136"/>
      <c r="KPM13" s="4136"/>
      <c r="KPN13" s="4136"/>
      <c r="KPO13" s="4136"/>
      <c r="KPP13" s="4136"/>
      <c r="KPQ13" s="4136"/>
      <c r="KPR13" s="4136"/>
      <c r="KPS13" s="4136"/>
      <c r="KPT13" s="4136"/>
      <c r="KPU13" s="4136"/>
      <c r="KPV13" s="4136"/>
      <c r="KPW13" s="4136"/>
      <c r="KPX13" s="4136"/>
      <c r="KPY13" s="4136"/>
      <c r="KPZ13" s="4136"/>
      <c r="KQA13" s="4136"/>
      <c r="KQB13" s="4136"/>
      <c r="KQC13" s="4136"/>
      <c r="KQD13" s="4136"/>
      <c r="KQE13" s="4136"/>
      <c r="KQF13" s="4136"/>
      <c r="KQG13" s="4136"/>
      <c r="KQH13" s="4136"/>
      <c r="KQI13" s="4136"/>
      <c r="KQJ13" s="4136"/>
      <c r="KQK13" s="4136"/>
      <c r="KQL13" s="4136"/>
      <c r="KQM13" s="4136"/>
      <c r="KQN13" s="4136"/>
      <c r="KQO13" s="4136"/>
      <c r="KQP13" s="4136"/>
      <c r="KQQ13" s="4136"/>
      <c r="KQR13" s="4136"/>
      <c r="KQS13" s="4136"/>
      <c r="KQT13" s="4136"/>
      <c r="KQU13" s="4136"/>
      <c r="KQV13" s="4136"/>
      <c r="KQW13" s="4136"/>
      <c r="KQX13" s="4136"/>
      <c r="KQY13" s="4136"/>
      <c r="KQZ13" s="4136"/>
      <c r="KRA13" s="4136"/>
      <c r="KRB13" s="4136"/>
      <c r="KRC13" s="4136"/>
      <c r="KRD13" s="4136"/>
      <c r="KRE13" s="4136"/>
      <c r="KRF13" s="4136"/>
      <c r="KRG13" s="4136"/>
      <c r="KRH13" s="4136"/>
      <c r="KRI13" s="4136"/>
      <c r="KRJ13" s="4136"/>
      <c r="KRK13" s="4136"/>
      <c r="KRL13" s="4136"/>
      <c r="KRM13" s="4136"/>
      <c r="KRN13" s="4136"/>
      <c r="KRO13" s="4136"/>
      <c r="KRP13" s="4136"/>
      <c r="KRQ13" s="4136"/>
      <c r="KRR13" s="4136"/>
      <c r="KRS13" s="4136"/>
      <c r="KRT13" s="4136"/>
      <c r="KRU13" s="4136"/>
      <c r="KRV13" s="4136"/>
      <c r="KRW13" s="4136"/>
      <c r="KRX13" s="4136"/>
      <c r="KRY13" s="4136"/>
      <c r="KRZ13" s="4136"/>
      <c r="KSA13" s="4136"/>
      <c r="KSB13" s="4136"/>
      <c r="KSC13" s="4136"/>
      <c r="KSD13" s="4136"/>
      <c r="KSE13" s="4136"/>
      <c r="KSF13" s="4136"/>
      <c r="KSG13" s="4136"/>
      <c r="KSH13" s="4136"/>
      <c r="KSI13" s="4136"/>
      <c r="KSJ13" s="4136"/>
      <c r="KSK13" s="4136"/>
      <c r="KSL13" s="4136"/>
      <c r="KSM13" s="4136"/>
      <c r="KSN13" s="4136"/>
      <c r="KSO13" s="4136"/>
      <c r="KSP13" s="4136"/>
      <c r="KSQ13" s="4136"/>
      <c r="KSR13" s="4136"/>
      <c r="KSS13" s="4136"/>
      <c r="KST13" s="4136"/>
      <c r="KSU13" s="4136"/>
      <c r="KSV13" s="4136"/>
      <c r="KSW13" s="4136"/>
      <c r="KSX13" s="4136"/>
      <c r="KSY13" s="4136"/>
      <c r="KSZ13" s="4136"/>
      <c r="KTA13" s="4136"/>
      <c r="KTB13" s="4136"/>
      <c r="KTC13" s="4136"/>
      <c r="KTD13" s="4136"/>
      <c r="KTE13" s="4136"/>
      <c r="KTF13" s="4136"/>
      <c r="KTG13" s="4136"/>
      <c r="KTH13" s="4136"/>
      <c r="KTI13" s="4136"/>
      <c r="KTJ13" s="4136"/>
      <c r="KTK13" s="4136"/>
      <c r="KTL13" s="4136"/>
      <c r="KTM13" s="4136"/>
      <c r="KTN13" s="4136"/>
      <c r="KTO13" s="4136"/>
      <c r="KTP13" s="4136"/>
      <c r="KTQ13" s="4136"/>
      <c r="KTR13" s="4136"/>
      <c r="KTS13" s="4136"/>
      <c r="KTT13" s="4136"/>
      <c r="KTU13" s="4136"/>
      <c r="KTV13" s="4136"/>
      <c r="KTW13" s="4136"/>
      <c r="KTX13" s="4136"/>
      <c r="KTY13" s="4136"/>
      <c r="KTZ13" s="4136"/>
      <c r="KUA13" s="4136"/>
      <c r="KUB13" s="4136"/>
      <c r="KUC13" s="4136"/>
      <c r="KUD13" s="4136"/>
      <c r="KUE13" s="4136"/>
      <c r="KUF13" s="4136"/>
      <c r="KUG13" s="4136"/>
      <c r="KUH13" s="4136"/>
      <c r="KUI13" s="4136"/>
      <c r="KUJ13" s="4136"/>
      <c r="KUK13" s="4136"/>
      <c r="KUL13" s="4136"/>
      <c r="KUM13" s="4136"/>
      <c r="KUN13" s="4136"/>
      <c r="KUO13" s="4136"/>
      <c r="KUP13" s="4136"/>
      <c r="KUQ13" s="4136"/>
      <c r="KUR13" s="4136"/>
      <c r="KUS13" s="4136"/>
      <c r="KUT13" s="4136"/>
      <c r="KUU13" s="4136"/>
      <c r="KUV13" s="4136"/>
      <c r="KUW13" s="4136"/>
      <c r="KUX13" s="4136"/>
      <c r="KUY13" s="4136"/>
      <c r="KUZ13" s="4136"/>
      <c r="KVA13" s="4136"/>
      <c r="KVB13" s="4136"/>
      <c r="KVC13" s="4136"/>
      <c r="KVD13" s="4136"/>
      <c r="KVE13" s="4136"/>
      <c r="KVF13" s="4136"/>
      <c r="KVG13" s="4136"/>
      <c r="KVH13" s="4136"/>
      <c r="KVI13" s="4136"/>
      <c r="KVJ13" s="4136"/>
      <c r="KVK13" s="4136"/>
      <c r="KVL13" s="4136"/>
      <c r="KVM13" s="4136"/>
      <c r="KVN13" s="4136"/>
      <c r="KVO13" s="4136"/>
      <c r="KVP13" s="4136"/>
      <c r="KVQ13" s="4136"/>
      <c r="KVR13" s="4136"/>
      <c r="KVS13" s="4136"/>
      <c r="KVT13" s="4136"/>
      <c r="KVU13" s="4136"/>
      <c r="KVV13" s="4136"/>
      <c r="KVW13" s="4136"/>
      <c r="KVX13" s="4136"/>
      <c r="KVY13" s="4136"/>
      <c r="KVZ13" s="4136"/>
      <c r="KWA13" s="4136"/>
      <c r="KWB13" s="4136"/>
      <c r="KWC13" s="4136"/>
      <c r="KWD13" s="4136"/>
      <c r="KWE13" s="4136"/>
      <c r="KWF13" s="4136"/>
      <c r="KWG13" s="4136"/>
      <c r="KWH13" s="4136"/>
      <c r="KWI13" s="4136"/>
      <c r="KWJ13" s="4136"/>
      <c r="KWK13" s="4136"/>
      <c r="KWL13" s="4136"/>
      <c r="KWM13" s="4136"/>
      <c r="KWN13" s="4136"/>
      <c r="KWO13" s="4136"/>
      <c r="KWP13" s="4136"/>
      <c r="KWQ13" s="4136"/>
      <c r="KWR13" s="4136"/>
      <c r="KWS13" s="4136"/>
      <c r="KWT13" s="4136"/>
      <c r="KWU13" s="4136"/>
      <c r="KWV13" s="4136"/>
      <c r="KWW13" s="4136"/>
      <c r="KWX13" s="4136"/>
      <c r="KWY13" s="4136"/>
      <c r="KWZ13" s="4136"/>
      <c r="KXA13" s="4136"/>
      <c r="KXB13" s="4136"/>
      <c r="KXC13" s="4136"/>
      <c r="KXD13" s="4136"/>
      <c r="KXE13" s="4136"/>
      <c r="KXF13" s="4136"/>
      <c r="KXG13" s="4136"/>
      <c r="KXH13" s="4136"/>
      <c r="KXI13" s="4136"/>
      <c r="KXJ13" s="4136"/>
      <c r="KXK13" s="4136"/>
      <c r="KXL13" s="4136"/>
      <c r="KXM13" s="4136"/>
      <c r="KXN13" s="4136"/>
      <c r="KXO13" s="4136"/>
      <c r="KXP13" s="4136"/>
      <c r="KXQ13" s="4136"/>
      <c r="KXR13" s="4136"/>
      <c r="KXS13" s="4136"/>
      <c r="KXT13" s="4136"/>
      <c r="KXU13" s="4136"/>
      <c r="KXV13" s="4136"/>
      <c r="KXW13" s="4136"/>
      <c r="KXX13" s="4136"/>
      <c r="KXY13" s="4136"/>
      <c r="KXZ13" s="4136"/>
      <c r="KYA13" s="4136"/>
      <c r="KYB13" s="4136"/>
      <c r="KYC13" s="4136"/>
      <c r="KYD13" s="4136"/>
      <c r="KYE13" s="4136"/>
      <c r="KYF13" s="4136"/>
      <c r="KYG13" s="4136"/>
      <c r="KYH13" s="4136"/>
      <c r="KYI13" s="4136"/>
      <c r="KYJ13" s="4136"/>
      <c r="KYK13" s="4136"/>
      <c r="KYL13" s="4136"/>
      <c r="KYM13" s="4136"/>
      <c r="KYN13" s="4136"/>
      <c r="KYO13" s="4136"/>
      <c r="KYP13" s="4136"/>
      <c r="KYQ13" s="4136"/>
      <c r="KYR13" s="4136"/>
      <c r="KYS13" s="4136"/>
      <c r="KYT13" s="4136"/>
      <c r="KYU13" s="4136"/>
      <c r="KYV13" s="4136"/>
      <c r="KYW13" s="4136"/>
      <c r="KYX13" s="4136"/>
      <c r="KYY13" s="4136"/>
      <c r="KYZ13" s="4136"/>
      <c r="KZA13" s="4136"/>
      <c r="KZB13" s="4136"/>
      <c r="KZC13" s="4136"/>
      <c r="KZD13" s="4136"/>
      <c r="KZE13" s="4136"/>
      <c r="KZF13" s="4136"/>
      <c r="KZG13" s="4136"/>
      <c r="KZH13" s="4136"/>
      <c r="KZI13" s="4136"/>
      <c r="KZJ13" s="4136"/>
      <c r="KZK13" s="4136"/>
      <c r="KZL13" s="4136"/>
      <c r="KZM13" s="4136"/>
      <c r="KZN13" s="4136"/>
      <c r="KZO13" s="4136"/>
      <c r="KZP13" s="4136"/>
      <c r="KZQ13" s="4136"/>
      <c r="KZR13" s="4136"/>
      <c r="KZS13" s="4136"/>
      <c r="KZT13" s="4136"/>
      <c r="KZU13" s="4136"/>
      <c r="KZV13" s="4136"/>
      <c r="KZW13" s="4136"/>
      <c r="KZX13" s="4136"/>
      <c r="KZY13" s="4136"/>
      <c r="KZZ13" s="4136"/>
      <c r="LAA13" s="4136"/>
      <c r="LAB13" s="4136"/>
      <c r="LAC13" s="4136"/>
      <c r="LAD13" s="4136"/>
      <c r="LAE13" s="4136"/>
      <c r="LAF13" s="4136"/>
      <c r="LAG13" s="4136"/>
      <c r="LAH13" s="4136"/>
      <c r="LAI13" s="4136"/>
      <c r="LAJ13" s="4136"/>
      <c r="LAK13" s="4136"/>
      <c r="LAL13" s="4136"/>
      <c r="LAM13" s="4136"/>
      <c r="LAN13" s="4136"/>
      <c r="LAO13" s="4136"/>
      <c r="LAP13" s="4136"/>
      <c r="LAQ13" s="4136"/>
      <c r="LAR13" s="4136"/>
      <c r="LAS13" s="4136"/>
      <c r="LAT13" s="4136"/>
      <c r="LAU13" s="4136"/>
      <c r="LAV13" s="4136"/>
      <c r="LAW13" s="4136"/>
      <c r="LAX13" s="4136"/>
      <c r="LAY13" s="4136"/>
      <c r="LAZ13" s="4136"/>
      <c r="LBA13" s="4136"/>
      <c r="LBB13" s="4136"/>
      <c r="LBC13" s="4136"/>
      <c r="LBD13" s="4136"/>
      <c r="LBE13" s="4136"/>
      <c r="LBF13" s="4136"/>
      <c r="LBG13" s="4136"/>
      <c r="LBH13" s="4136"/>
      <c r="LBI13" s="4136"/>
      <c r="LBJ13" s="4136"/>
      <c r="LBK13" s="4136"/>
      <c r="LBL13" s="4136"/>
      <c r="LBM13" s="4136"/>
      <c r="LBN13" s="4136"/>
      <c r="LBO13" s="4136"/>
      <c r="LBP13" s="4136"/>
      <c r="LBQ13" s="4136"/>
      <c r="LBR13" s="4136"/>
      <c r="LBS13" s="4136"/>
      <c r="LBT13" s="4136"/>
      <c r="LBU13" s="4136"/>
      <c r="LBV13" s="4136"/>
      <c r="LBW13" s="4136"/>
      <c r="LBX13" s="4136"/>
      <c r="LBY13" s="4136"/>
      <c r="LBZ13" s="4136"/>
      <c r="LCA13" s="4136"/>
      <c r="LCB13" s="4136"/>
      <c r="LCC13" s="4136"/>
      <c r="LCD13" s="4136"/>
      <c r="LCE13" s="4136"/>
      <c r="LCF13" s="4136"/>
      <c r="LCG13" s="4136"/>
      <c r="LCH13" s="4136"/>
      <c r="LCI13" s="4136"/>
      <c r="LCJ13" s="4136"/>
      <c r="LCK13" s="4136"/>
      <c r="LCL13" s="4136"/>
      <c r="LCM13" s="4136"/>
      <c r="LCN13" s="4136"/>
      <c r="LCO13" s="4136"/>
      <c r="LCP13" s="4136"/>
      <c r="LCQ13" s="4136"/>
      <c r="LCR13" s="4136"/>
      <c r="LCS13" s="4136"/>
      <c r="LCT13" s="4136"/>
      <c r="LCU13" s="4136"/>
      <c r="LCV13" s="4136"/>
      <c r="LCW13" s="4136"/>
      <c r="LCX13" s="4136"/>
      <c r="LCY13" s="4136"/>
      <c r="LCZ13" s="4136"/>
      <c r="LDA13" s="4136"/>
      <c r="LDB13" s="4136"/>
      <c r="LDC13" s="4136"/>
      <c r="LDD13" s="4136"/>
      <c r="LDE13" s="4136"/>
      <c r="LDF13" s="4136"/>
      <c r="LDG13" s="4136"/>
      <c r="LDH13" s="4136"/>
      <c r="LDI13" s="4136"/>
      <c r="LDJ13" s="4136"/>
      <c r="LDK13" s="4136"/>
      <c r="LDL13" s="4136"/>
      <c r="LDM13" s="4136"/>
      <c r="LDN13" s="4136"/>
      <c r="LDO13" s="4136"/>
      <c r="LDP13" s="4136"/>
      <c r="LDQ13" s="4136"/>
      <c r="LDR13" s="4136"/>
      <c r="LDS13" s="4136"/>
      <c r="LDT13" s="4136"/>
      <c r="LDU13" s="4136"/>
      <c r="LDV13" s="4136"/>
      <c r="LDW13" s="4136"/>
      <c r="LDX13" s="4136"/>
      <c r="LDY13" s="4136"/>
      <c r="LDZ13" s="4136"/>
      <c r="LEA13" s="4136"/>
      <c r="LEB13" s="4136"/>
      <c r="LEC13" s="4136"/>
      <c r="LED13" s="4136"/>
      <c r="LEE13" s="4136"/>
      <c r="LEF13" s="4136"/>
      <c r="LEG13" s="4136"/>
      <c r="LEH13" s="4136"/>
      <c r="LEI13" s="4136"/>
      <c r="LEJ13" s="4136"/>
      <c r="LEK13" s="4136"/>
      <c r="LEL13" s="4136"/>
      <c r="LEM13" s="4136"/>
      <c r="LEN13" s="4136"/>
      <c r="LEO13" s="4136"/>
      <c r="LEP13" s="4136"/>
      <c r="LEQ13" s="4136"/>
      <c r="LER13" s="4136"/>
      <c r="LES13" s="4136"/>
      <c r="LET13" s="4136"/>
      <c r="LEU13" s="4136"/>
      <c r="LEV13" s="4136"/>
      <c r="LEW13" s="4136"/>
      <c r="LEX13" s="4136"/>
      <c r="LEY13" s="4136"/>
      <c r="LEZ13" s="4136"/>
      <c r="LFA13" s="4136"/>
      <c r="LFB13" s="4136"/>
      <c r="LFC13" s="4136"/>
      <c r="LFD13" s="4136"/>
      <c r="LFE13" s="4136"/>
      <c r="LFF13" s="4136"/>
      <c r="LFG13" s="4136"/>
      <c r="LFH13" s="4136"/>
      <c r="LFI13" s="4136"/>
      <c r="LFJ13" s="4136"/>
      <c r="LFK13" s="4136"/>
      <c r="LFL13" s="4136"/>
      <c r="LFM13" s="4136"/>
      <c r="LFN13" s="4136"/>
      <c r="LFO13" s="4136"/>
      <c r="LFP13" s="4136"/>
      <c r="LFQ13" s="4136"/>
      <c r="LFR13" s="4136"/>
      <c r="LFS13" s="4136"/>
      <c r="LFT13" s="4136"/>
      <c r="LFU13" s="4136"/>
      <c r="LFV13" s="4136"/>
      <c r="LFW13" s="4136"/>
      <c r="LFX13" s="4136"/>
      <c r="LFY13" s="4136"/>
      <c r="LFZ13" s="4136"/>
      <c r="LGA13" s="4136"/>
      <c r="LGB13" s="4136"/>
      <c r="LGC13" s="4136"/>
      <c r="LGD13" s="4136"/>
      <c r="LGE13" s="4136"/>
      <c r="LGF13" s="4136"/>
      <c r="LGG13" s="4136"/>
      <c r="LGH13" s="4136"/>
      <c r="LGI13" s="4136"/>
      <c r="LGJ13" s="4136"/>
      <c r="LGK13" s="4136"/>
      <c r="LGL13" s="4136"/>
      <c r="LGM13" s="4136"/>
      <c r="LGN13" s="4136"/>
      <c r="LGO13" s="4136"/>
      <c r="LGP13" s="4136"/>
      <c r="LGQ13" s="4136"/>
      <c r="LGR13" s="4136"/>
      <c r="LGS13" s="4136"/>
      <c r="LGT13" s="4136"/>
      <c r="LGU13" s="4136"/>
      <c r="LGV13" s="4136"/>
      <c r="LGW13" s="4136"/>
      <c r="LGX13" s="4136"/>
      <c r="LGY13" s="4136"/>
      <c r="LGZ13" s="4136"/>
      <c r="LHA13" s="4136"/>
      <c r="LHB13" s="4136"/>
      <c r="LHC13" s="4136"/>
      <c r="LHD13" s="4136"/>
      <c r="LHE13" s="4136"/>
      <c r="LHF13" s="4136"/>
      <c r="LHG13" s="4136"/>
      <c r="LHH13" s="4136"/>
      <c r="LHI13" s="4136"/>
      <c r="LHJ13" s="4136"/>
      <c r="LHK13" s="4136"/>
      <c r="LHL13" s="4136"/>
      <c r="LHM13" s="4136"/>
      <c r="LHN13" s="4136"/>
      <c r="LHO13" s="4136"/>
      <c r="LHP13" s="4136"/>
      <c r="LHQ13" s="4136"/>
      <c r="LHR13" s="4136"/>
      <c r="LHS13" s="4136"/>
      <c r="LHT13" s="4136"/>
      <c r="LHU13" s="4136"/>
      <c r="LHV13" s="4136"/>
      <c r="LHW13" s="4136"/>
      <c r="LHX13" s="4136"/>
      <c r="LHY13" s="4136"/>
      <c r="LHZ13" s="4136"/>
      <c r="LIA13" s="4136"/>
      <c r="LIB13" s="4136"/>
      <c r="LIC13" s="4136"/>
      <c r="LID13" s="4136"/>
      <c r="LIE13" s="4136"/>
      <c r="LIF13" s="4136"/>
      <c r="LIG13" s="4136"/>
      <c r="LIH13" s="4136"/>
      <c r="LII13" s="4136"/>
      <c r="LIJ13" s="4136"/>
      <c r="LIK13" s="4136"/>
      <c r="LIL13" s="4136"/>
      <c r="LIM13" s="4136"/>
      <c r="LIN13" s="4136"/>
      <c r="LIO13" s="4136"/>
      <c r="LIP13" s="4136"/>
      <c r="LIQ13" s="4136"/>
      <c r="LIR13" s="4136"/>
      <c r="LIS13" s="4136"/>
      <c r="LIT13" s="4136"/>
      <c r="LIU13" s="4136"/>
      <c r="LIV13" s="4136"/>
      <c r="LIW13" s="4136"/>
      <c r="LIX13" s="4136"/>
      <c r="LIY13" s="4136"/>
      <c r="LIZ13" s="4136"/>
      <c r="LJA13" s="4136"/>
      <c r="LJB13" s="4136"/>
      <c r="LJC13" s="4136"/>
      <c r="LJD13" s="4136"/>
      <c r="LJE13" s="4136"/>
      <c r="LJF13" s="4136"/>
      <c r="LJG13" s="4136"/>
      <c r="LJH13" s="4136"/>
      <c r="LJI13" s="4136"/>
      <c r="LJJ13" s="4136"/>
      <c r="LJK13" s="4136"/>
      <c r="LJL13" s="4136"/>
      <c r="LJM13" s="4136"/>
      <c r="LJN13" s="4136"/>
      <c r="LJO13" s="4136"/>
      <c r="LJP13" s="4136"/>
      <c r="LJQ13" s="4136"/>
      <c r="LJR13" s="4136"/>
      <c r="LJS13" s="4136"/>
      <c r="LJT13" s="4136"/>
      <c r="LJU13" s="4136"/>
      <c r="LJV13" s="4136"/>
      <c r="LJW13" s="4136"/>
      <c r="LJX13" s="4136"/>
      <c r="LJY13" s="4136"/>
      <c r="LJZ13" s="4136"/>
      <c r="LKA13" s="4136"/>
      <c r="LKB13" s="4136"/>
      <c r="LKC13" s="4136"/>
      <c r="LKD13" s="4136"/>
      <c r="LKE13" s="4136"/>
      <c r="LKF13" s="4136"/>
      <c r="LKG13" s="4136"/>
      <c r="LKH13" s="4136"/>
      <c r="LKI13" s="4136"/>
      <c r="LKJ13" s="4136"/>
      <c r="LKK13" s="4136"/>
      <c r="LKL13" s="4136"/>
      <c r="LKM13" s="4136"/>
      <c r="LKN13" s="4136"/>
      <c r="LKO13" s="4136"/>
      <c r="LKP13" s="4136"/>
      <c r="LKQ13" s="4136"/>
      <c r="LKR13" s="4136"/>
      <c r="LKS13" s="4136"/>
      <c r="LKT13" s="4136"/>
      <c r="LKU13" s="4136"/>
      <c r="LKV13" s="4136"/>
      <c r="LKW13" s="4136"/>
      <c r="LKX13" s="4136"/>
      <c r="LKY13" s="4136"/>
      <c r="LKZ13" s="4136"/>
      <c r="LLA13" s="4136"/>
      <c r="LLB13" s="4136"/>
      <c r="LLC13" s="4136"/>
      <c r="LLD13" s="4136"/>
      <c r="LLE13" s="4136"/>
      <c r="LLF13" s="4136"/>
      <c r="LLG13" s="4136"/>
      <c r="LLH13" s="4136"/>
      <c r="LLI13" s="4136"/>
      <c r="LLJ13" s="4136"/>
      <c r="LLK13" s="4136"/>
      <c r="LLL13" s="4136"/>
      <c r="LLM13" s="4136"/>
      <c r="LLN13" s="4136"/>
      <c r="LLO13" s="4136"/>
      <c r="LLP13" s="4136"/>
      <c r="LLQ13" s="4136"/>
      <c r="LLR13" s="4136"/>
      <c r="LLS13" s="4136"/>
      <c r="LLT13" s="4136"/>
      <c r="LLU13" s="4136"/>
      <c r="LLV13" s="4136"/>
      <c r="LLW13" s="4136"/>
      <c r="LLX13" s="4136"/>
      <c r="LLY13" s="4136"/>
      <c r="LLZ13" s="4136"/>
      <c r="LMA13" s="4136"/>
      <c r="LMB13" s="4136"/>
      <c r="LMC13" s="4136"/>
      <c r="LMD13" s="4136"/>
      <c r="LME13" s="4136"/>
      <c r="LMF13" s="4136"/>
      <c r="LMG13" s="4136"/>
      <c r="LMH13" s="4136"/>
      <c r="LMI13" s="4136"/>
      <c r="LMJ13" s="4136"/>
      <c r="LMK13" s="4136"/>
      <c r="LML13" s="4136"/>
      <c r="LMM13" s="4136"/>
      <c r="LMN13" s="4136"/>
      <c r="LMO13" s="4136"/>
      <c r="LMP13" s="4136"/>
      <c r="LMQ13" s="4136"/>
      <c r="LMR13" s="4136"/>
      <c r="LMS13" s="4136"/>
      <c r="LMT13" s="4136"/>
      <c r="LMU13" s="4136"/>
      <c r="LMV13" s="4136"/>
      <c r="LMW13" s="4136"/>
      <c r="LMX13" s="4136"/>
      <c r="LMY13" s="4136"/>
      <c r="LMZ13" s="4136"/>
      <c r="LNA13" s="4136"/>
      <c r="LNB13" s="4136"/>
      <c r="LNC13" s="4136"/>
      <c r="LND13" s="4136"/>
      <c r="LNE13" s="4136"/>
      <c r="LNF13" s="4136"/>
      <c r="LNG13" s="4136"/>
      <c r="LNH13" s="4136"/>
      <c r="LNI13" s="4136"/>
      <c r="LNJ13" s="4136"/>
      <c r="LNK13" s="4136"/>
      <c r="LNL13" s="4136"/>
      <c r="LNM13" s="4136"/>
      <c r="LNN13" s="4136"/>
      <c r="LNO13" s="4136"/>
      <c r="LNP13" s="4136"/>
      <c r="LNQ13" s="4136"/>
      <c r="LNR13" s="4136"/>
      <c r="LNS13" s="4136"/>
      <c r="LNT13" s="4136"/>
      <c r="LNU13" s="4136"/>
      <c r="LNV13" s="4136"/>
      <c r="LNW13" s="4136"/>
      <c r="LNX13" s="4136"/>
      <c r="LNY13" s="4136"/>
      <c r="LNZ13" s="4136"/>
      <c r="LOA13" s="4136"/>
      <c r="LOB13" s="4136"/>
      <c r="LOC13" s="4136"/>
      <c r="LOD13" s="4136"/>
      <c r="LOE13" s="4136"/>
      <c r="LOF13" s="4136"/>
      <c r="LOG13" s="4136"/>
      <c r="LOH13" s="4136"/>
      <c r="LOI13" s="4136"/>
      <c r="LOJ13" s="4136"/>
      <c r="LOK13" s="4136"/>
      <c r="LOL13" s="4136"/>
      <c r="LOM13" s="4136"/>
      <c r="LON13" s="4136"/>
      <c r="LOO13" s="4136"/>
      <c r="LOP13" s="4136"/>
      <c r="LOQ13" s="4136"/>
      <c r="LOR13" s="4136"/>
      <c r="LOS13" s="4136"/>
      <c r="LOT13" s="4136"/>
      <c r="LOU13" s="4136"/>
      <c r="LOV13" s="4136"/>
      <c r="LOW13" s="4136"/>
      <c r="LOX13" s="4136"/>
      <c r="LOY13" s="4136"/>
      <c r="LOZ13" s="4136"/>
      <c r="LPA13" s="4136"/>
      <c r="LPB13" s="4136"/>
      <c r="LPC13" s="4136"/>
      <c r="LPD13" s="4136"/>
      <c r="LPE13" s="4136"/>
      <c r="LPF13" s="4136"/>
      <c r="LPG13" s="4136"/>
      <c r="LPH13" s="4136"/>
      <c r="LPI13" s="4136"/>
      <c r="LPJ13" s="4136"/>
      <c r="LPK13" s="4136"/>
      <c r="LPL13" s="4136"/>
      <c r="LPM13" s="4136"/>
      <c r="LPN13" s="4136"/>
      <c r="LPO13" s="4136"/>
      <c r="LPP13" s="4136"/>
      <c r="LPQ13" s="4136"/>
      <c r="LPR13" s="4136"/>
      <c r="LPS13" s="4136"/>
      <c r="LPT13" s="4136"/>
      <c r="LPU13" s="4136"/>
      <c r="LPV13" s="4136"/>
      <c r="LPW13" s="4136"/>
      <c r="LPX13" s="4136"/>
      <c r="LPY13" s="4136"/>
      <c r="LPZ13" s="4136"/>
      <c r="LQA13" s="4136"/>
      <c r="LQB13" s="4136"/>
      <c r="LQC13" s="4136"/>
      <c r="LQD13" s="4136"/>
      <c r="LQE13" s="4136"/>
      <c r="LQF13" s="4136"/>
      <c r="LQG13" s="4136"/>
      <c r="LQH13" s="4136"/>
      <c r="LQI13" s="4136"/>
      <c r="LQJ13" s="4136"/>
      <c r="LQK13" s="4136"/>
      <c r="LQL13" s="4136"/>
      <c r="LQM13" s="4136"/>
      <c r="LQN13" s="4136"/>
      <c r="LQO13" s="4136"/>
      <c r="LQP13" s="4136"/>
      <c r="LQQ13" s="4136"/>
      <c r="LQR13" s="4136"/>
      <c r="LQS13" s="4136"/>
      <c r="LQT13" s="4136"/>
      <c r="LQU13" s="4136"/>
      <c r="LQV13" s="4136"/>
      <c r="LQW13" s="4136"/>
      <c r="LQX13" s="4136"/>
      <c r="LQY13" s="4136"/>
      <c r="LQZ13" s="4136"/>
      <c r="LRA13" s="4136"/>
      <c r="LRB13" s="4136"/>
      <c r="LRC13" s="4136"/>
      <c r="LRD13" s="4136"/>
      <c r="LRE13" s="4136"/>
      <c r="LRF13" s="4136"/>
      <c r="LRG13" s="4136"/>
      <c r="LRH13" s="4136"/>
      <c r="LRI13" s="4136"/>
      <c r="LRJ13" s="4136"/>
      <c r="LRK13" s="4136"/>
      <c r="LRL13" s="4136"/>
      <c r="LRM13" s="4136"/>
      <c r="LRN13" s="4136"/>
      <c r="LRO13" s="4136"/>
      <c r="LRP13" s="4136"/>
      <c r="LRQ13" s="4136"/>
      <c r="LRR13" s="4136"/>
      <c r="LRS13" s="4136"/>
      <c r="LRT13" s="4136"/>
      <c r="LRU13" s="4136"/>
      <c r="LRV13" s="4136"/>
      <c r="LRW13" s="4136"/>
      <c r="LRX13" s="4136"/>
      <c r="LRY13" s="4136"/>
      <c r="LRZ13" s="4136"/>
      <c r="LSA13" s="4136"/>
      <c r="LSB13" s="4136"/>
      <c r="LSC13" s="4136"/>
      <c r="LSD13" s="4136"/>
      <c r="LSE13" s="4136"/>
      <c r="LSF13" s="4136"/>
      <c r="LSG13" s="4136"/>
      <c r="LSH13" s="4136"/>
      <c r="LSI13" s="4136"/>
      <c r="LSJ13" s="4136"/>
      <c r="LSK13" s="4136"/>
      <c r="LSL13" s="4136"/>
      <c r="LSM13" s="4136"/>
      <c r="LSN13" s="4136"/>
      <c r="LSO13" s="4136"/>
      <c r="LSP13" s="4136"/>
      <c r="LSQ13" s="4136"/>
      <c r="LSR13" s="4136"/>
      <c r="LSS13" s="4136"/>
      <c r="LST13" s="4136"/>
      <c r="LSU13" s="4136"/>
      <c r="LSV13" s="4136"/>
      <c r="LSW13" s="4136"/>
      <c r="LSX13" s="4136"/>
      <c r="LSY13" s="4136"/>
      <c r="LSZ13" s="4136"/>
      <c r="LTA13" s="4136"/>
      <c r="LTB13" s="4136"/>
      <c r="LTC13" s="4136"/>
      <c r="LTD13" s="4136"/>
      <c r="LTE13" s="4136"/>
      <c r="LTF13" s="4136"/>
      <c r="LTG13" s="4136"/>
      <c r="LTH13" s="4136"/>
      <c r="LTI13" s="4136"/>
      <c r="LTJ13" s="4136"/>
      <c r="LTK13" s="4136"/>
      <c r="LTL13" s="4136"/>
      <c r="LTM13" s="4136"/>
      <c r="LTN13" s="4136"/>
      <c r="LTO13" s="4136"/>
      <c r="LTP13" s="4136"/>
      <c r="LTQ13" s="4136"/>
      <c r="LTR13" s="4136"/>
      <c r="LTS13" s="4136"/>
      <c r="LTT13" s="4136"/>
      <c r="LTU13" s="4136"/>
      <c r="LTV13" s="4136"/>
      <c r="LTW13" s="4136"/>
      <c r="LTX13" s="4136"/>
      <c r="LTY13" s="4136"/>
      <c r="LTZ13" s="4136"/>
      <c r="LUA13" s="4136"/>
      <c r="LUB13" s="4136"/>
      <c r="LUC13" s="4136"/>
      <c r="LUD13" s="4136"/>
      <c r="LUE13" s="4136"/>
      <c r="LUF13" s="4136"/>
      <c r="LUG13" s="4136"/>
      <c r="LUH13" s="4136"/>
      <c r="LUI13" s="4136"/>
      <c r="LUJ13" s="4136"/>
      <c r="LUK13" s="4136"/>
      <c r="LUL13" s="4136"/>
      <c r="LUM13" s="4136"/>
      <c r="LUN13" s="4136"/>
      <c r="LUO13" s="4136"/>
      <c r="LUP13" s="4136"/>
      <c r="LUQ13" s="4136"/>
      <c r="LUR13" s="4136"/>
      <c r="LUS13" s="4136"/>
      <c r="LUT13" s="4136"/>
      <c r="LUU13" s="4136"/>
      <c r="LUV13" s="4136"/>
      <c r="LUW13" s="4136"/>
      <c r="LUX13" s="4136"/>
      <c r="LUY13" s="4136"/>
      <c r="LUZ13" s="4136"/>
      <c r="LVA13" s="4136"/>
      <c r="LVB13" s="4136"/>
      <c r="LVC13" s="4136"/>
      <c r="LVD13" s="4136"/>
      <c r="LVE13" s="4136"/>
      <c r="LVF13" s="4136"/>
      <c r="LVG13" s="4136"/>
      <c r="LVH13" s="4136"/>
      <c r="LVI13" s="4136"/>
      <c r="LVJ13" s="4136"/>
      <c r="LVK13" s="4136"/>
      <c r="LVL13" s="4136"/>
      <c r="LVM13" s="4136"/>
      <c r="LVN13" s="4136"/>
      <c r="LVO13" s="4136"/>
      <c r="LVP13" s="4136"/>
      <c r="LVQ13" s="4136"/>
      <c r="LVR13" s="4136"/>
      <c r="LVS13" s="4136"/>
      <c r="LVT13" s="4136"/>
      <c r="LVU13" s="4136"/>
      <c r="LVV13" s="4136"/>
      <c r="LVW13" s="4136"/>
      <c r="LVX13" s="4136"/>
      <c r="LVY13" s="4136"/>
      <c r="LVZ13" s="4136"/>
      <c r="LWA13" s="4136"/>
      <c r="LWB13" s="4136"/>
      <c r="LWC13" s="4136"/>
      <c r="LWD13" s="4136"/>
      <c r="LWE13" s="4136"/>
      <c r="LWF13" s="4136"/>
      <c r="LWG13" s="4136"/>
      <c r="LWH13" s="4136"/>
      <c r="LWI13" s="4136"/>
      <c r="LWJ13" s="4136"/>
      <c r="LWK13" s="4136"/>
      <c r="LWL13" s="4136"/>
      <c r="LWM13" s="4136"/>
      <c r="LWN13" s="4136"/>
      <c r="LWO13" s="4136"/>
      <c r="LWP13" s="4136"/>
      <c r="LWQ13" s="4136"/>
      <c r="LWR13" s="4136"/>
      <c r="LWS13" s="4136"/>
      <c r="LWT13" s="4136"/>
      <c r="LWU13" s="4136"/>
      <c r="LWV13" s="4136"/>
      <c r="LWW13" s="4136"/>
      <c r="LWX13" s="4136"/>
      <c r="LWY13" s="4136"/>
      <c r="LWZ13" s="4136"/>
      <c r="LXA13" s="4136"/>
      <c r="LXB13" s="4136"/>
      <c r="LXC13" s="4136"/>
      <c r="LXD13" s="4136"/>
      <c r="LXE13" s="4136"/>
      <c r="LXF13" s="4136"/>
      <c r="LXG13" s="4136"/>
      <c r="LXH13" s="4136"/>
      <c r="LXI13" s="4136"/>
      <c r="LXJ13" s="4136"/>
      <c r="LXK13" s="4136"/>
      <c r="LXL13" s="4136"/>
      <c r="LXM13" s="4136"/>
      <c r="LXN13" s="4136"/>
      <c r="LXO13" s="4136"/>
      <c r="LXP13" s="4136"/>
      <c r="LXQ13" s="4136"/>
      <c r="LXR13" s="4136"/>
      <c r="LXS13" s="4136"/>
      <c r="LXT13" s="4136"/>
      <c r="LXU13" s="4136"/>
      <c r="LXV13" s="4136"/>
      <c r="LXW13" s="4136"/>
      <c r="LXX13" s="4136"/>
      <c r="LXY13" s="4136"/>
      <c r="LXZ13" s="4136"/>
      <c r="LYA13" s="4136"/>
      <c r="LYB13" s="4136"/>
      <c r="LYC13" s="4136"/>
      <c r="LYD13" s="4136"/>
      <c r="LYE13" s="4136"/>
      <c r="LYF13" s="4136"/>
      <c r="LYG13" s="4136"/>
      <c r="LYH13" s="4136"/>
      <c r="LYI13" s="4136"/>
      <c r="LYJ13" s="4136"/>
      <c r="LYK13" s="4136"/>
      <c r="LYL13" s="4136"/>
      <c r="LYM13" s="4136"/>
      <c r="LYN13" s="4136"/>
      <c r="LYO13" s="4136"/>
      <c r="LYP13" s="4136"/>
      <c r="LYQ13" s="4136"/>
      <c r="LYR13" s="4136"/>
      <c r="LYS13" s="4136"/>
      <c r="LYT13" s="4136"/>
      <c r="LYU13" s="4136"/>
      <c r="LYV13" s="4136"/>
      <c r="LYW13" s="4136"/>
      <c r="LYX13" s="4136"/>
      <c r="LYY13" s="4136"/>
      <c r="LYZ13" s="4136"/>
      <c r="LZA13" s="4136"/>
      <c r="LZB13" s="4136"/>
      <c r="LZC13" s="4136"/>
      <c r="LZD13" s="4136"/>
      <c r="LZE13" s="4136"/>
      <c r="LZF13" s="4136"/>
      <c r="LZG13" s="4136"/>
      <c r="LZH13" s="4136"/>
      <c r="LZI13" s="4136"/>
      <c r="LZJ13" s="4136"/>
      <c r="LZK13" s="4136"/>
      <c r="LZL13" s="4136"/>
      <c r="LZM13" s="4136"/>
      <c r="LZN13" s="4136"/>
      <c r="LZO13" s="4136"/>
      <c r="LZP13" s="4136"/>
      <c r="LZQ13" s="4136"/>
      <c r="LZR13" s="4136"/>
      <c r="LZS13" s="4136"/>
      <c r="LZT13" s="4136"/>
      <c r="LZU13" s="4136"/>
      <c r="LZV13" s="4136"/>
      <c r="LZW13" s="4136"/>
      <c r="LZX13" s="4136"/>
      <c r="LZY13" s="4136"/>
      <c r="LZZ13" s="4136"/>
      <c r="MAA13" s="4136"/>
      <c r="MAB13" s="4136"/>
      <c r="MAC13" s="4136"/>
      <c r="MAD13" s="4136"/>
      <c r="MAE13" s="4136"/>
      <c r="MAF13" s="4136"/>
      <c r="MAG13" s="4136"/>
      <c r="MAH13" s="4136"/>
      <c r="MAI13" s="4136"/>
      <c r="MAJ13" s="4136"/>
      <c r="MAK13" s="4136"/>
      <c r="MAL13" s="4136"/>
      <c r="MAM13" s="4136"/>
      <c r="MAN13" s="4136"/>
      <c r="MAO13" s="4136"/>
      <c r="MAP13" s="4136"/>
      <c r="MAQ13" s="4136"/>
      <c r="MAR13" s="4136"/>
      <c r="MAS13" s="4136"/>
      <c r="MAT13" s="4136"/>
      <c r="MAU13" s="4136"/>
      <c r="MAV13" s="4136"/>
      <c r="MAW13" s="4136"/>
      <c r="MAX13" s="4136"/>
      <c r="MAY13" s="4136"/>
      <c r="MAZ13" s="4136"/>
      <c r="MBA13" s="4136"/>
      <c r="MBB13" s="4136"/>
      <c r="MBC13" s="4136"/>
      <c r="MBD13" s="4136"/>
      <c r="MBE13" s="4136"/>
      <c r="MBF13" s="4136"/>
      <c r="MBG13" s="4136"/>
      <c r="MBH13" s="4136"/>
      <c r="MBI13" s="4136"/>
      <c r="MBJ13" s="4136"/>
      <c r="MBK13" s="4136"/>
      <c r="MBL13" s="4136"/>
      <c r="MBM13" s="4136"/>
      <c r="MBN13" s="4136"/>
      <c r="MBO13" s="4136"/>
      <c r="MBP13" s="4136"/>
      <c r="MBQ13" s="4136"/>
      <c r="MBR13" s="4136"/>
      <c r="MBS13" s="4136"/>
      <c r="MBT13" s="4136"/>
      <c r="MBU13" s="4136"/>
      <c r="MBV13" s="4136"/>
      <c r="MBW13" s="4136"/>
      <c r="MBX13" s="4136"/>
      <c r="MBY13" s="4136"/>
      <c r="MBZ13" s="4136"/>
      <c r="MCA13" s="4136"/>
      <c r="MCB13" s="4136"/>
      <c r="MCC13" s="4136"/>
      <c r="MCD13" s="4136"/>
      <c r="MCE13" s="4136"/>
      <c r="MCF13" s="4136"/>
      <c r="MCG13" s="4136"/>
      <c r="MCH13" s="4136"/>
      <c r="MCI13" s="4136"/>
      <c r="MCJ13" s="4136"/>
      <c r="MCK13" s="4136"/>
      <c r="MCL13" s="4136"/>
      <c r="MCM13" s="4136"/>
      <c r="MCN13" s="4136"/>
      <c r="MCO13" s="4136"/>
      <c r="MCP13" s="4136"/>
      <c r="MCQ13" s="4136"/>
      <c r="MCR13" s="4136"/>
      <c r="MCS13" s="4136"/>
      <c r="MCT13" s="4136"/>
      <c r="MCU13" s="4136"/>
      <c r="MCV13" s="4136"/>
      <c r="MCW13" s="4136"/>
      <c r="MCX13" s="4136"/>
      <c r="MCY13" s="4136"/>
      <c r="MCZ13" s="4136"/>
      <c r="MDA13" s="4136"/>
      <c r="MDB13" s="4136"/>
      <c r="MDC13" s="4136"/>
      <c r="MDD13" s="4136"/>
      <c r="MDE13" s="4136"/>
      <c r="MDF13" s="4136"/>
      <c r="MDG13" s="4136"/>
      <c r="MDH13" s="4136"/>
      <c r="MDI13" s="4136"/>
      <c r="MDJ13" s="4136"/>
      <c r="MDK13" s="4136"/>
      <c r="MDL13" s="4136"/>
      <c r="MDM13" s="4136"/>
      <c r="MDN13" s="4136"/>
      <c r="MDO13" s="4136"/>
      <c r="MDP13" s="4136"/>
      <c r="MDQ13" s="4136"/>
      <c r="MDR13" s="4136"/>
      <c r="MDS13" s="4136"/>
      <c r="MDT13" s="4136"/>
      <c r="MDU13" s="4136"/>
      <c r="MDV13" s="4136"/>
      <c r="MDW13" s="4136"/>
      <c r="MDX13" s="4136"/>
      <c r="MDY13" s="4136"/>
      <c r="MDZ13" s="4136"/>
      <c r="MEA13" s="4136"/>
      <c r="MEB13" s="4136"/>
      <c r="MEC13" s="4136"/>
      <c r="MED13" s="4136"/>
      <c r="MEE13" s="4136"/>
      <c r="MEF13" s="4136"/>
      <c r="MEG13" s="4136"/>
      <c r="MEH13" s="4136"/>
      <c r="MEI13" s="4136"/>
      <c r="MEJ13" s="4136"/>
      <c r="MEK13" s="4136"/>
      <c r="MEL13" s="4136"/>
      <c r="MEM13" s="4136"/>
      <c r="MEN13" s="4136"/>
      <c r="MEO13" s="4136"/>
      <c r="MEP13" s="4136"/>
      <c r="MEQ13" s="4136"/>
      <c r="MER13" s="4136"/>
      <c r="MES13" s="4136"/>
      <c r="MET13" s="4136"/>
      <c r="MEU13" s="4136"/>
      <c r="MEV13" s="4136"/>
      <c r="MEW13" s="4136"/>
      <c r="MEX13" s="4136"/>
      <c r="MEY13" s="4136"/>
      <c r="MEZ13" s="4136"/>
      <c r="MFA13" s="4136"/>
      <c r="MFB13" s="4136"/>
      <c r="MFC13" s="4136"/>
      <c r="MFD13" s="4136"/>
      <c r="MFE13" s="4136"/>
      <c r="MFF13" s="4136"/>
      <c r="MFG13" s="4136"/>
      <c r="MFH13" s="4136"/>
      <c r="MFI13" s="4136"/>
      <c r="MFJ13" s="4136"/>
      <c r="MFK13" s="4136"/>
      <c r="MFL13" s="4136"/>
      <c r="MFM13" s="4136"/>
      <c r="MFN13" s="4136"/>
      <c r="MFO13" s="4136"/>
      <c r="MFP13" s="4136"/>
      <c r="MFQ13" s="4136"/>
      <c r="MFR13" s="4136"/>
      <c r="MFS13" s="4136"/>
      <c r="MFT13" s="4136"/>
      <c r="MFU13" s="4136"/>
      <c r="MFV13" s="4136"/>
      <c r="MFW13" s="4136"/>
      <c r="MFX13" s="4136"/>
      <c r="MFY13" s="4136"/>
      <c r="MFZ13" s="4136"/>
      <c r="MGA13" s="4136"/>
      <c r="MGB13" s="4136"/>
      <c r="MGC13" s="4136"/>
      <c r="MGD13" s="4136"/>
      <c r="MGE13" s="4136"/>
      <c r="MGF13" s="4136"/>
      <c r="MGG13" s="4136"/>
      <c r="MGH13" s="4136"/>
      <c r="MGI13" s="4136"/>
      <c r="MGJ13" s="4136"/>
      <c r="MGK13" s="4136"/>
      <c r="MGL13" s="4136"/>
      <c r="MGM13" s="4136"/>
      <c r="MGN13" s="4136"/>
      <c r="MGO13" s="4136"/>
      <c r="MGP13" s="4136"/>
      <c r="MGQ13" s="4136"/>
      <c r="MGR13" s="4136"/>
      <c r="MGS13" s="4136"/>
      <c r="MGT13" s="4136"/>
      <c r="MGU13" s="4136"/>
      <c r="MGV13" s="4136"/>
      <c r="MGW13" s="4136"/>
      <c r="MGX13" s="4136"/>
      <c r="MGY13" s="4136"/>
      <c r="MGZ13" s="4136"/>
      <c r="MHA13" s="4136"/>
      <c r="MHB13" s="4136"/>
      <c r="MHC13" s="4136"/>
      <c r="MHD13" s="4136"/>
      <c r="MHE13" s="4136"/>
      <c r="MHF13" s="4136"/>
      <c r="MHG13" s="4136"/>
      <c r="MHH13" s="4136"/>
      <c r="MHI13" s="4136"/>
      <c r="MHJ13" s="4136"/>
      <c r="MHK13" s="4136"/>
      <c r="MHL13" s="4136"/>
      <c r="MHM13" s="4136"/>
      <c r="MHN13" s="4136"/>
      <c r="MHO13" s="4136"/>
      <c r="MHP13" s="4136"/>
      <c r="MHQ13" s="4136"/>
      <c r="MHR13" s="4136"/>
      <c r="MHS13" s="4136"/>
      <c r="MHT13" s="4136"/>
      <c r="MHU13" s="4136"/>
      <c r="MHV13" s="4136"/>
      <c r="MHW13" s="4136"/>
      <c r="MHX13" s="4136"/>
      <c r="MHY13" s="4136"/>
      <c r="MHZ13" s="4136"/>
      <c r="MIA13" s="4136"/>
      <c r="MIB13" s="4136"/>
      <c r="MIC13" s="4136"/>
      <c r="MID13" s="4136"/>
      <c r="MIE13" s="4136"/>
      <c r="MIF13" s="4136"/>
      <c r="MIG13" s="4136"/>
      <c r="MIH13" s="4136"/>
      <c r="MII13" s="4136"/>
      <c r="MIJ13" s="4136"/>
      <c r="MIK13" s="4136"/>
      <c r="MIL13" s="4136"/>
      <c r="MIM13" s="4136"/>
      <c r="MIN13" s="4136"/>
      <c r="MIO13" s="4136"/>
      <c r="MIP13" s="4136"/>
      <c r="MIQ13" s="4136"/>
      <c r="MIR13" s="4136"/>
      <c r="MIS13" s="4136"/>
      <c r="MIT13" s="4136"/>
      <c r="MIU13" s="4136"/>
      <c r="MIV13" s="4136"/>
      <c r="MIW13" s="4136"/>
      <c r="MIX13" s="4136"/>
      <c r="MIY13" s="4136"/>
      <c r="MIZ13" s="4136"/>
      <c r="MJA13" s="4136"/>
      <c r="MJB13" s="4136"/>
      <c r="MJC13" s="4136"/>
      <c r="MJD13" s="4136"/>
      <c r="MJE13" s="4136"/>
      <c r="MJF13" s="4136"/>
      <c r="MJG13" s="4136"/>
      <c r="MJH13" s="4136"/>
      <c r="MJI13" s="4136"/>
      <c r="MJJ13" s="4136"/>
      <c r="MJK13" s="4136"/>
      <c r="MJL13" s="4136"/>
      <c r="MJM13" s="4136"/>
      <c r="MJN13" s="4136"/>
      <c r="MJO13" s="4136"/>
      <c r="MJP13" s="4136"/>
      <c r="MJQ13" s="4136"/>
      <c r="MJR13" s="4136"/>
      <c r="MJS13" s="4136"/>
      <c r="MJT13" s="4136"/>
      <c r="MJU13" s="4136"/>
      <c r="MJV13" s="4136"/>
      <c r="MJW13" s="4136"/>
      <c r="MJX13" s="4136"/>
      <c r="MJY13" s="4136"/>
      <c r="MJZ13" s="4136"/>
      <c r="MKA13" s="4136"/>
      <c r="MKB13" s="4136"/>
      <c r="MKC13" s="4136"/>
      <c r="MKD13" s="4136"/>
      <c r="MKE13" s="4136"/>
      <c r="MKF13" s="4136"/>
      <c r="MKG13" s="4136"/>
      <c r="MKH13" s="4136"/>
      <c r="MKI13" s="4136"/>
      <c r="MKJ13" s="4136"/>
      <c r="MKK13" s="4136"/>
      <c r="MKL13" s="4136"/>
      <c r="MKM13" s="4136"/>
      <c r="MKN13" s="4136"/>
      <c r="MKO13" s="4136"/>
      <c r="MKP13" s="4136"/>
      <c r="MKQ13" s="4136"/>
      <c r="MKR13" s="4136"/>
      <c r="MKS13" s="4136"/>
      <c r="MKT13" s="4136"/>
      <c r="MKU13" s="4136"/>
      <c r="MKV13" s="4136"/>
      <c r="MKW13" s="4136"/>
      <c r="MKX13" s="4136"/>
      <c r="MKY13" s="4136"/>
      <c r="MKZ13" s="4136"/>
      <c r="MLA13" s="4136"/>
      <c r="MLB13" s="4136"/>
      <c r="MLC13" s="4136"/>
      <c r="MLD13" s="4136"/>
      <c r="MLE13" s="4136"/>
      <c r="MLF13" s="4136"/>
      <c r="MLG13" s="4136"/>
      <c r="MLH13" s="4136"/>
      <c r="MLI13" s="4136"/>
      <c r="MLJ13" s="4136"/>
      <c r="MLK13" s="4136"/>
      <c r="MLL13" s="4136"/>
      <c r="MLM13" s="4136"/>
      <c r="MLN13" s="4136"/>
      <c r="MLO13" s="4136"/>
      <c r="MLP13" s="4136"/>
      <c r="MLQ13" s="4136"/>
      <c r="MLR13" s="4136"/>
      <c r="MLS13" s="4136"/>
      <c r="MLT13" s="4136"/>
      <c r="MLU13" s="4136"/>
      <c r="MLV13" s="4136"/>
      <c r="MLW13" s="4136"/>
      <c r="MLX13" s="4136"/>
      <c r="MLY13" s="4136"/>
      <c r="MLZ13" s="4136"/>
      <c r="MMA13" s="4136"/>
      <c r="MMB13" s="4136"/>
      <c r="MMC13" s="4136"/>
      <c r="MMD13" s="4136"/>
      <c r="MME13" s="4136"/>
      <c r="MMF13" s="4136"/>
      <c r="MMG13" s="4136"/>
      <c r="MMH13" s="4136"/>
      <c r="MMI13" s="4136"/>
      <c r="MMJ13" s="4136"/>
      <c r="MMK13" s="4136"/>
      <c r="MML13" s="4136"/>
      <c r="MMM13" s="4136"/>
      <c r="MMN13" s="4136"/>
      <c r="MMO13" s="4136"/>
      <c r="MMP13" s="4136"/>
      <c r="MMQ13" s="4136"/>
      <c r="MMR13" s="4136"/>
      <c r="MMS13" s="4136"/>
      <c r="MMT13" s="4136"/>
      <c r="MMU13" s="4136"/>
      <c r="MMV13" s="4136"/>
      <c r="MMW13" s="4136"/>
      <c r="MMX13" s="4136"/>
      <c r="MMY13" s="4136"/>
      <c r="MMZ13" s="4136"/>
      <c r="MNA13" s="4136"/>
      <c r="MNB13" s="4136"/>
      <c r="MNC13" s="4136"/>
      <c r="MND13" s="4136"/>
      <c r="MNE13" s="4136"/>
      <c r="MNF13" s="4136"/>
      <c r="MNG13" s="4136"/>
      <c r="MNH13" s="4136"/>
      <c r="MNI13" s="4136"/>
      <c r="MNJ13" s="4136"/>
      <c r="MNK13" s="4136"/>
      <c r="MNL13" s="4136"/>
      <c r="MNM13" s="4136"/>
      <c r="MNN13" s="4136"/>
      <c r="MNO13" s="4136"/>
      <c r="MNP13" s="4136"/>
      <c r="MNQ13" s="4136"/>
      <c r="MNR13" s="4136"/>
      <c r="MNS13" s="4136"/>
      <c r="MNT13" s="4136"/>
      <c r="MNU13" s="4136"/>
      <c r="MNV13" s="4136"/>
      <c r="MNW13" s="4136"/>
      <c r="MNX13" s="4136"/>
      <c r="MNY13" s="4136"/>
      <c r="MNZ13" s="4136"/>
      <c r="MOA13" s="4136"/>
      <c r="MOB13" s="4136"/>
      <c r="MOC13" s="4136"/>
      <c r="MOD13" s="4136"/>
      <c r="MOE13" s="4136"/>
      <c r="MOF13" s="4136"/>
      <c r="MOG13" s="4136"/>
      <c r="MOH13" s="4136"/>
      <c r="MOI13" s="4136"/>
      <c r="MOJ13" s="4136"/>
      <c r="MOK13" s="4136"/>
      <c r="MOL13" s="4136"/>
      <c r="MOM13" s="4136"/>
      <c r="MON13" s="4136"/>
      <c r="MOO13" s="4136"/>
      <c r="MOP13" s="4136"/>
      <c r="MOQ13" s="4136"/>
      <c r="MOR13" s="4136"/>
      <c r="MOS13" s="4136"/>
      <c r="MOT13" s="4136"/>
      <c r="MOU13" s="4136"/>
      <c r="MOV13" s="4136"/>
      <c r="MOW13" s="4136"/>
      <c r="MOX13" s="4136"/>
      <c r="MOY13" s="4136"/>
      <c r="MOZ13" s="4136"/>
      <c r="MPA13" s="4136"/>
      <c r="MPB13" s="4136"/>
      <c r="MPC13" s="4136"/>
      <c r="MPD13" s="4136"/>
      <c r="MPE13" s="4136"/>
      <c r="MPF13" s="4136"/>
      <c r="MPG13" s="4136"/>
      <c r="MPH13" s="4136"/>
      <c r="MPI13" s="4136"/>
      <c r="MPJ13" s="4136"/>
      <c r="MPK13" s="4136"/>
      <c r="MPL13" s="4136"/>
      <c r="MPM13" s="4136"/>
      <c r="MPN13" s="4136"/>
      <c r="MPO13" s="4136"/>
      <c r="MPP13" s="4136"/>
      <c r="MPQ13" s="4136"/>
      <c r="MPR13" s="4136"/>
      <c r="MPS13" s="4136"/>
      <c r="MPT13" s="4136"/>
      <c r="MPU13" s="4136"/>
      <c r="MPV13" s="4136"/>
      <c r="MPW13" s="4136"/>
      <c r="MPX13" s="4136"/>
      <c r="MPY13" s="4136"/>
      <c r="MPZ13" s="4136"/>
      <c r="MQA13" s="4136"/>
      <c r="MQB13" s="4136"/>
      <c r="MQC13" s="4136"/>
      <c r="MQD13" s="4136"/>
      <c r="MQE13" s="4136"/>
      <c r="MQF13" s="4136"/>
      <c r="MQG13" s="4136"/>
      <c r="MQH13" s="4136"/>
      <c r="MQI13" s="4136"/>
      <c r="MQJ13" s="4136"/>
      <c r="MQK13" s="4136"/>
      <c r="MQL13" s="4136"/>
      <c r="MQM13" s="4136"/>
      <c r="MQN13" s="4136"/>
      <c r="MQO13" s="4136"/>
      <c r="MQP13" s="4136"/>
      <c r="MQQ13" s="4136"/>
      <c r="MQR13" s="4136"/>
      <c r="MQS13" s="4136"/>
      <c r="MQT13" s="4136"/>
      <c r="MQU13" s="4136"/>
      <c r="MQV13" s="4136"/>
      <c r="MQW13" s="4136"/>
      <c r="MQX13" s="4136"/>
      <c r="MQY13" s="4136"/>
      <c r="MQZ13" s="4136"/>
      <c r="MRA13" s="4136"/>
      <c r="MRB13" s="4136"/>
      <c r="MRC13" s="4136"/>
      <c r="MRD13" s="4136"/>
      <c r="MRE13" s="4136"/>
      <c r="MRF13" s="4136"/>
      <c r="MRG13" s="4136"/>
      <c r="MRH13" s="4136"/>
      <c r="MRI13" s="4136"/>
      <c r="MRJ13" s="4136"/>
      <c r="MRK13" s="4136"/>
      <c r="MRL13" s="4136"/>
      <c r="MRM13" s="4136"/>
      <c r="MRN13" s="4136"/>
      <c r="MRO13" s="4136"/>
      <c r="MRP13" s="4136"/>
      <c r="MRQ13" s="4136"/>
      <c r="MRR13" s="4136"/>
      <c r="MRS13" s="4136"/>
      <c r="MRT13" s="4136"/>
      <c r="MRU13" s="4136"/>
      <c r="MRV13" s="4136"/>
      <c r="MRW13" s="4136"/>
      <c r="MRX13" s="4136"/>
      <c r="MRY13" s="4136"/>
      <c r="MRZ13" s="4136"/>
      <c r="MSA13" s="4136"/>
      <c r="MSB13" s="4136"/>
      <c r="MSC13" s="4136"/>
      <c r="MSD13" s="4136"/>
      <c r="MSE13" s="4136"/>
      <c r="MSF13" s="4136"/>
      <c r="MSG13" s="4136"/>
      <c r="MSH13" s="4136"/>
      <c r="MSI13" s="4136"/>
      <c r="MSJ13" s="4136"/>
      <c r="MSK13" s="4136"/>
      <c r="MSL13" s="4136"/>
      <c r="MSM13" s="4136"/>
      <c r="MSN13" s="4136"/>
      <c r="MSO13" s="4136"/>
      <c r="MSP13" s="4136"/>
      <c r="MSQ13" s="4136"/>
      <c r="MSR13" s="4136"/>
      <c r="MSS13" s="4136"/>
      <c r="MST13" s="4136"/>
      <c r="MSU13" s="4136"/>
      <c r="MSV13" s="4136"/>
      <c r="MSW13" s="4136"/>
      <c r="MSX13" s="4136"/>
      <c r="MSY13" s="4136"/>
      <c r="MSZ13" s="4136"/>
      <c r="MTA13" s="4136"/>
      <c r="MTB13" s="4136"/>
      <c r="MTC13" s="4136"/>
      <c r="MTD13" s="4136"/>
      <c r="MTE13" s="4136"/>
      <c r="MTF13" s="4136"/>
      <c r="MTG13" s="4136"/>
      <c r="MTH13" s="4136"/>
      <c r="MTI13" s="4136"/>
      <c r="MTJ13" s="4136"/>
      <c r="MTK13" s="4136"/>
      <c r="MTL13" s="4136"/>
      <c r="MTM13" s="4136"/>
      <c r="MTN13" s="4136"/>
      <c r="MTO13" s="4136"/>
      <c r="MTP13" s="4136"/>
      <c r="MTQ13" s="4136"/>
      <c r="MTR13" s="4136"/>
      <c r="MTS13" s="4136"/>
      <c r="MTT13" s="4136"/>
      <c r="MTU13" s="4136"/>
      <c r="MTV13" s="4136"/>
      <c r="MTW13" s="4136"/>
      <c r="MTX13" s="4136"/>
      <c r="MTY13" s="4136"/>
      <c r="MTZ13" s="4136"/>
      <c r="MUA13" s="4136"/>
      <c r="MUB13" s="4136"/>
      <c r="MUC13" s="4136"/>
      <c r="MUD13" s="4136"/>
      <c r="MUE13" s="4136"/>
      <c r="MUF13" s="4136"/>
      <c r="MUG13" s="4136"/>
      <c r="MUH13" s="4136"/>
      <c r="MUI13" s="4136"/>
      <c r="MUJ13" s="4136"/>
      <c r="MUK13" s="4136"/>
      <c r="MUL13" s="4136"/>
      <c r="MUM13" s="4136"/>
      <c r="MUN13" s="4136"/>
      <c r="MUO13" s="4136"/>
      <c r="MUP13" s="4136"/>
      <c r="MUQ13" s="4136"/>
      <c r="MUR13" s="4136"/>
      <c r="MUS13" s="4136"/>
      <c r="MUT13" s="4136"/>
      <c r="MUU13" s="4136"/>
      <c r="MUV13" s="4136"/>
      <c r="MUW13" s="4136"/>
      <c r="MUX13" s="4136"/>
      <c r="MUY13" s="4136"/>
      <c r="MUZ13" s="4136"/>
      <c r="MVA13" s="4136"/>
      <c r="MVB13" s="4136"/>
      <c r="MVC13" s="4136"/>
      <c r="MVD13" s="4136"/>
      <c r="MVE13" s="4136"/>
      <c r="MVF13" s="4136"/>
      <c r="MVG13" s="4136"/>
      <c r="MVH13" s="4136"/>
      <c r="MVI13" s="4136"/>
      <c r="MVJ13" s="4136"/>
      <c r="MVK13" s="4136"/>
      <c r="MVL13" s="4136"/>
      <c r="MVM13" s="4136"/>
      <c r="MVN13" s="4136"/>
      <c r="MVO13" s="4136"/>
      <c r="MVP13" s="4136"/>
      <c r="MVQ13" s="4136"/>
      <c r="MVR13" s="4136"/>
      <c r="MVS13" s="4136"/>
      <c r="MVT13" s="4136"/>
      <c r="MVU13" s="4136"/>
      <c r="MVV13" s="4136"/>
      <c r="MVW13" s="4136"/>
      <c r="MVX13" s="4136"/>
      <c r="MVY13" s="4136"/>
      <c r="MVZ13" s="4136"/>
      <c r="MWA13" s="4136"/>
      <c r="MWB13" s="4136"/>
      <c r="MWC13" s="4136"/>
      <c r="MWD13" s="4136"/>
      <c r="MWE13" s="4136"/>
      <c r="MWF13" s="4136"/>
      <c r="MWG13" s="4136"/>
      <c r="MWH13" s="4136"/>
      <c r="MWI13" s="4136"/>
      <c r="MWJ13" s="4136"/>
      <c r="MWK13" s="4136"/>
      <c r="MWL13" s="4136"/>
      <c r="MWM13" s="4136"/>
      <c r="MWN13" s="4136"/>
      <c r="MWO13" s="4136"/>
      <c r="MWP13" s="4136"/>
      <c r="MWQ13" s="4136"/>
      <c r="MWR13" s="4136"/>
      <c r="MWS13" s="4136"/>
      <c r="MWT13" s="4136"/>
      <c r="MWU13" s="4136"/>
      <c r="MWV13" s="4136"/>
      <c r="MWW13" s="4136"/>
      <c r="MWX13" s="4136"/>
      <c r="MWY13" s="4136"/>
      <c r="MWZ13" s="4136"/>
      <c r="MXA13" s="4136"/>
      <c r="MXB13" s="4136"/>
      <c r="MXC13" s="4136"/>
      <c r="MXD13" s="4136"/>
      <c r="MXE13" s="4136"/>
      <c r="MXF13" s="4136"/>
      <c r="MXG13" s="4136"/>
      <c r="MXH13" s="4136"/>
      <c r="MXI13" s="4136"/>
      <c r="MXJ13" s="4136"/>
      <c r="MXK13" s="4136"/>
      <c r="MXL13" s="4136"/>
      <c r="MXM13" s="4136"/>
      <c r="MXN13" s="4136"/>
      <c r="MXO13" s="4136"/>
      <c r="MXP13" s="4136"/>
      <c r="MXQ13" s="4136"/>
      <c r="MXR13" s="4136"/>
      <c r="MXS13" s="4136"/>
      <c r="MXT13" s="4136"/>
      <c r="MXU13" s="4136"/>
      <c r="MXV13" s="4136"/>
      <c r="MXW13" s="4136"/>
      <c r="MXX13" s="4136"/>
      <c r="MXY13" s="4136"/>
      <c r="MXZ13" s="4136"/>
      <c r="MYA13" s="4136"/>
      <c r="MYB13" s="4136"/>
      <c r="MYC13" s="4136"/>
      <c r="MYD13" s="4136"/>
      <c r="MYE13" s="4136"/>
      <c r="MYF13" s="4136"/>
      <c r="MYG13" s="4136"/>
      <c r="MYH13" s="4136"/>
      <c r="MYI13" s="4136"/>
      <c r="MYJ13" s="4136"/>
      <c r="MYK13" s="4136"/>
      <c r="MYL13" s="4136"/>
      <c r="MYM13" s="4136"/>
      <c r="MYN13" s="4136"/>
      <c r="MYO13" s="4136"/>
      <c r="MYP13" s="4136"/>
      <c r="MYQ13" s="4136"/>
      <c r="MYR13" s="4136"/>
      <c r="MYS13" s="4136"/>
      <c r="MYT13" s="4136"/>
      <c r="MYU13" s="4136"/>
      <c r="MYV13" s="4136"/>
      <c r="MYW13" s="4136"/>
      <c r="MYX13" s="4136"/>
      <c r="MYY13" s="4136"/>
      <c r="MYZ13" s="4136"/>
      <c r="MZA13" s="4136"/>
      <c r="MZB13" s="4136"/>
      <c r="MZC13" s="4136"/>
      <c r="MZD13" s="4136"/>
      <c r="MZE13" s="4136"/>
      <c r="MZF13" s="4136"/>
      <c r="MZG13" s="4136"/>
      <c r="MZH13" s="4136"/>
      <c r="MZI13" s="4136"/>
      <c r="MZJ13" s="4136"/>
      <c r="MZK13" s="4136"/>
      <c r="MZL13" s="4136"/>
      <c r="MZM13" s="4136"/>
      <c r="MZN13" s="4136"/>
      <c r="MZO13" s="4136"/>
      <c r="MZP13" s="4136"/>
      <c r="MZQ13" s="4136"/>
      <c r="MZR13" s="4136"/>
      <c r="MZS13" s="4136"/>
      <c r="MZT13" s="4136"/>
      <c r="MZU13" s="4136"/>
      <c r="MZV13" s="4136"/>
      <c r="MZW13" s="4136"/>
      <c r="MZX13" s="4136"/>
      <c r="MZY13" s="4136"/>
      <c r="MZZ13" s="4136"/>
      <c r="NAA13" s="4136"/>
      <c r="NAB13" s="4136"/>
      <c r="NAC13" s="4136"/>
      <c r="NAD13" s="4136"/>
      <c r="NAE13" s="4136"/>
      <c r="NAF13" s="4136"/>
      <c r="NAG13" s="4136"/>
      <c r="NAH13" s="4136"/>
      <c r="NAI13" s="4136"/>
      <c r="NAJ13" s="4136"/>
      <c r="NAK13" s="4136"/>
      <c r="NAL13" s="4136"/>
      <c r="NAM13" s="4136"/>
      <c r="NAN13" s="4136"/>
      <c r="NAO13" s="4136"/>
      <c r="NAP13" s="4136"/>
      <c r="NAQ13" s="4136"/>
      <c r="NAR13" s="4136"/>
      <c r="NAS13" s="4136"/>
      <c r="NAT13" s="4136"/>
      <c r="NAU13" s="4136"/>
      <c r="NAV13" s="4136"/>
      <c r="NAW13" s="4136"/>
      <c r="NAX13" s="4136"/>
      <c r="NAY13" s="4136"/>
      <c r="NAZ13" s="4136"/>
      <c r="NBA13" s="4136"/>
      <c r="NBB13" s="4136"/>
      <c r="NBC13" s="4136"/>
      <c r="NBD13" s="4136"/>
      <c r="NBE13" s="4136"/>
      <c r="NBF13" s="4136"/>
      <c r="NBG13" s="4136"/>
      <c r="NBH13" s="4136"/>
      <c r="NBI13" s="4136"/>
      <c r="NBJ13" s="4136"/>
      <c r="NBK13" s="4136"/>
      <c r="NBL13" s="4136"/>
      <c r="NBM13" s="4136"/>
      <c r="NBN13" s="4136"/>
      <c r="NBO13" s="4136"/>
      <c r="NBP13" s="4136"/>
      <c r="NBQ13" s="4136"/>
      <c r="NBR13" s="4136"/>
      <c r="NBS13" s="4136"/>
      <c r="NBT13" s="4136"/>
      <c r="NBU13" s="4136"/>
      <c r="NBV13" s="4136"/>
      <c r="NBW13" s="4136"/>
      <c r="NBX13" s="4136"/>
      <c r="NBY13" s="4136"/>
      <c r="NBZ13" s="4136"/>
      <c r="NCA13" s="4136"/>
      <c r="NCB13" s="4136"/>
      <c r="NCC13" s="4136"/>
      <c r="NCD13" s="4136"/>
      <c r="NCE13" s="4136"/>
      <c r="NCF13" s="4136"/>
      <c r="NCG13" s="4136"/>
      <c r="NCH13" s="4136"/>
      <c r="NCI13" s="4136"/>
      <c r="NCJ13" s="4136"/>
      <c r="NCK13" s="4136"/>
      <c r="NCL13" s="4136"/>
      <c r="NCM13" s="4136"/>
      <c r="NCN13" s="4136"/>
      <c r="NCO13" s="4136"/>
      <c r="NCP13" s="4136"/>
      <c r="NCQ13" s="4136"/>
      <c r="NCR13" s="4136"/>
      <c r="NCS13" s="4136"/>
      <c r="NCT13" s="4136"/>
      <c r="NCU13" s="4136"/>
      <c r="NCV13" s="4136"/>
      <c r="NCW13" s="4136"/>
      <c r="NCX13" s="4136"/>
      <c r="NCY13" s="4136"/>
      <c r="NCZ13" s="4136"/>
      <c r="NDA13" s="4136"/>
      <c r="NDB13" s="4136"/>
      <c r="NDC13" s="4136"/>
      <c r="NDD13" s="4136"/>
      <c r="NDE13" s="4136"/>
      <c r="NDF13" s="4136"/>
      <c r="NDG13" s="4136"/>
      <c r="NDH13" s="4136"/>
      <c r="NDI13" s="4136"/>
      <c r="NDJ13" s="4136"/>
      <c r="NDK13" s="4136"/>
      <c r="NDL13" s="4136"/>
      <c r="NDM13" s="4136"/>
      <c r="NDN13" s="4136"/>
      <c r="NDO13" s="4136"/>
      <c r="NDP13" s="4136"/>
      <c r="NDQ13" s="4136"/>
      <c r="NDR13" s="4136"/>
      <c r="NDS13" s="4136"/>
      <c r="NDT13" s="4136"/>
      <c r="NDU13" s="4136"/>
      <c r="NDV13" s="4136"/>
      <c r="NDW13" s="4136"/>
      <c r="NDX13" s="4136"/>
      <c r="NDY13" s="4136"/>
      <c r="NDZ13" s="4136"/>
      <c r="NEA13" s="4136"/>
      <c r="NEB13" s="4136"/>
      <c r="NEC13" s="4136"/>
      <c r="NED13" s="4136"/>
      <c r="NEE13" s="4136"/>
      <c r="NEF13" s="4136"/>
      <c r="NEG13" s="4136"/>
      <c r="NEH13" s="4136"/>
      <c r="NEI13" s="4136"/>
      <c r="NEJ13" s="4136"/>
      <c r="NEK13" s="4136"/>
      <c r="NEL13" s="4136"/>
      <c r="NEM13" s="4136"/>
      <c r="NEN13" s="4136"/>
      <c r="NEO13" s="4136"/>
      <c r="NEP13" s="4136"/>
      <c r="NEQ13" s="4136"/>
      <c r="NER13" s="4136"/>
      <c r="NES13" s="4136"/>
      <c r="NET13" s="4136"/>
      <c r="NEU13" s="4136"/>
      <c r="NEV13" s="4136"/>
      <c r="NEW13" s="4136"/>
      <c r="NEX13" s="4136"/>
      <c r="NEY13" s="4136"/>
      <c r="NEZ13" s="4136"/>
      <c r="NFA13" s="4136"/>
      <c r="NFB13" s="4136"/>
      <c r="NFC13" s="4136"/>
      <c r="NFD13" s="4136"/>
      <c r="NFE13" s="4136"/>
      <c r="NFF13" s="4136"/>
      <c r="NFG13" s="4136"/>
      <c r="NFH13" s="4136"/>
      <c r="NFI13" s="4136"/>
      <c r="NFJ13" s="4136"/>
      <c r="NFK13" s="4136"/>
      <c r="NFL13" s="4136"/>
      <c r="NFM13" s="4136"/>
      <c r="NFN13" s="4136"/>
      <c r="NFO13" s="4136"/>
      <c r="NFP13" s="4136"/>
      <c r="NFQ13" s="4136"/>
      <c r="NFR13" s="4136"/>
      <c r="NFS13" s="4136"/>
      <c r="NFT13" s="4136"/>
      <c r="NFU13" s="4136"/>
      <c r="NFV13" s="4136"/>
      <c r="NFW13" s="4136"/>
      <c r="NFX13" s="4136"/>
      <c r="NFY13" s="4136"/>
      <c r="NFZ13" s="4136"/>
      <c r="NGA13" s="4136"/>
      <c r="NGB13" s="4136"/>
      <c r="NGC13" s="4136"/>
      <c r="NGD13" s="4136"/>
      <c r="NGE13" s="4136"/>
      <c r="NGF13" s="4136"/>
      <c r="NGG13" s="4136"/>
      <c r="NGH13" s="4136"/>
      <c r="NGI13" s="4136"/>
      <c r="NGJ13" s="4136"/>
      <c r="NGK13" s="4136"/>
      <c r="NGL13" s="4136"/>
      <c r="NGM13" s="4136"/>
      <c r="NGN13" s="4136"/>
      <c r="NGO13" s="4136"/>
      <c r="NGP13" s="4136"/>
      <c r="NGQ13" s="4136"/>
      <c r="NGR13" s="4136"/>
      <c r="NGS13" s="4136"/>
      <c r="NGT13" s="4136"/>
      <c r="NGU13" s="4136"/>
      <c r="NGV13" s="4136"/>
      <c r="NGW13" s="4136"/>
      <c r="NGX13" s="4136"/>
      <c r="NGY13" s="4136"/>
      <c r="NGZ13" s="4136"/>
      <c r="NHA13" s="4136"/>
      <c r="NHB13" s="4136"/>
      <c r="NHC13" s="4136"/>
      <c r="NHD13" s="4136"/>
      <c r="NHE13" s="4136"/>
      <c r="NHF13" s="4136"/>
      <c r="NHG13" s="4136"/>
      <c r="NHH13" s="4136"/>
      <c r="NHI13" s="4136"/>
      <c r="NHJ13" s="4136"/>
      <c r="NHK13" s="4136"/>
      <c r="NHL13" s="4136"/>
      <c r="NHM13" s="4136"/>
      <c r="NHN13" s="4136"/>
      <c r="NHO13" s="4136"/>
      <c r="NHP13" s="4136"/>
      <c r="NHQ13" s="4136"/>
      <c r="NHR13" s="4136"/>
      <c r="NHS13" s="4136"/>
      <c r="NHT13" s="4136"/>
      <c r="NHU13" s="4136"/>
      <c r="NHV13" s="4136"/>
      <c r="NHW13" s="4136"/>
      <c r="NHX13" s="4136"/>
      <c r="NHY13" s="4136"/>
      <c r="NHZ13" s="4136"/>
      <c r="NIA13" s="4136"/>
      <c r="NIB13" s="4136"/>
      <c r="NIC13" s="4136"/>
      <c r="NID13" s="4136"/>
      <c r="NIE13" s="4136"/>
      <c r="NIF13" s="4136"/>
      <c r="NIG13" s="4136"/>
      <c r="NIH13" s="4136"/>
      <c r="NII13" s="4136"/>
      <c r="NIJ13" s="4136"/>
      <c r="NIK13" s="4136"/>
      <c r="NIL13" s="4136"/>
      <c r="NIM13" s="4136"/>
      <c r="NIN13" s="4136"/>
      <c r="NIO13" s="4136"/>
      <c r="NIP13" s="4136"/>
      <c r="NIQ13" s="4136"/>
      <c r="NIR13" s="4136"/>
      <c r="NIS13" s="4136"/>
      <c r="NIT13" s="4136"/>
      <c r="NIU13" s="4136"/>
      <c r="NIV13" s="4136"/>
      <c r="NIW13" s="4136"/>
      <c r="NIX13" s="4136"/>
      <c r="NIY13" s="4136"/>
      <c r="NIZ13" s="4136"/>
      <c r="NJA13" s="4136"/>
      <c r="NJB13" s="4136"/>
      <c r="NJC13" s="4136"/>
      <c r="NJD13" s="4136"/>
      <c r="NJE13" s="4136"/>
      <c r="NJF13" s="4136"/>
      <c r="NJG13" s="4136"/>
      <c r="NJH13" s="4136"/>
      <c r="NJI13" s="4136"/>
      <c r="NJJ13" s="4136"/>
      <c r="NJK13" s="4136"/>
      <c r="NJL13" s="4136"/>
      <c r="NJM13" s="4136"/>
      <c r="NJN13" s="4136"/>
      <c r="NJO13" s="4136"/>
      <c r="NJP13" s="4136"/>
      <c r="NJQ13" s="4136"/>
      <c r="NJR13" s="4136"/>
      <c r="NJS13" s="4136"/>
      <c r="NJT13" s="4136"/>
      <c r="NJU13" s="4136"/>
      <c r="NJV13" s="4136"/>
      <c r="NJW13" s="4136"/>
      <c r="NJX13" s="4136"/>
      <c r="NJY13" s="4136"/>
      <c r="NJZ13" s="4136"/>
      <c r="NKA13" s="4136"/>
      <c r="NKB13" s="4136"/>
      <c r="NKC13" s="4136"/>
      <c r="NKD13" s="4136"/>
      <c r="NKE13" s="4136"/>
      <c r="NKF13" s="4136"/>
      <c r="NKG13" s="4136"/>
      <c r="NKH13" s="4136"/>
      <c r="NKI13" s="4136"/>
      <c r="NKJ13" s="4136"/>
      <c r="NKK13" s="4136"/>
      <c r="NKL13" s="4136"/>
      <c r="NKM13" s="4136"/>
      <c r="NKN13" s="4136"/>
      <c r="NKO13" s="4136"/>
      <c r="NKP13" s="4136"/>
      <c r="NKQ13" s="4136"/>
      <c r="NKR13" s="4136"/>
      <c r="NKS13" s="4136"/>
      <c r="NKT13" s="4136"/>
      <c r="NKU13" s="4136"/>
      <c r="NKV13" s="4136"/>
      <c r="NKW13" s="4136"/>
      <c r="NKX13" s="4136"/>
      <c r="NKY13" s="4136"/>
      <c r="NKZ13" s="4136"/>
      <c r="NLA13" s="4136"/>
      <c r="NLB13" s="4136"/>
      <c r="NLC13" s="4136"/>
      <c r="NLD13" s="4136"/>
      <c r="NLE13" s="4136"/>
      <c r="NLF13" s="4136"/>
      <c r="NLG13" s="4136"/>
      <c r="NLH13" s="4136"/>
      <c r="NLI13" s="4136"/>
      <c r="NLJ13" s="4136"/>
      <c r="NLK13" s="4136"/>
      <c r="NLL13" s="4136"/>
      <c r="NLM13" s="4136"/>
      <c r="NLN13" s="4136"/>
      <c r="NLO13" s="4136"/>
      <c r="NLP13" s="4136"/>
      <c r="NLQ13" s="4136"/>
      <c r="NLR13" s="4136"/>
      <c r="NLS13" s="4136"/>
      <c r="NLT13" s="4136"/>
      <c r="NLU13" s="4136"/>
      <c r="NLV13" s="4136"/>
      <c r="NLW13" s="4136"/>
      <c r="NLX13" s="4136"/>
      <c r="NLY13" s="4136"/>
      <c r="NLZ13" s="4136"/>
      <c r="NMA13" s="4136"/>
      <c r="NMB13" s="4136"/>
      <c r="NMC13" s="4136"/>
      <c r="NMD13" s="4136"/>
      <c r="NME13" s="4136"/>
      <c r="NMF13" s="4136"/>
      <c r="NMG13" s="4136"/>
      <c r="NMH13" s="4136"/>
      <c r="NMI13" s="4136"/>
      <c r="NMJ13" s="4136"/>
      <c r="NMK13" s="4136"/>
      <c r="NML13" s="4136"/>
      <c r="NMM13" s="4136"/>
      <c r="NMN13" s="4136"/>
      <c r="NMO13" s="4136"/>
      <c r="NMP13" s="4136"/>
      <c r="NMQ13" s="4136"/>
      <c r="NMR13" s="4136"/>
      <c r="NMS13" s="4136"/>
      <c r="NMT13" s="4136"/>
      <c r="NMU13" s="4136"/>
      <c r="NMV13" s="4136"/>
      <c r="NMW13" s="4136"/>
      <c r="NMX13" s="4136"/>
      <c r="NMY13" s="4136"/>
      <c r="NMZ13" s="4136"/>
      <c r="NNA13" s="4136"/>
      <c r="NNB13" s="4136"/>
      <c r="NNC13" s="4136"/>
      <c r="NND13" s="4136"/>
      <c r="NNE13" s="4136"/>
      <c r="NNF13" s="4136"/>
      <c r="NNG13" s="4136"/>
      <c r="NNH13" s="4136"/>
      <c r="NNI13" s="4136"/>
      <c r="NNJ13" s="4136"/>
      <c r="NNK13" s="4136"/>
      <c r="NNL13" s="4136"/>
      <c r="NNM13" s="4136"/>
      <c r="NNN13" s="4136"/>
      <c r="NNO13" s="4136"/>
      <c r="NNP13" s="4136"/>
      <c r="NNQ13" s="4136"/>
      <c r="NNR13" s="4136"/>
      <c r="NNS13" s="4136"/>
      <c r="NNT13" s="4136"/>
      <c r="NNU13" s="4136"/>
      <c r="NNV13" s="4136"/>
      <c r="NNW13" s="4136"/>
      <c r="NNX13" s="4136"/>
      <c r="NNY13" s="4136"/>
      <c r="NNZ13" s="4136"/>
      <c r="NOA13" s="4136"/>
      <c r="NOB13" s="4136"/>
      <c r="NOC13" s="4136"/>
      <c r="NOD13" s="4136"/>
      <c r="NOE13" s="4136"/>
      <c r="NOF13" s="4136"/>
      <c r="NOG13" s="4136"/>
      <c r="NOH13" s="4136"/>
      <c r="NOI13" s="4136"/>
      <c r="NOJ13" s="4136"/>
      <c r="NOK13" s="4136"/>
      <c r="NOL13" s="4136"/>
      <c r="NOM13" s="4136"/>
      <c r="NON13" s="4136"/>
      <c r="NOO13" s="4136"/>
      <c r="NOP13" s="4136"/>
      <c r="NOQ13" s="4136"/>
      <c r="NOR13" s="4136"/>
      <c r="NOS13" s="4136"/>
      <c r="NOT13" s="4136"/>
      <c r="NOU13" s="4136"/>
      <c r="NOV13" s="4136"/>
      <c r="NOW13" s="4136"/>
      <c r="NOX13" s="4136"/>
      <c r="NOY13" s="4136"/>
      <c r="NOZ13" s="4136"/>
      <c r="NPA13" s="4136"/>
      <c r="NPB13" s="4136"/>
      <c r="NPC13" s="4136"/>
      <c r="NPD13" s="4136"/>
      <c r="NPE13" s="4136"/>
      <c r="NPF13" s="4136"/>
      <c r="NPG13" s="4136"/>
      <c r="NPH13" s="4136"/>
      <c r="NPI13" s="4136"/>
      <c r="NPJ13" s="4136"/>
      <c r="NPK13" s="4136"/>
      <c r="NPL13" s="4136"/>
      <c r="NPM13" s="4136"/>
      <c r="NPN13" s="4136"/>
      <c r="NPO13" s="4136"/>
      <c r="NPP13" s="4136"/>
      <c r="NPQ13" s="4136"/>
      <c r="NPR13" s="4136"/>
      <c r="NPS13" s="4136"/>
      <c r="NPT13" s="4136"/>
      <c r="NPU13" s="4136"/>
      <c r="NPV13" s="4136"/>
      <c r="NPW13" s="4136"/>
      <c r="NPX13" s="4136"/>
      <c r="NPY13" s="4136"/>
      <c r="NPZ13" s="4136"/>
      <c r="NQA13" s="4136"/>
      <c r="NQB13" s="4136"/>
      <c r="NQC13" s="4136"/>
      <c r="NQD13" s="4136"/>
      <c r="NQE13" s="4136"/>
      <c r="NQF13" s="4136"/>
      <c r="NQG13" s="4136"/>
      <c r="NQH13" s="4136"/>
      <c r="NQI13" s="4136"/>
      <c r="NQJ13" s="4136"/>
      <c r="NQK13" s="4136"/>
      <c r="NQL13" s="4136"/>
      <c r="NQM13" s="4136"/>
      <c r="NQN13" s="4136"/>
      <c r="NQO13" s="4136"/>
      <c r="NQP13" s="4136"/>
      <c r="NQQ13" s="4136"/>
      <c r="NQR13" s="4136"/>
      <c r="NQS13" s="4136"/>
      <c r="NQT13" s="4136"/>
      <c r="NQU13" s="4136"/>
      <c r="NQV13" s="4136"/>
      <c r="NQW13" s="4136"/>
      <c r="NQX13" s="4136"/>
      <c r="NQY13" s="4136"/>
      <c r="NQZ13" s="4136"/>
      <c r="NRA13" s="4136"/>
      <c r="NRB13" s="4136"/>
      <c r="NRC13" s="4136"/>
      <c r="NRD13" s="4136"/>
      <c r="NRE13" s="4136"/>
      <c r="NRF13" s="4136"/>
      <c r="NRG13" s="4136"/>
      <c r="NRH13" s="4136"/>
      <c r="NRI13" s="4136"/>
      <c r="NRJ13" s="4136"/>
      <c r="NRK13" s="4136"/>
      <c r="NRL13" s="4136"/>
      <c r="NRM13" s="4136"/>
      <c r="NRN13" s="4136"/>
      <c r="NRO13" s="4136"/>
      <c r="NRP13" s="4136"/>
      <c r="NRQ13" s="4136"/>
      <c r="NRR13" s="4136"/>
      <c r="NRS13" s="4136"/>
      <c r="NRT13" s="4136"/>
      <c r="NRU13" s="4136"/>
      <c r="NRV13" s="4136"/>
      <c r="NRW13" s="4136"/>
      <c r="NRX13" s="4136"/>
      <c r="NRY13" s="4136"/>
      <c r="NRZ13" s="4136"/>
      <c r="NSA13" s="4136"/>
      <c r="NSB13" s="4136"/>
      <c r="NSC13" s="4136"/>
      <c r="NSD13" s="4136"/>
      <c r="NSE13" s="4136"/>
      <c r="NSF13" s="4136"/>
      <c r="NSG13" s="4136"/>
      <c r="NSH13" s="4136"/>
      <c r="NSI13" s="4136"/>
      <c r="NSJ13" s="4136"/>
      <c r="NSK13" s="4136"/>
      <c r="NSL13" s="4136"/>
      <c r="NSM13" s="4136"/>
      <c r="NSN13" s="4136"/>
      <c r="NSO13" s="4136"/>
      <c r="NSP13" s="4136"/>
      <c r="NSQ13" s="4136"/>
      <c r="NSR13" s="4136"/>
      <c r="NSS13" s="4136"/>
      <c r="NST13" s="4136"/>
      <c r="NSU13" s="4136"/>
      <c r="NSV13" s="4136"/>
      <c r="NSW13" s="4136"/>
      <c r="NSX13" s="4136"/>
      <c r="NSY13" s="4136"/>
      <c r="NSZ13" s="4136"/>
      <c r="NTA13" s="4136"/>
      <c r="NTB13" s="4136"/>
      <c r="NTC13" s="4136"/>
      <c r="NTD13" s="4136"/>
      <c r="NTE13" s="4136"/>
      <c r="NTF13" s="4136"/>
      <c r="NTG13" s="4136"/>
      <c r="NTH13" s="4136"/>
      <c r="NTI13" s="4136"/>
      <c r="NTJ13" s="4136"/>
      <c r="NTK13" s="4136"/>
      <c r="NTL13" s="4136"/>
      <c r="NTM13" s="4136"/>
      <c r="NTN13" s="4136"/>
      <c r="NTO13" s="4136"/>
      <c r="NTP13" s="4136"/>
      <c r="NTQ13" s="4136"/>
      <c r="NTR13" s="4136"/>
      <c r="NTS13" s="4136"/>
      <c r="NTT13" s="4136"/>
      <c r="NTU13" s="4136"/>
      <c r="NTV13" s="4136"/>
      <c r="NTW13" s="4136"/>
      <c r="NTX13" s="4136"/>
      <c r="NTY13" s="4136"/>
      <c r="NTZ13" s="4136"/>
      <c r="NUA13" s="4136"/>
      <c r="NUB13" s="4136"/>
      <c r="NUC13" s="4136"/>
      <c r="NUD13" s="4136"/>
      <c r="NUE13" s="4136"/>
      <c r="NUF13" s="4136"/>
      <c r="NUG13" s="4136"/>
      <c r="NUH13" s="4136"/>
      <c r="NUI13" s="4136"/>
      <c r="NUJ13" s="4136"/>
      <c r="NUK13" s="4136"/>
      <c r="NUL13" s="4136"/>
      <c r="NUM13" s="4136"/>
      <c r="NUN13" s="4136"/>
      <c r="NUO13" s="4136"/>
      <c r="NUP13" s="4136"/>
      <c r="NUQ13" s="4136"/>
      <c r="NUR13" s="4136"/>
      <c r="NUS13" s="4136"/>
      <c r="NUT13" s="4136"/>
      <c r="NUU13" s="4136"/>
      <c r="NUV13" s="4136"/>
      <c r="NUW13" s="4136"/>
      <c r="NUX13" s="4136"/>
      <c r="NUY13" s="4136"/>
      <c r="NUZ13" s="4136"/>
      <c r="NVA13" s="4136"/>
      <c r="NVB13" s="4136"/>
      <c r="NVC13" s="4136"/>
      <c r="NVD13" s="4136"/>
      <c r="NVE13" s="4136"/>
      <c r="NVF13" s="4136"/>
      <c r="NVG13" s="4136"/>
      <c r="NVH13" s="4136"/>
      <c r="NVI13" s="4136"/>
      <c r="NVJ13" s="4136"/>
      <c r="NVK13" s="4136"/>
      <c r="NVL13" s="4136"/>
      <c r="NVM13" s="4136"/>
      <c r="NVN13" s="4136"/>
      <c r="NVO13" s="4136"/>
      <c r="NVP13" s="4136"/>
      <c r="NVQ13" s="4136"/>
      <c r="NVR13" s="4136"/>
      <c r="NVS13" s="4136"/>
      <c r="NVT13" s="4136"/>
      <c r="NVU13" s="4136"/>
      <c r="NVV13" s="4136"/>
      <c r="NVW13" s="4136"/>
      <c r="NVX13" s="4136"/>
      <c r="NVY13" s="4136"/>
      <c r="NVZ13" s="4136"/>
      <c r="NWA13" s="4136"/>
      <c r="NWB13" s="4136"/>
      <c r="NWC13" s="4136"/>
      <c r="NWD13" s="4136"/>
      <c r="NWE13" s="4136"/>
      <c r="NWF13" s="4136"/>
      <c r="NWG13" s="4136"/>
      <c r="NWH13" s="4136"/>
      <c r="NWI13" s="4136"/>
      <c r="NWJ13" s="4136"/>
      <c r="NWK13" s="4136"/>
      <c r="NWL13" s="4136"/>
      <c r="NWM13" s="4136"/>
      <c r="NWN13" s="4136"/>
      <c r="NWO13" s="4136"/>
      <c r="NWP13" s="4136"/>
      <c r="NWQ13" s="4136"/>
      <c r="NWR13" s="4136"/>
      <c r="NWS13" s="4136"/>
      <c r="NWT13" s="4136"/>
      <c r="NWU13" s="4136"/>
      <c r="NWV13" s="4136"/>
      <c r="NWW13" s="4136"/>
      <c r="NWX13" s="4136"/>
      <c r="NWY13" s="4136"/>
      <c r="NWZ13" s="4136"/>
      <c r="NXA13" s="4136"/>
      <c r="NXB13" s="4136"/>
      <c r="NXC13" s="4136"/>
      <c r="NXD13" s="4136"/>
      <c r="NXE13" s="4136"/>
      <c r="NXF13" s="4136"/>
      <c r="NXG13" s="4136"/>
      <c r="NXH13" s="4136"/>
      <c r="NXI13" s="4136"/>
      <c r="NXJ13" s="4136"/>
      <c r="NXK13" s="4136"/>
      <c r="NXL13" s="4136"/>
      <c r="NXM13" s="4136"/>
      <c r="NXN13" s="4136"/>
      <c r="NXO13" s="4136"/>
      <c r="NXP13" s="4136"/>
      <c r="NXQ13" s="4136"/>
      <c r="NXR13" s="4136"/>
      <c r="NXS13" s="4136"/>
      <c r="NXT13" s="4136"/>
      <c r="NXU13" s="4136"/>
      <c r="NXV13" s="4136"/>
      <c r="NXW13" s="4136"/>
      <c r="NXX13" s="4136"/>
      <c r="NXY13" s="4136"/>
      <c r="NXZ13" s="4136"/>
      <c r="NYA13" s="4136"/>
      <c r="NYB13" s="4136"/>
      <c r="NYC13" s="4136"/>
      <c r="NYD13" s="4136"/>
      <c r="NYE13" s="4136"/>
      <c r="NYF13" s="4136"/>
      <c r="NYG13" s="4136"/>
      <c r="NYH13" s="4136"/>
      <c r="NYI13" s="4136"/>
      <c r="NYJ13" s="4136"/>
      <c r="NYK13" s="4136"/>
      <c r="NYL13" s="4136"/>
      <c r="NYM13" s="4136"/>
      <c r="NYN13" s="4136"/>
      <c r="NYO13" s="4136"/>
      <c r="NYP13" s="4136"/>
      <c r="NYQ13" s="4136"/>
      <c r="NYR13" s="4136"/>
      <c r="NYS13" s="4136"/>
      <c r="NYT13" s="4136"/>
      <c r="NYU13" s="4136"/>
      <c r="NYV13" s="4136"/>
      <c r="NYW13" s="4136"/>
      <c r="NYX13" s="4136"/>
      <c r="NYY13" s="4136"/>
      <c r="NYZ13" s="4136"/>
      <c r="NZA13" s="4136"/>
      <c r="NZB13" s="4136"/>
      <c r="NZC13" s="4136"/>
      <c r="NZD13" s="4136"/>
      <c r="NZE13" s="4136"/>
      <c r="NZF13" s="4136"/>
      <c r="NZG13" s="4136"/>
      <c r="NZH13" s="4136"/>
      <c r="NZI13" s="4136"/>
      <c r="NZJ13" s="4136"/>
      <c r="NZK13" s="4136"/>
      <c r="NZL13" s="4136"/>
      <c r="NZM13" s="4136"/>
      <c r="NZN13" s="4136"/>
      <c r="NZO13" s="4136"/>
      <c r="NZP13" s="4136"/>
      <c r="NZQ13" s="4136"/>
      <c r="NZR13" s="4136"/>
      <c r="NZS13" s="4136"/>
      <c r="NZT13" s="4136"/>
      <c r="NZU13" s="4136"/>
      <c r="NZV13" s="4136"/>
      <c r="NZW13" s="4136"/>
      <c r="NZX13" s="4136"/>
      <c r="NZY13" s="4136"/>
      <c r="NZZ13" s="4136"/>
      <c r="OAA13" s="4136"/>
      <c r="OAB13" s="4136"/>
      <c r="OAC13" s="4136"/>
      <c r="OAD13" s="4136"/>
      <c r="OAE13" s="4136"/>
      <c r="OAF13" s="4136"/>
      <c r="OAG13" s="4136"/>
      <c r="OAH13" s="4136"/>
      <c r="OAI13" s="4136"/>
      <c r="OAJ13" s="4136"/>
      <c r="OAK13" s="4136"/>
      <c r="OAL13" s="4136"/>
      <c r="OAM13" s="4136"/>
      <c r="OAN13" s="4136"/>
      <c r="OAO13" s="4136"/>
      <c r="OAP13" s="4136"/>
      <c r="OAQ13" s="4136"/>
      <c r="OAR13" s="4136"/>
      <c r="OAS13" s="4136"/>
      <c r="OAT13" s="4136"/>
      <c r="OAU13" s="4136"/>
      <c r="OAV13" s="4136"/>
      <c r="OAW13" s="4136"/>
      <c r="OAX13" s="4136"/>
      <c r="OAY13" s="4136"/>
      <c r="OAZ13" s="4136"/>
      <c r="OBA13" s="4136"/>
      <c r="OBB13" s="4136"/>
      <c r="OBC13" s="4136"/>
      <c r="OBD13" s="4136"/>
      <c r="OBE13" s="4136"/>
      <c r="OBF13" s="4136"/>
      <c r="OBG13" s="4136"/>
      <c r="OBH13" s="4136"/>
      <c r="OBI13" s="4136"/>
      <c r="OBJ13" s="4136"/>
      <c r="OBK13" s="4136"/>
      <c r="OBL13" s="4136"/>
      <c r="OBM13" s="4136"/>
      <c r="OBN13" s="4136"/>
      <c r="OBO13" s="4136"/>
      <c r="OBP13" s="4136"/>
      <c r="OBQ13" s="4136"/>
      <c r="OBR13" s="4136"/>
      <c r="OBS13" s="4136"/>
      <c r="OBT13" s="4136"/>
      <c r="OBU13" s="4136"/>
      <c r="OBV13" s="4136"/>
      <c r="OBW13" s="4136"/>
      <c r="OBX13" s="4136"/>
      <c r="OBY13" s="4136"/>
      <c r="OBZ13" s="4136"/>
      <c r="OCA13" s="4136"/>
      <c r="OCB13" s="4136"/>
      <c r="OCC13" s="4136"/>
      <c r="OCD13" s="4136"/>
      <c r="OCE13" s="4136"/>
      <c r="OCF13" s="4136"/>
      <c r="OCG13" s="4136"/>
      <c r="OCH13" s="4136"/>
      <c r="OCI13" s="4136"/>
      <c r="OCJ13" s="4136"/>
      <c r="OCK13" s="4136"/>
      <c r="OCL13" s="4136"/>
      <c r="OCM13" s="4136"/>
      <c r="OCN13" s="4136"/>
      <c r="OCO13" s="4136"/>
      <c r="OCP13" s="4136"/>
      <c r="OCQ13" s="4136"/>
      <c r="OCR13" s="4136"/>
      <c r="OCS13" s="4136"/>
      <c r="OCT13" s="4136"/>
      <c r="OCU13" s="4136"/>
      <c r="OCV13" s="4136"/>
      <c r="OCW13" s="4136"/>
      <c r="OCX13" s="4136"/>
      <c r="OCY13" s="4136"/>
      <c r="OCZ13" s="4136"/>
      <c r="ODA13" s="4136"/>
      <c r="ODB13" s="4136"/>
      <c r="ODC13" s="4136"/>
      <c r="ODD13" s="4136"/>
      <c r="ODE13" s="4136"/>
      <c r="ODF13" s="4136"/>
      <c r="ODG13" s="4136"/>
      <c r="ODH13" s="4136"/>
      <c r="ODI13" s="4136"/>
      <c r="ODJ13" s="4136"/>
      <c r="ODK13" s="4136"/>
      <c r="ODL13" s="4136"/>
      <c r="ODM13" s="4136"/>
      <c r="ODN13" s="4136"/>
      <c r="ODO13" s="4136"/>
      <c r="ODP13" s="4136"/>
      <c r="ODQ13" s="4136"/>
      <c r="ODR13" s="4136"/>
      <c r="ODS13" s="4136"/>
      <c r="ODT13" s="4136"/>
      <c r="ODU13" s="4136"/>
      <c r="ODV13" s="4136"/>
      <c r="ODW13" s="4136"/>
      <c r="ODX13" s="4136"/>
      <c r="ODY13" s="4136"/>
      <c r="ODZ13" s="4136"/>
      <c r="OEA13" s="4136"/>
      <c r="OEB13" s="4136"/>
      <c r="OEC13" s="4136"/>
      <c r="OED13" s="4136"/>
      <c r="OEE13" s="4136"/>
      <c r="OEF13" s="4136"/>
      <c r="OEG13" s="4136"/>
      <c r="OEH13" s="4136"/>
      <c r="OEI13" s="4136"/>
      <c r="OEJ13" s="4136"/>
      <c r="OEK13" s="4136"/>
      <c r="OEL13" s="4136"/>
      <c r="OEM13" s="4136"/>
      <c r="OEN13" s="4136"/>
      <c r="OEO13" s="4136"/>
      <c r="OEP13" s="4136"/>
      <c r="OEQ13" s="4136"/>
      <c r="OER13" s="4136"/>
      <c r="OES13" s="4136"/>
      <c r="OET13" s="4136"/>
      <c r="OEU13" s="4136"/>
      <c r="OEV13" s="4136"/>
      <c r="OEW13" s="4136"/>
      <c r="OEX13" s="4136"/>
      <c r="OEY13" s="4136"/>
      <c r="OEZ13" s="4136"/>
      <c r="OFA13" s="4136"/>
      <c r="OFB13" s="4136"/>
      <c r="OFC13" s="4136"/>
      <c r="OFD13" s="4136"/>
      <c r="OFE13" s="4136"/>
      <c r="OFF13" s="4136"/>
      <c r="OFG13" s="4136"/>
      <c r="OFH13" s="4136"/>
      <c r="OFI13" s="4136"/>
      <c r="OFJ13" s="4136"/>
      <c r="OFK13" s="4136"/>
      <c r="OFL13" s="4136"/>
      <c r="OFM13" s="4136"/>
      <c r="OFN13" s="4136"/>
      <c r="OFO13" s="4136"/>
      <c r="OFP13" s="4136"/>
      <c r="OFQ13" s="4136"/>
      <c r="OFR13" s="4136"/>
      <c r="OFS13" s="4136"/>
      <c r="OFT13" s="4136"/>
      <c r="OFU13" s="4136"/>
      <c r="OFV13" s="4136"/>
      <c r="OFW13" s="4136"/>
      <c r="OFX13" s="4136"/>
      <c r="OFY13" s="4136"/>
      <c r="OFZ13" s="4136"/>
      <c r="OGA13" s="4136"/>
      <c r="OGB13" s="4136"/>
      <c r="OGC13" s="4136"/>
      <c r="OGD13" s="4136"/>
      <c r="OGE13" s="4136"/>
      <c r="OGF13" s="4136"/>
      <c r="OGG13" s="4136"/>
      <c r="OGH13" s="4136"/>
      <c r="OGI13" s="4136"/>
      <c r="OGJ13" s="4136"/>
      <c r="OGK13" s="4136"/>
      <c r="OGL13" s="4136"/>
      <c r="OGM13" s="4136"/>
      <c r="OGN13" s="4136"/>
      <c r="OGO13" s="4136"/>
      <c r="OGP13" s="4136"/>
      <c r="OGQ13" s="4136"/>
      <c r="OGR13" s="4136"/>
      <c r="OGS13" s="4136"/>
      <c r="OGT13" s="4136"/>
      <c r="OGU13" s="4136"/>
      <c r="OGV13" s="4136"/>
      <c r="OGW13" s="4136"/>
      <c r="OGX13" s="4136"/>
      <c r="OGY13" s="4136"/>
      <c r="OGZ13" s="4136"/>
      <c r="OHA13" s="4136"/>
      <c r="OHB13" s="4136"/>
      <c r="OHC13" s="4136"/>
      <c r="OHD13" s="4136"/>
      <c r="OHE13" s="4136"/>
      <c r="OHF13" s="4136"/>
      <c r="OHG13" s="4136"/>
      <c r="OHH13" s="4136"/>
      <c r="OHI13" s="4136"/>
      <c r="OHJ13" s="4136"/>
      <c r="OHK13" s="4136"/>
      <c r="OHL13" s="4136"/>
      <c r="OHM13" s="4136"/>
      <c r="OHN13" s="4136"/>
      <c r="OHO13" s="4136"/>
      <c r="OHP13" s="4136"/>
      <c r="OHQ13" s="4136"/>
      <c r="OHR13" s="4136"/>
      <c r="OHS13" s="4136"/>
      <c r="OHT13" s="4136"/>
      <c r="OHU13" s="4136"/>
      <c r="OHV13" s="4136"/>
      <c r="OHW13" s="4136"/>
      <c r="OHX13" s="4136"/>
      <c r="OHY13" s="4136"/>
      <c r="OHZ13" s="4136"/>
      <c r="OIA13" s="4136"/>
      <c r="OIB13" s="4136"/>
      <c r="OIC13" s="4136"/>
      <c r="OID13" s="4136"/>
      <c r="OIE13" s="4136"/>
      <c r="OIF13" s="4136"/>
      <c r="OIG13" s="4136"/>
      <c r="OIH13" s="4136"/>
      <c r="OII13" s="4136"/>
      <c r="OIJ13" s="4136"/>
      <c r="OIK13" s="4136"/>
      <c r="OIL13" s="4136"/>
      <c r="OIM13" s="4136"/>
      <c r="OIN13" s="4136"/>
      <c r="OIO13" s="4136"/>
      <c r="OIP13" s="4136"/>
      <c r="OIQ13" s="4136"/>
      <c r="OIR13" s="4136"/>
      <c r="OIS13" s="4136"/>
      <c r="OIT13" s="4136"/>
      <c r="OIU13" s="4136"/>
      <c r="OIV13" s="4136"/>
      <c r="OIW13" s="4136"/>
      <c r="OIX13" s="4136"/>
      <c r="OIY13" s="4136"/>
      <c r="OIZ13" s="4136"/>
      <c r="OJA13" s="4136"/>
      <c r="OJB13" s="4136"/>
      <c r="OJC13" s="4136"/>
      <c r="OJD13" s="4136"/>
      <c r="OJE13" s="4136"/>
      <c r="OJF13" s="4136"/>
      <c r="OJG13" s="4136"/>
      <c r="OJH13" s="4136"/>
      <c r="OJI13" s="4136"/>
      <c r="OJJ13" s="4136"/>
      <c r="OJK13" s="4136"/>
      <c r="OJL13" s="4136"/>
      <c r="OJM13" s="4136"/>
      <c r="OJN13" s="4136"/>
      <c r="OJO13" s="4136"/>
      <c r="OJP13" s="4136"/>
      <c r="OJQ13" s="4136"/>
      <c r="OJR13" s="4136"/>
      <c r="OJS13" s="4136"/>
      <c r="OJT13" s="4136"/>
      <c r="OJU13" s="4136"/>
      <c r="OJV13" s="4136"/>
      <c r="OJW13" s="4136"/>
      <c r="OJX13" s="4136"/>
      <c r="OJY13" s="4136"/>
      <c r="OJZ13" s="4136"/>
      <c r="OKA13" s="4136"/>
      <c r="OKB13" s="4136"/>
      <c r="OKC13" s="4136"/>
      <c r="OKD13" s="4136"/>
      <c r="OKE13" s="4136"/>
      <c r="OKF13" s="4136"/>
      <c r="OKG13" s="4136"/>
      <c r="OKH13" s="4136"/>
      <c r="OKI13" s="4136"/>
      <c r="OKJ13" s="4136"/>
      <c r="OKK13" s="4136"/>
      <c r="OKL13" s="4136"/>
      <c r="OKM13" s="4136"/>
      <c r="OKN13" s="4136"/>
      <c r="OKO13" s="4136"/>
      <c r="OKP13" s="4136"/>
      <c r="OKQ13" s="4136"/>
      <c r="OKR13" s="4136"/>
      <c r="OKS13" s="4136"/>
      <c r="OKT13" s="4136"/>
      <c r="OKU13" s="4136"/>
      <c r="OKV13" s="4136"/>
      <c r="OKW13" s="4136"/>
      <c r="OKX13" s="4136"/>
      <c r="OKY13" s="4136"/>
      <c r="OKZ13" s="4136"/>
      <c r="OLA13" s="4136"/>
      <c r="OLB13" s="4136"/>
      <c r="OLC13" s="4136"/>
      <c r="OLD13" s="4136"/>
      <c r="OLE13" s="4136"/>
      <c r="OLF13" s="4136"/>
      <c r="OLG13" s="4136"/>
      <c r="OLH13" s="4136"/>
      <c r="OLI13" s="4136"/>
      <c r="OLJ13" s="4136"/>
      <c r="OLK13" s="4136"/>
      <c r="OLL13" s="4136"/>
      <c r="OLM13" s="4136"/>
      <c r="OLN13" s="4136"/>
      <c r="OLO13" s="4136"/>
      <c r="OLP13" s="4136"/>
      <c r="OLQ13" s="4136"/>
      <c r="OLR13" s="4136"/>
      <c r="OLS13" s="4136"/>
      <c r="OLT13" s="4136"/>
      <c r="OLU13" s="4136"/>
      <c r="OLV13" s="4136"/>
      <c r="OLW13" s="4136"/>
      <c r="OLX13" s="4136"/>
      <c r="OLY13" s="4136"/>
      <c r="OLZ13" s="4136"/>
      <c r="OMA13" s="4136"/>
      <c r="OMB13" s="4136"/>
      <c r="OMC13" s="4136"/>
      <c r="OMD13" s="4136"/>
      <c r="OME13" s="4136"/>
      <c r="OMF13" s="4136"/>
      <c r="OMG13" s="4136"/>
      <c r="OMH13" s="4136"/>
      <c r="OMI13" s="4136"/>
      <c r="OMJ13" s="4136"/>
      <c r="OMK13" s="4136"/>
      <c r="OML13" s="4136"/>
      <c r="OMM13" s="4136"/>
      <c r="OMN13" s="4136"/>
      <c r="OMO13" s="4136"/>
      <c r="OMP13" s="4136"/>
      <c r="OMQ13" s="4136"/>
      <c r="OMR13" s="4136"/>
      <c r="OMS13" s="4136"/>
      <c r="OMT13" s="4136"/>
      <c r="OMU13" s="4136"/>
      <c r="OMV13" s="4136"/>
      <c r="OMW13" s="4136"/>
      <c r="OMX13" s="4136"/>
      <c r="OMY13" s="4136"/>
      <c r="OMZ13" s="4136"/>
      <c r="ONA13" s="4136"/>
      <c r="ONB13" s="4136"/>
      <c r="ONC13" s="4136"/>
      <c r="OND13" s="4136"/>
      <c r="ONE13" s="4136"/>
      <c r="ONF13" s="4136"/>
      <c r="ONG13" s="4136"/>
      <c r="ONH13" s="4136"/>
      <c r="ONI13" s="4136"/>
      <c r="ONJ13" s="4136"/>
      <c r="ONK13" s="4136"/>
      <c r="ONL13" s="4136"/>
      <c r="ONM13" s="4136"/>
      <c r="ONN13" s="4136"/>
      <c r="ONO13" s="4136"/>
      <c r="ONP13" s="4136"/>
      <c r="ONQ13" s="4136"/>
      <c r="ONR13" s="4136"/>
      <c r="ONS13" s="4136"/>
      <c r="ONT13" s="4136"/>
      <c r="ONU13" s="4136"/>
      <c r="ONV13" s="4136"/>
      <c r="ONW13" s="4136"/>
      <c r="ONX13" s="4136"/>
      <c r="ONY13" s="4136"/>
      <c r="ONZ13" s="4136"/>
      <c r="OOA13" s="4136"/>
      <c r="OOB13" s="4136"/>
      <c r="OOC13" s="4136"/>
      <c r="OOD13" s="4136"/>
      <c r="OOE13" s="4136"/>
      <c r="OOF13" s="4136"/>
      <c r="OOG13" s="4136"/>
      <c r="OOH13" s="4136"/>
      <c r="OOI13" s="4136"/>
      <c r="OOJ13" s="4136"/>
      <c r="OOK13" s="4136"/>
      <c r="OOL13" s="4136"/>
      <c r="OOM13" s="4136"/>
      <c r="OON13" s="4136"/>
      <c r="OOO13" s="4136"/>
      <c r="OOP13" s="4136"/>
      <c r="OOQ13" s="4136"/>
      <c r="OOR13" s="4136"/>
      <c r="OOS13" s="4136"/>
      <c r="OOT13" s="4136"/>
      <c r="OOU13" s="4136"/>
      <c r="OOV13" s="4136"/>
      <c r="OOW13" s="4136"/>
      <c r="OOX13" s="4136"/>
      <c r="OOY13" s="4136"/>
      <c r="OOZ13" s="4136"/>
      <c r="OPA13" s="4136"/>
      <c r="OPB13" s="4136"/>
      <c r="OPC13" s="4136"/>
      <c r="OPD13" s="4136"/>
      <c r="OPE13" s="4136"/>
      <c r="OPF13" s="4136"/>
      <c r="OPG13" s="4136"/>
      <c r="OPH13" s="4136"/>
      <c r="OPI13" s="4136"/>
      <c r="OPJ13" s="4136"/>
      <c r="OPK13" s="4136"/>
      <c r="OPL13" s="4136"/>
      <c r="OPM13" s="4136"/>
      <c r="OPN13" s="4136"/>
      <c r="OPO13" s="4136"/>
      <c r="OPP13" s="4136"/>
      <c r="OPQ13" s="4136"/>
      <c r="OPR13" s="4136"/>
      <c r="OPS13" s="4136"/>
      <c r="OPT13" s="4136"/>
      <c r="OPU13" s="4136"/>
      <c r="OPV13" s="4136"/>
      <c r="OPW13" s="4136"/>
      <c r="OPX13" s="4136"/>
      <c r="OPY13" s="4136"/>
      <c r="OPZ13" s="4136"/>
      <c r="OQA13" s="4136"/>
      <c r="OQB13" s="4136"/>
      <c r="OQC13" s="4136"/>
      <c r="OQD13" s="4136"/>
      <c r="OQE13" s="4136"/>
      <c r="OQF13" s="4136"/>
      <c r="OQG13" s="4136"/>
      <c r="OQH13" s="4136"/>
      <c r="OQI13" s="4136"/>
      <c r="OQJ13" s="4136"/>
      <c r="OQK13" s="4136"/>
      <c r="OQL13" s="4136"/>
      <c r="OQM13" s="4136"/>
      <c r="OQN13" s="4136"/>
      <c r="OQO13" s="4136"/>
      <c r="OQP13" s="4136"/>
      <c r="OQQ13" s="4136"/>
      <c r="OQR13" s="4136"/>
      <c r="OQS13" s="4136"/>
      <c r="OQT13" s="4136"/>
      <c r="OQU13" s="4136"/>
      <c r="OQV13" s="4136"/>
      <c r="OQW13" s="4136"/>
      <c r="OQX13" s="4136"/>
      <c r="OQY13" s="4136"/>
      <c r="OQZ13" s="4136"/>
      <c r="ORA13" s="4136"/>
      <c r="ORB13" s="4136"/>
      <c r="ORC13" s="4136"/>
      <c r="ORD13" s="4136"/>
      <c r="ORE13" s="4136"/>
      <c r="ORF13" s="4136"/>
      <c r="ORG13" s="4136"/>
      <c r="ORH13" s="4136"/>
      <c r="ORI13" s="4136"/>
      <c r="ORJ13" s="4136"/>
      <c r="ORK13" s="4136"/>
      <c r="ORL13" s="4136"/>
      <c r="ORM13" s="4136"/>
      <c r="ORN13" s="4136"/>
      <c r="ORO13" s="4136"/>
      <c r="ORP13" s="4136"/>
      <c r="ORQ13" s="4136"/>
      <c r="ORR13" s="4136"/>
      <c r="ORS13" s="4136"/>
      <c r="ORT13" s="4136"/>
      <c r="ORU13" s="4136"/>
      <c r="ORV13" s="4136"/>
      <c r="ORW13" s="4136"/>
      <c r="ORX13" s="4136"/>
      <c r="ORY13" s="4136"/>
      <c r="ORZ13" s="4136"/>
      <c r="OSA13" s="4136"/>
      <c r="OSB13" s="4136"/>
      <c r="OSC13" s="4136"/>
      <c r="OSD13" s="4136"/>
      <c r="OSE13" s="4136"/>
      <c r="OSF13" s="4136"/>
      <c r="OSG13" s="4136"/>
      <c r="OSH13" s="4136"/>
      <c r="OSI13" s="4136"/>
      <c r="OSJ13" s="4136"/>
      <c r="OSK13" s="4136"/>
      <c r="OSL13" s="4136"/>
      <c r="OSM13" s="4136"/>
      <c r="OSN13" s="4136"/>
      <c r="OSO13" s="4136"/>
      <c r="OSP13" s="4136"/>
      <c r="OSQ13" s="4136"/>
      <c r="OSR13" s="4136"/>
      <c r="OSS13" s="4136"/>
      <c r="OST13" s="4136"/>
      <c r="OSU13" s="4136"/>
      <c r="OSV13" s="4136"/>
      <c r="OSW13" s="4136"/>
      <c r="OSX13" s="4136"/>
      <c r="OSY13" s="4136"/>
      <c r="OSZ13" s="4136"/>
      <c r="OTA13" s="4136"/>
      <c r="OTB13" s="4136"/>
      <c r="OTC13" s="4136"/>
      <c r="OTD13" s="4136"/>
      <c r="OTE13" s="4136"/>
      <c r="OTF13" s="4136"/>
      <c r="OTG13" s="4136"/>
      <c r="OTH13" s="4136"/>
      <c r="OTI13" s="4136"/>
      <c r="OTJ13" s="4136"/>
      <c r="OTK13" s="4136"/>
      <c r="OTL13" s="4136"/>
      <c r="OTM13" s="4136"/>
      <c r="OTN13" s="4136"/>
      <c r="OTO13" s="4136"/>
      <c r="OTP13" s="4136"/>
      <c r="OTQ13" s="4136"/>
      <c r="OTR13" s="4136"/>
      <c r="OTS13" s="4136"/>
      <c r="OTT13" s="4136"/>
      <c r="OTU13" s="4136"/>
      <c r="OTV13" s="4136"/>
      <c r="OTW13" s="4136"/>
      <c r="OTX13" s="4136"/>
      <c r="OTY13" s="4136"/>
      <c r="OTZ13" s="4136"/>
      <c r="OUA13" s="4136"/>
      <c r="OUB13" s="4136"/>
      <c r="OUC13" s="4136"/>
      <c r="OUD13" s="4136"/>
      <c r="OUE13" s="4136"/>
      <c r="OUF13" s="4136"/>
      <c r="OUG13" s="4136"/>
      <c r="OUH13" s="4136"/>
      <c r="OUI13" s="4136"/>
      <c r="OUJ13" s="4136"/>
      <c r="OUK13" s="4136"/>
      <c r="OUL13" s="4136"/>
      <c r="OUM13" s="4136"/>
      <c r="OUN13" s="4136"/>
      <c r="OUO13" s="4136"/>
      <c r="OUP13" s="4136"/>
      <c r="OUQ13" s="4136"/>
      <c r="OUR13" s="4136"/>
      <c r="OUS13" s="4136"/>
      <c r="OUT13" s="4136"/>
      <c r="OUU13" s="4136"/>
      <c r="OUV13" s="4136"/>
      <c r="OUW13" s="4136"/>
      <c r="OUX13" s="4136"/>
      <c r="OUY13" s="4136"/>
      <c r="OUZ13" s="4136"/>
      <c r="OVA13" s="4136"/>
      <c r="OVB13" s="4136"/>
      <c r="OVC13" s="4136"/>
      <c r="OVD13" s="4136"/>
      <c r="OVE13" s="4136"/>
      <c r="OVF13" s="4136"/>
      <c r="OVG13" s="4136"/>
      <c r="OVH13" s="4136"/>
      <c r="OVI13" s="4136"/>
      <c r="OVJ13" s="4136"/>
      <c r="OVK13" s="4136"/>
      <c r="OVL13" s="4136"/>
      <c r="OVM13" s="4136"/>
      <c r="OVN13" s="4136"/>
      <c r="OVO13" s="4136"/>
      <c r="OVP13" s="4136"/>
      <c r="OVQ13" s="4136"/>
      <c r="OVR13" s="4136"/>
      <c r="OVS13" s="4136"/>
      <c r="OVT13" s="4136"/>
      <c r="OVU13" s="4136"/>
      <c r="OVV13" s="4136"/>
      <c r="OVW13" s="4136"/>
      <c r="OVX13" s="4136"/>
      <c r="OVY13" s="4136"/>
      <c r="OVZ13" s="4136"/>
      <c r="OWA13" s="4136"/>
      <c r="OWB13" s="4136"/>
      <c r="OWC13" s="4136"/>
      <c r="OWD13" s="4136"/>
      <c r="OWE13" s="4136"/>
      <c r="OWF13" s="4136"/>
      <c r="OWG13" s="4136"/>
      <c r="OWH13" s="4136"/>
      <c r="OWI13" s="4136"/>
      <c r="OWJ13" s="4136"/>
      <c r="OWK13" s="4136"/>
      <c r="OWL13" s="4136"/>
      <c r="OWM13" s="4136"/>
      <c r="OWN13" s="4136"/>
      <c r="OWO13" s="4136"/>
      <c r="OWP13" s="4136"/>
      <c r="OWQ13" s="4136"/>
      <c r="OWR13" s="4136"/>
      <c r="OWS13" s="4136"/>
      <c r="OWT13" s="4136"/>
      <c r="OWU13" s="4136"/>
      <c r="OWV13" s="4136"/>
      <c r="OWW13" s="4136"/>
      <c r="OWX13" s="4136"/>
      <c r="OWY13" s="4136"/>
      <c r="OWZ13" s="4136"/>
      <c r="OXA13" s="4136"/>
      <c r="OXB13" s="4136"/>
      <c r="OXC13" s="4136"/>
      <c r="OXD13" s="4136"/>
      <c r="OXE13" s="4136"/>
      <c r="OXF13" s="4136"/>
      <c r="OXG13" s="4136"/>
      <c r="OXH13" s="4136"/>
      <c r="OXI13" s="4136"/>
      <c r="OXJ13" s="4136"/>
      <c r="OXK13" s="4136"/>
      <c r="OXL13" s="4136"/>
      <c r="OXM13" s="4136"/>
      <c r="OXN13" s="4136"/>
      <c r="OXO13" s="4136"/>
      <c r="OXP13" s="4136"/>
      <c r="OXQ13" s="4136"/>
      <c r="OXR13" s="4136"/>
      <c r="OXS13" s="4136"/>
      <c r="OXT13" s="4136"/>
      <c r="OXU13" s="4136"/>
      <c r="OXV13" s="4136"/>
      <c r="OXW13" s="4136"/>
      <c r="OXX13" s="4136"/>
      <c r="OXY13" s="4136"/>
      <c r="OXZ13" s="4136"/>
      <c r="OYA13" s="4136"/>
      <c r="OYB13" s="4136"/>
      <c r="OYC13" s="4136"/>
      <c r="OYD13" s="4136"/>
      <c r="OYE13" s="4136"/>
      <c r="OYF13" s="4136"/>
      <c r="OYG13" s="4136"/>
      <c r="OYH13" s="4136"/>
      <c r="OYI13" s="4136"/>
      <c r="OYJ13" s="4136"/>
      <c r="OYK13" s="4136"/>
      <c r="OYL13" s="4136"/>
      <c r="OYM13" s="4136"/>
      <c r="OYN13" s="4136"/>
      <c r="OYO13" s="4136"/>
      <c r="OYP13" s="4136"/>
      <c r="OYQ13" s="4136"/>
      <c r="OYR13" s="4136"/>
      <c r="OYS13" s="4136"/>
      <c r="OYT13" s="4136"/>
      <c r="OYU13" s="4136"/>
      <c r="OYV13" s="4136"/>
      <c r="OYW13" s="4136"/>
      <c r="OYX13" s="4136"/>
      <c r="OYY13" s="4136"/>
      <c r="OYZ13" s="4136"/>
      <c r="OZA13" s="4136"/>
      <c r="OZB13" s="4136"/>
      <c r="OZC13" s="4136"/>
      <c r="OZD13" s="4136"/>
      <c r="OZE13" s="4136"/>
      <c r="OZF13" s="4136"/>
      <c r="OZG13" s="4136"/>
      <c r="OZH13" s="4136"/>
      <c r="OZI13" s="4136"/>
      <c r="OZJ13" s="4136"/>
      <c r="OZK13" s="4136"/>
      <c r="OZL13" s="4136"/>
      <c r="OZM13" s="4136"/>
      <c r="OZN13" s="4136"/>
      <c r="OZO13" s="4136"/>
      <c r="OZP13" s="4136"/>
      <c r="OZQ13" s="4136"/>
      <c r="OZR13" s="4136"/>
      <c r="OZS13" s="4136"/>
      <c r="OZT13" s="4136"/>
      <c r="OZU13" s="4136"/>
      <c r="OZV13" s="4136"/>
      <c r="OZW13" s="4136"/>
      <c r="OZX13" s="4136"/>
      <c r="OZY13" s="4136"/>
      <c r="OZZ13" s="4136"/>
      <c r="PAA13" s="4136"/>
      <c r="PAB13" s="4136"/>
      <c r="PAC13" s="4136"/>
      <c r="PAD13" s="4136"/>
      <c r="PAE13" s="4136"/>
      <c r="PAF13" s="4136"/>
      <c r="PAG13" s="4136"/>
      <c r="PAH13" s="4136"/>
      <c r="PAI13" s="4136"/>
      <c r="PAJ13" s="4136"/>
      <c r="PAK13" s="4136"/>
      <c r="PAL13" s="4136"/>
      <c r="PAM13" s="4136"/>
      <c r="PAN13" s="4136"/>
      <c r="PAO13" s="4136"/>
      <c r="PAP13" s="4136"/>
      <c r="PAQ13" s="4136"/>
      <c r="PAR13" s="4136"/>
      <c r="PAS13" s="4136"/>
      <c r="PAT13" s="4136"/>
      <c r="PAU13" s="4136"/>
      <c r="PAV13" s="4136"/>
      <c r="PAW13" s="4136"/>
      <c r="PAX13" s="4136"/>
      <c r="PAY13" s="4136"/>
      <c r="PAZ13" s="4136"/>
      <c r="PBA13" s="4136"/>
      <c r="PBB13" s="4136"/>
      <c r="PBC13" s="4136"/>
      <c r="PBD13" s="4136"/>
      <c r="PBE13" s="4136"/>
      <c r="PBF13" s="4136"/>
      <c r="PBG13" s="4136"/>
      <c r="PBH13" s="4136"/>
      <c r="PBI13" s="4136"/>
      <c r="PBJ13" s="4136"/>
      <c r="PBK13" s="4136"/>
      <c r="PBL13" s="4136"/>
      <c r="PBM13" s="4136"/>
      <c r="PBN13" s="4136"/>
      <c r="PBO13" s="4136"/>
      <c r="PBP13" s="4136"/>
      <c r="PBQ13" s="4136"/>
      <c r="PBR13" s="4136"/>
      <c r="PBS13" s="4136"/>
      <c r="PBT13" s="4136"/>
      <c r="PBU13" s="4136"/>
      <c r="PBV13" s="4136"/>
      <c r="PBW13" s="4136"/>
      <c r="PBX13" s="4136"/>
      <c r="PBY13" s="4136"/>
      <c r="PBZ13" s="4136"/>
      <c r="PCA13" s="4136"/>
      <c r="PCB13" s="4136"/>
      <c r="PCC13" s="4136"/>
      <c r="PCD13" s="4136"/>
      <c r="PCE13" s="4136"/>
      <c r="PCF13" s="4136"/>
      <c r="PCG13" s="4136"/>
      <c r="PCH13" s="4136"/>
      <c r="PCI13" s="4136"/>
      <c r="PCJ13" s="4136"/>
      <c r="PCK13" s="4136"/>
      <c r="PCL13" s="4136"/>
      <c r="PCM13" s="4136"/>
      <c r="PCN13" s="4136"/>
      <c r="PCO13" s="4136"/>
      <c r="PCP13" s="4136"/>
      <c r="PCQ13" s="4136"/>
      <c r="PCR13" s="4136"/>
      <c r="PCS13" s="4136"/>
      <c r="PCT13" s="4136"/>
      <c r="PCU13" s="4136"/>
      <c r="PCV13" s="4136"/>
      <c r="PCW13" s="4136"/>
      <c r="PCX13" s="4136"/>
      <c r="PCY13" s="4136"/>
      <c r="PCZ13" s="4136"/>
      <c r="PDA13" s="4136"/>
      <c r="PDB13" s="4136"/>
      <c r="PDC13" s="4136"/>
      <c r="PDD13" s="4136"/>
      <c r="PDE13" s="4136"/>
      <c r="PDF13" s="4136"/>
      <c r="PDG13" s="4136"/>
      <c r="PDH13" s="4136"/>
      <c r="PDI13" s="4136"/>
      <c r="PDJ13" s="4136"/>
      <c r="PDK13" s="4136"/>
      <c r="PDL13" s="4136"/>
      <c r="PDM13" s="4136"/>
      <c r="PDN13" s="4136"/>
      <c r="PDO13" s="4136"/>
      <c r="PDP13" s="4136"/>
      <c r="PDQ13" s="4136"/>
      <c r="PDR13" s="4136"/>
      <c r="PDS13" s="4136"/>
      <c r="PDT13" s="4136"/>
      <c r="PDU13" s="4136"/>
      <c r="PDV13" s="4136"/>
      <c r="PDW13" s="4136"/>
      <c r="PDX13" s="4136"/>
      <c r="PDY13" s="4136"/>
      <c r="PDZ13" s="4136"/>
      <c r="PEA13" s="4136"/>
      <c r="PEB13" s="4136"/>
      <c r="PEC13" s="4136"/>
      <c r="PED13" s="4136"/>
      <c r="PEE13" s="4136"/>
      <c r="PEF13" s="4136"/>
      <c r="PEG13" s="4136"/>
      <c r="PEH13" s="4136"/>
      <c r="PEI13" s="4136"/>
      <c r="PEJ13" s="4136"/>
      <c r="PEK13" s="4136"/>
      <c r="PEL13" s="4136"/>
      <c r="PEM13" s="4136"/>
      <c r="PEN13" s="4136"/>
      <c r="PEO13" s="4136"/>
      <c r="PEP13" s="4136"/>
      <c r="PEQ13" s="4136"/>
      <c r="PER13" s="4136"/>
      <c r="PES13" s="4136"/>
      <c r="PET13" s="4136"/>
      <c r="PEU13" s="4136"/>
      <c r="PEV13" s="4136"/>
      <c r="PEW13" s="4136"/>
      <c r="PEX13" s="4136"/>
      <c r="PEY13" s="4136"/>
      <c r="PEZ13" s="4136"/>
      <c r="PFA13" s="4136"/>
      <c r="PFB13" s="4136"/>
      <c r="PFC13" s="4136"/>
      <c r="PFD13" s="4136"/>
      <c r="PFE13" s="4136"/>
      <c r="PFF13" s="4136"/>
      <c r="PFG13" s="4136"/>
      <c r="PFH13" s="4136"/>
      <c r="PFI13" s="4136"/>
      <c r="PFJ13" s="4136"/>
      <c r="PFK13" s="4136"/>
      <c r="PFL13" s="4136"/>
      <c r="PFM13" s="4136"/>
      <c r="PFN13" s="4136"/>
      <c r="PFO13" s="4136"/>
      <c r="PFP13" s="4136"/>
      <c r="PFQ13" s="4136"/>
      <c r="PFR13" s="4136"/>
      <c r="PFS13" s="4136"/>
      <c r="PFT13" s="4136"/>
      <c r="PFU13" s="4136"/>
      <c r="PFV13" s="4136"/>
      <c r="PFW13" s="4136"/>
      <c r="PFX13" s="4136"/>
      <c r="PFY13" s="4136"/>
      <c r="PFZ13" s="4136"/>
      <c r="PGA13" s="4136"/>
      <c r="PGB13" s="4136"/>
      <c r="PGC13" s="4136"/>
      <c r="PGD13" s="4136"/>
      <c r="PGE13" s="4136"/>
      <c r="PGF13" s="4136"/>
      <c r="PGG13" s="4136"/>
      <c r="PGH13" s="4136"/>
      <c r="PGI13" s="4136"/>
      <c r="PGJ13" s="4136"/>
      <c r="PGK13" s="4136"/>
      <c r="PGL13" s="4136"/>
      <c r="PGM13" s="4136"/>
      <c r="PGN13" s="4136"/>
      <c r="PGO13" s="4136"/>
      <c r="PGP13" s="4136"/>
      <c r="PGQ13" s="4136"/>
      <c r="PGR13" s="4136"/>
      <c r="PGS13" s="4136"/>
      <c r="PGT13" s="4136"/>
      <c r="PGU13" s="4136"/>
      <c r="PGV13" s="4136"/>
      <c r="PGW13" s="4136"/>
      <c r="PGX13" s="4136"/>
      <c r="PGY13" s="4136"/>
      <c r="PGZ13" s="4136"/>
      <c r="PHA13" s="4136"/>
      <c r="PHB13" s="4136"/>
      <c r="PHC13" s="4136"/>
      <c r="PHD13" s="4136"/>
      <c r="PHE13" s="4136"/>
      <c r="PHF13" s="4136"/>
      <c r="PHG13" s="4136"/>
      <c r="PHH13" s="4136"/>
      <c r="PHI13" s="4136"/>
      <c r="PHJ13" s="4136"/>
      <c r="PHK13" s="4136"/>
      <c r="PHL13" s="4136"/>
      <c r="PHM13" s="4136"/>
      <c r="PHN13" s="4136"/>
      <c r="PHO13" s="4136"/>
      <c r="PHP13" s="4136"/>
      <c r="PHQ13" s="4136"/>
      <c r="PHR13" s="4136"/>
      <c r="PHS13" s="4136"/>
      <c r="PHT13" s="4136"/>
      <c r="PHU13" s="4136"/>
      <c r="PHV13" s="4136"/>
      <c r="PHW13" s="4136"/>
      <c r="PHX13" s="4136"/>
      <c r="PHY13" s="4136"/>
      <c r="PHZ13" s="4136"/>
      <c r="PIA13" s="4136"/>
      <c r="PIB13" s="4136"/>
      <c r="PIC13" s="4136"/>
      <c r="PID13" s="4136"/>
      <c r="PIE13" s="4136"/>
      <c r="PIF13" s="4136"/>
      <c r="PIG13" s="4136"/>
      <c r="PIH13" s="4136"/>
      <c r="PII13" s="4136"/>
      <c r="PIJ13" s="4136"/>
      <c r="PIK13" s="4136"/>
      <c r="PIL13" s="4136"/>
      <c r="PIM13" s="4136"/>
      <c r="PIN13" s="4136"/>
      <c r="PIO13" s="4136"/>
      <c r="PIP13" s="4136"/>
      <c r="PIQ13" s="4136"/>
      <c r="PIR13" s="4136"/>
      <c r="PIS13" s="4136"/>
      <c r="PIT13" s="4136"/>
      <c r="PIU13" s="4136"/>
      <c r="PIV13" s="4136"/>
      <c r="PIW13" s="4136"/>
      <c r="PIX13" s="4136"/>
      <c r="PIY13" s="4136"/>
      <c r="PIZ13" s="4136"/>
      <c r="PJA13" s="4136"/>
      <c r="PJB13" s="4136"/>
      <c r="PJC13" s="4136"/>
      <c r="PJD13" s="4136"/>
      <c r="PJE13" s="4136"/>
      <c r="PJF13" s="4136"/>
      <c r="PJG13" s="4136"/>
      <c r="PJH13" s="4136"/>
      <c r="PJI13" s="4136"/>
      <c r="PJJ13" s="4136"/>
      <c r="PJK13" s="4136"/>
      <c r="PJL13" s="4136"/>
      <c r="PJM13" s="4136"/>
      <c r="PJN13" s="4136"/>
      <c r="PJO13" s="4136"/>
      <c r="PJP13" s="4136"/>
      <c r="PJQ13" s="4136"/>
      <c r="PJR13" s="4136"/>
      <c r="PJS13" s="4136"/>
      <c r="PJT13" s="4136"/>
      <c r="PJU13" s="4136"/>
      <c r="PJV13" s="4136"/>
      <c r="PJW13" s="4136"/>
      <c r="PJX13" s="4136"/>
      <c r="PJY13" s="4136"/>
      <c r="PJZ13" s="4136"/>
      <c r="PKA13" s="4136"/>
      <c r="PKB13" s="4136"/>
      <c r="PKC13" s="4136"/>
      <c r="PKD13" s="4136"/>
      <c r="PKE13" s="4136"/>
      <c r="PKF13" s="4136"/>
      <c r="PKG13" s="4136"/>
      <c r="PKH13" s="4136"/>
      <c r="PKI13" s="4136"/>
      <c r="PKJ13" s="4136"/>
      <c r="PKK13" s="4136"/>
      <c r="PKL13" s="4136"/>
      <c r="PKM13" s="4136"/>
      <c r="PKN13" s="4136"/>
      <c r="PKO13" s="4136"/>
      <c r="PKP13" s="4136"/>
      <c r="PKQ13" s="4136"/>
      <c r="PKR13" s="4136"/>
      <c r="PKS13" s="4136"/>
      <c r="PKT13" s="4136"/>
      <c r="PKU13" s="4136"/>
      <c r="PKV13" s="4136"/>
      <c r="PKW13" s="4136"/>
      <c r="PKX13" s="4136"/>
      <c r="PKY13" s="4136"/>
      <c r="PKZ13" s="4136"/>
      <c r="PLA13" s="4136"/>
      <c r="PLB13" s="4136"/>
      <c r="PLC13" s="4136"/>
      <c r="PLD13" s="4136"/>
      <c r="PLE13" s="4136"/>
      <c r="PLF13" s="4136"/>
      <c r="PLG13" s="4136"/>
      <c r="PLH13" s="4136"/>
      <c r="PLI13" s="4136"/>
      <c r="PLJ13" s="4136"/>
      <c r="PLK13" s="4136"/>
      <c r="PLL13" s="4136"/>
      <c r="PLM13" s="4136"/>
      <c r="PLN13" s="4136"/>
      <c r="PLO13" s="4136"/>
      <c r="PLP13" s="4136"/>
      <c r="PLQ13" s="4136"/>
      <c r="PLR13" s="4136"/>
      <c r="PLS13" s="4136"/>
      <c r="PLT13" s="4136"/>
      <c r="PLU13" s="4136"/>
      <c r="PLV13" s="4136"/>
      <c r="PLW13" s="4136"/>
      <c r="PLX13" s="4136"/>
      <c r="PLY13" s="4136"/>
      <c r="PLZ13" s="4136"/>
      <c r="PMA13" s="4136"/>
      <c r="PMB13" s="4136"/>
      <c r="PMC13" s="4136"/>
      <c r="PMD13" s="4136"/>
      <c r="PME13" s="4136"/>
      <c r="PMF13" s="4136"/>
      <c r="PMG13" s="4136"/>
      <c r="PMH13" s="4136"/>
      <c r="PMI13" s="4136"/>
      <c r="PMJ13" s="4136"/>
      <c r="PMK13" s="4136"/>
      <c r="PML13" s="4136"/>
      <c r="PMM13" s="4136"/>
      <c r="PMN13" s="4136"/>
      <c r="PMO13" s="4136"/>
      <c r="PMP13" s="4136"/>
      <c r="PMQ13" s="4136"/>
      <c r="PMR13" s="4136"/>
      <c r="PMS13" s="4136"/>
      <c r="PMT13" s="4136"/>
      <c r="PMU13" s="4136"/>
      <c r="PMV13" s="4136"/>
      <c r="PMW13" s="4136"/>
      <c r="PMX13" s="4136"/>
      <c r="PMY13" s="4136"/>
      <c r="PMZ13" s="4136"/>
      <c r="PNA13" s="4136"/>
      <c r="PNB13" s="4136"/>
      <c r="PNC13" s="4136"/>
      <c r="PND13" s="4136"/>
      <c r="PNE13" s="4136"/>
      <c r="PNF13" s="4136"/>
      <c r="PNG13" s="4136"/>
      <c r="PNH13" s="4136"/>
      <c r="PNI13" s="4136"/>
      <c r="PNJ13" s="4136"/>
      <c r="PNK13" s="4136"/>
      <c r="PNL13" s="4136"/>
      <c r="PNM13" s="4136"/>
      <c r="PNN13" s="4136"/>
      <c r="PNO13" s="4136"/>
      <c r="PNP13" s="4136"/>
      <c r="PNQ13" s="4136"/>
      <c r="PNR13" s="4136"/>
      <c r="PNS13" s="4136"/>
      <c r="PNT13" s="4136"/>
      <c r="PNU13" s="4136"/>
      <c r="PNV13" s="4136"/>
      <c r="PNW13" s="4136"/>
      <c r="PNX13" s="4136"/>
      <c r="PNY13" s="4136"/>
      <c r="PNZ13" s="4136"/>
      <c r="POA13" s="4136"/>
      <c r="POB13" s="4136"/>
      <c r="POC13" s="4136"/>
      <c r="POD13" s="4136"/>
      <c r="POE13" s="4136"/>
      <c r="POF13" s="4136"/>
      <c r="POG13" s="4136"/>
      <c r="POH13" s="4136"/>
      <c r="POI13" s="4136"/>
      <c r="POJ13" s="4136"/>
      <c r="POK13" s="4136"/>
      <c r="POL13" s="4136"/>
      <c r="POM13" s="4136"/>
      <c r="PON13" s="4136"/>
      <c r="POO13" s="4136"/>
      <c r="POP13" s="4136"/>
      <c r="POQ13" s="4136"/>
      <c r="POR13" s="4136"/>
      <c r="POS13" s="4136"/>
      <c r="POT13" s="4136"/>
      <c r="POU13" s="4136"/>
      <c r="POV13" s="4136"/>
      <c r="POW13" s="4136"/>
      <c r="POX13" s="4136"/>
      <c r="POY13" s="4136"/>
      <c r="POZ13" s="4136"/>
      <c r="PPA13" s="4136"/>
      <c r="PPB13" s="4136"/>
      <c r="PPC13" s="4136"/>
      <c r="PPD13" s="4136"/>
      <c r="PPE13" s="4136"/>
      <c r="PPF13" s="4136"/>
      <c r="PPG13" s="4136"/>
      <c r="PPH13" s="4136"/>
      <c r="PPI13" s="4136"/>
      <c r="PPJ13" s="4136"/>
      <c r="PPK13" s="4136"/>
      <c r="PPL13" s="4136"/>
      <c r="PPM13" s="4136"/>
      <c r="PPN13" s="4136"/>
      <c r="PPO13" s="4136"/>
      <c r="PPP13" s="4136"/>
      <c r="PPQ13" s="4136"/>
      <c r="PPR13" s="4136"/>
      <c r="PPS13" s="4136"/>
      <c r="PPT13" s="4136"/>
      <c r="PPU13" s="4136"/>
      <c r="PPV13" s="4136"/>
      <c r="PPW13" s="4136"/>
      <c r="PPX13" s="4136"/>
      <c r="PPY13" s="4136"/>
      <c r="PPZ13" s="4136"/>
      <c r="PQA13" s="4136"/>
      <c r="PQB13" s="4136"/>
      <c r="PQC13" s="4136"/>
      <c r="PQD13" s="4136"/>
      <c r="PQE13" s="4136"/>
      <c r="PQF13" s="4136"/>
      <c r="PQG13" s="4136"/>
      <c r="PQH13" s="4136"/>
      <c r="PQI13" s="4136"/>
      <c r="PQJ13" s="4136"/>
      <c r="PQK13" s="4136"/>
      <c r="PQL13" s="4136"/>
      <c r="PQM13" s="4136"/>
      <c r="PQN13" s="4136"/>
      <c r="PQO13" s="4136"/>
      <c r="PQP13" s="4136"/>
      <c r="PQQ13" s="4136"/>
      <c r="PQR13" s="4136"/>
      <c r="PQS13" s="4136"/>
      <c r="PQT13" s="4136"/>
      <c r="PQU13" s="4136"/>
      <c r="PQV13" s="4136"/>
      <c r="PQW13" s="4136"/>
      <c r="PQX13" s="4136"/>
      <c r="PQY13" s="4136"/>
      <c r="PQZ13" s="4136"/>
      <c r="PRA13" s="4136"/>
      <c r="PRB13" s="4136"/>
      <c r="PRC13" s="4136"/>
      <c r="PRD13" s="4136"/>
      <c r="PRE13" s="4136"/>
      <c r="PRF13" s="4136"/>
      <c r="PRG13" s="4136"/>
      <c r="PRH13" s="4136"/>
      <c r="PRI13" s="4136"/>
      <c r="PRJ13" s="4136"/>
      <c r="PRK13" s="4136"/>
      <c r="PRL13" s="4136"/>
      <c r="PRM13" s="4136"/>
      <c r="PRN13" s="4136"/>
      <c r="PRO13" s="4136"/>
      <c r="PRP13" s="4136"/>
      <c r="PRQ13" s="4136"/>
      <c r="PRR13" s="4136"/>
      <c r="PRS13" s="4136"/>
      <c r="PRT13" s="4136"/>
      <c r="PRU13" s="4136"/>
      <c r="PRV13" s="4136"/>
      <c r="PRW13" s="4136"/>
      <c r="PRX13" s="4136"/>
      <c r="PRY13" s="4136"/>
      <c r="PRZ13" s="4136"/>
      <c r="PSA13" s="4136"/>
      <c r="PSB13" s="4136"/>
      <c r="PSC13" s="4136"/>
      <c r="PSD13" s="4136"/>
      <c r="PSE13" s="4136"/>
      <c r="PSF13" s="4136"/>
      <c r="PSG13" s="4136"/>
      <c r="PSH13" s="4136"/>
      <c r="PSI13" s="4136"/>
      <c r="PSJ13" s="4136"/>
      <c r="PSK13" s="4136"/>
      <c r="PSL13" s="4136"/>
      <c r="PSM13" s="4136"/>
      <c r="PSN13" s="4136"/>
      <c r="PSO13" s="4136"/>
      <c r="PSP13" s="4136"/>
      <c r="PSQ13" s="4136"/>
      <c r="PSR13" s="4136"/>
      <c r="PSS13" s="4136"/>
      <c r="PST13" s="4136"/>
      <c r="PSU13" s="4136"/>
      <c r="PSV13" s="4136"/>
      <c r="PSW13" s="4136"/>
      <c r="PSX13" s="4136"/>
      <c r="PSY13" s="4136"/>
      <c r="PSZ13" s="4136"/>
      <c r="PTA13" s="4136"/>
      <c r="PTB13" s="4136"/>
      <c r="PTC13" s="4136"/>
      <c r="PTD13" s="4136"/>
      <c r="PTE13" s="4136"/>
      <c r="PTF13" s="4136"/>
      <c r="PTG13" s="4136"/>
      <c r="PTH13" s="4136"/>
      <c r="PTI13" s="4136"/>
      <c r="PTJ13" s="4136"/>
      <c r="PTK13" s="4136"/>
      <c r="PTL13" s="4136"/>
      <c r="PTM13" s="4136"/>
      <c r="PTN13" s="4136"/>
      <c r="PTO13" s="4136"/>
      <c r="PTP13" s="4136"/>
      <c r="PTQ13" s="4136"/>
      <c r="PTR13" s="4136"/>
      <c r="PTS13" s="4136"/>
      <c r="PTT13" s="4136"/>
      <c r="PTU13" s="4136"/>
      <c r="PTV13" s="4136"/>
      <c r="PTW13" s="4136"/>
      <c r="PTX13" s="4136"/>
      <c r="PTY13" s="4136"/>
      <c r="PTZ13" s="4136"/>
      <c r="PUA13" s="4136"/>
      <c r="PUB13" s="4136"/>
      <c r="PUC13" s="4136"/>
      <c r="PUD13" s="4136"/>
      <c r="PUE13" s="4136"/>
      <c r="PUF13" s="4136"/>
      <c r="PUG13" s="4136"/>
      <c r="PUH13" s="4136"/>
      <c r="PUI13" s="4136"/>
      <c r="PUJ13" s="4136"/>
      <c r="PUK13" s="4136"/>
      <c r="PUL13" s="4136"/>
      <c r="PUM13" s="4136"/>
      <c r="PUN13" s="4136"/>
      <c r="PUO13" s="4136"/>
      <c r="PUP13" s="4136"/>
      <c r="PUQ13" s="4136"/>
      <c r="PUR13" s="4136"/>
      <c r="PUS13" s="4136"/>
      <c r="PUT13" s="4136"/>
      <c r="PUU13" s="4136"/>
      <c r="PUV13" s="4136"/>
      <c r="PUW13" s="4136"/>
      <c r="PUX13" s="4136"/>
      <c r="PUY13" s="4136"/>
      <c r="PUZ13" s="4136"/>
      <c r="PVA13" s="4136"/>
      <c r="PVB13" s="4136"/>
      <c r="PVC13" s="4136"/>
      <c r="PVD13" s="4136"/>
      <c r="PVE13" s="4136"/>
      <c r="PVF13" s="4136"/>
      <c r="PVG13" s="4136"/>
      <c r="PVH13" s="4136"/>
      <c r="PVI13" s="4136"/>
      <c r="PVJ13" s="4136"/>
      <c r="PVK13" s="4136"/>
      <c r="PVL13" s="4136"/>
      <c r="PVM13" s="4136"/>
      <c r="PVN13" s="4136"/>
      <c r="PVO13" s="4136"/>
      <c r="PVP13" s="4136"/>
      <c r="PVQ13" s="4136"/>
      <c r="PVR13" s="4136"/>
      <c r="PVS13" s="4136"/>
      <c r="PVT13" s="4136"/>
      <c r="PVU13" s="4136"/>
      <c r="PVV13" s="4136"/>
      <c r="PVW13" s="4136"/>
      <c r="PVX13" s="4136"/>
      <c r="PVY13" s="4136"/>
      <c r="PVZ13" s="4136"/>
      <c r="PWA13" s="4136"/>
      <c r="PWB13" s="4136"/>
      <c r="PWC13" s="4136"/>
      <c r="PWD13" s="4136"/>
      <c r="PWE13" s="4136"/>
      <c r="PWF13" s="4136"/>
      <c r="PWG13" s="4136"/>
      <c r="PWH13" s="4136"/>
      <c r="PWI13" s="4136"/>
      <c r="PWJ13" s="4136"/>
      <c r="PWK13" s="4136"/>
      <c r="PWL13" s="4136"/>
      <c r="PWM13" s="4136"/>
      <c r="PWN13" s="4136"/>
      <c r="PWO13" s="4136"/>
      <c r="PWP13" s="4136"/>
      <c r="PWQ13" s="4136"/>
      <c r="PWR13" s="4136"/>
      <c r="PWS13" s="4136"/>
      <c r="PWT13" s="4136"/>
      <c r="PWU13" s="4136"/>
      <c r="PWV13" s="4136"/>
      <c r="PWW13" s="4136"/>
      <c r="PWX13" s="4136"/>
      <c r="PWY13" s="4136"/>
      <c r="PWZ13" s="4136"/>
      <c r="PXA13" s="4136"/>
      <c r="PXB13" s="4136"/>
      <c r="PXC13" s="4136"/>
      <c r="PXD13" s="4136"/>
      <c r="PXE13" s="4136"/>
      <c r="PXF13" s="4136"/>
      <c r="PXG13" s="4136"/>
      <c r="PXH13" s="4136"/>
      <c r="PXI13" s="4136"/>
      <c r="PXJ13" s="4136"/>
      <c r="PXK13" s="4136"/>
      <c r="PXL13" s="4136"/>
      <c r="PXM13" s="4136"/>
      <c r="PXN13" s="4136"/>
      <c r="PXO13" s="4136"/>
      <c r="PXP13" s="4136"/>
      <c r="PXQ13" s="4136"/>
      <c r="PXR13" s="4136"/>
      <c r="PXS13" s="4136"/>
      <c r="PXT13" s="4136"/>
      <c r="PXU13" s="4136"/>
      <c r="PXV13" s="4136"/>
      <c r="PXW13" s="4136"/>
      <c r="PXX13" s="4136"/>
      <c r="PXY13" s="4136"/>
      <c r="PXZ13" s="4136"/>
      <c r="PYA13" s="4136"/>
      <c r="PYB13" s="4136"/>
      <c r="PYC13" s="4136"/>
      <c r="PYD13" s="4136"/>
      <c r="PYE13" s="4136"/>
      <c r="PYF13" s="4136"/>
      <c r="PYG13" s="4136"/>
      <c r="PYH13" s="4136"/>
      <c r="PYI13" s="4136"/>
      <c r="PYJ13" s="4136"/>
      <c r="PYK13" s="4136"/>
      <c r="PYL13" s="4136"/>
      <c r="PYM13" s="4136"/>
      <c r="PYN13" s="4136"/>
      <c r="PYO13" s="4136"/>
      <c r="PYP13" s="4136"/>
      <c r="PYQ13" s="4136"/>
      <c r="PYR13" s="4136"/>
      <c r="PYS13" s="4136"/>
      <c r="PYT13" s="4136"/>
      <c r="PYU13" s="4136"/>
      <c r="PYV13" s="4136"/>
      <c r="PYW13" s="4136"/>
      <c r="PYX13" s="4136"/>
      <c r="PYY13" s="4136"/>
      <c r="PYZ13" s="4136"/>
      <c r="PZA13" s="4136"/>
      <c r="PZB13" s="4136"/>
      <c r="PZC13" s="4136"/>
      <c r="PZD13" s="4136"/>
      <c r="PZE13" s="4136"/>
      <c r="PZF13" s="4136"/>
      <c r="PZG13" s="4136"/>
      <c r="PZH13" s="4136"/>
      <c r="PZI13" s="4136"/>
      <c r="PZJ13" s="4136"/>
      <c r="PZK13" s="4136"/>
      <c r="PZL13" s="4136"/>
      <c r="PZM13" s="4136"/>
      <c r="PZN13" s="4136"/>
      <c r="PZO13" s="4136"/>
      <c r="PZP13" s="4136"/>
      <c r="PZQ13" s="4136"/>
      <c r="PZR13" s="4136"/>
      <c r="PZS13" s="4136"/>
      <c r="PZT13" s="4136"/>
      <c r="PZU13" s="4136"/>
      <c r="PZV13" s="4136"/>
      <c r="PZW13" s="4136"/>
      <c r="PZX13" s="4136"/>
      <c r="PZY13" s="4136"/>
      <c r="PZZ13" s="4136"/>
      <c r="QAA13" s="4136"/>
      <c r="QAB13" s="4136"/>
      <c r="QAC13" s="4136"/>
      <c r="QAD13" s="4136"/>
      <c r="QAE13" s="4136"/>
      <c r="QAF13" s="4136"/>
      <c r="QAG13" s="4136"/>
      <c r="QAH13" s="4136"/>
      <c r="QAI13" s="4136"/>
      <c r="QAJ13" s="4136"/>
      <c r="QAK13" s="4136"/>
      <c r="QAL13" s="4136"/>
      <c r="QAM13" s="4136"/>
      <c r="QAN13" s="4136"/>
      <c r="QAO13" s="4136"/>
      <c r="QAP13" s="4136"/>
      <c r="QAQ13" s="4136"/>
      <c r="QAR13" s="4136"/>
      <c r="QAS13" s="4136"/>
      <c r="QAT13" s="4136"/>
      <c r="QAU13" s="4136"/>
      <c r="QAV13" s="4136"/>
      <c r="QAW13" s="4136"/>
      <c r="QAX13" s="4136"/>
      <c r="QAY13" s="4136"/>
      <c r="QAZ13" s="4136"/>
      <c r="QBA13" s="4136"/>
      <c r="QBB13" s="4136"/>
      <c r="QBC13" s="4136"/>
      <c r="QBD13" s="4136"/>
      <c r="QBE13" s="4136"/>
      <c r="QBF13" s="4136"/>
      <c r="QBG13" s="4136"/>
      <c r="QBH13" s="4136"/>
      <c r="QBI13" s="4136"/>
      <c r="QBJ13" s="4136"/>
      <c r="QBK13" s="4136"/>
      <c r="QBL13" s="4136"/>
      <c r="QBM13" s="4136"/>
      <c r="QBN13" s="4136"/>
      <c r="QBO13" s="4136"/>
      <c r="QBP13" s="4136"/>
      <c r="QBQ13" s="4136"/>
      <c r="QBR13" s="4136"/>
      <c r="QBS13" s="4136"/>
      <c r="QBT13" s="4136"/>
      <c r="QBU13" s="4136"/>
      <c r="QBV13" s="4136"/>
      <c r="QBW13" s="4136"/>
      <c r="QBX13" s="4136"/>
      <c r="QBY13" s="4136"/>
      <c r="QBZ13" s="4136"/>
      <c r="QCA13" s="4136"/>
      <c r="QCB13" s="4136"/>
      <c r="QCC13" s="4136"/>
      <c r="QCD13" s="4136"/>
      <c r="QCE13" s="4136"/>
      <c r="QCF13" s="4136"/>
      <c r="QCG13" s="4136"/>
      <c r="QCH13" s="4136"/>
      <c r="QCI13" s="4136"/>
      <c r="QCJ13" s="4136"/>
      <c r="QCK13" s="4136"/>
      <c r="QCL13" s="4136"/>
      <c r="QCM13" s="4136"/>
      <c r="QCN13" s="4136"/>
      <c r="QCO13" s="4136"/>
      <c r="QCP13" s="4136"/>
      <c r="QCQ13" s="4136"/>
      <c r="QCR13" s="4136"/>
      <c r="QCS13" s="4136"/>
      <c r="QCT13" s="4136"/>
      <c r="QCU13" s="4136"/>
      <c r="QCV13" s="4136"/>
      <c r="QCW13" s="4136"/>
      <c r="QCX13" s="4136"/>
      <c r="QCY13" s="4136"/>
      <c r="QCZ13" s="4136"/>
      <c r="QDA13" s="4136"/>
      <c r="QDB13" s="4136"/>
      <c r="QDC13" s="4136"/>
      <c r="QDD13" s="4136"/>
      <c r="QDE13" s="4136"/>
      <c r="QDF13" s="4136"/>
      <c r="QDG13" s="4136"/>
      <c r="QDH13" s="4136"/>
      <c r="QDI13" s="4136"/>
      <c r="QDJ13" s="4136"/>
      <c r="QDK13" s="4136"/>
      <c r="QDL13" s="4136"/>
      <c r="QDM13" s="4136"/>
      <c r="QDN13" s="4136"/>
      <c r="QDO13" s="4136"/>
      <c r="QDP13" s="4136"/>
      <c r="QDQ13" s="4136"/>
      <c r="QDR13" s="4136"/>
      <c r="QDS13" s="4136"/>
      <c r="QDT13" s="4136"/>
      <c r="QDU13" s="4136"/>
      <c r="QDV13" s="4136"/>
      <c r="QDW13" s="4136"/>
      <c r="QDX13" s="4136"/>
      <c r="QDY13" s="4136"/>
      <c r="QDZ13" s="4136"/>
      <c r="QEA13" s="4136"/>
      <c r="QEB13" s="4136"/>
      <c r="QEC13" s="4136"/>
      <c r="QED13" s="4136"/>
      <c r="QEE13" s="4136"/>
      <c r="QEF13" s="4136"/>
      <c r="QEG13" s="4136"/>
      <c r="QEH13" s="4136"/>
      <c r="QEI13" s="4136"/>
      <c r="QEJ13" s="4136"/>
      <c r="QEK13" s="4136"/>
      <c r="QEL13" s="4136"/>
      <c r="QEM13" s="4136"/>
      <c r="QEN13" s="4136"/>
      <c r="QEO13" s="4136"/>
      <c r="QEP13" s="4136"/>
      <c r="QEQ13" s="4136"/>
      <c r="QER13" s="4136"/>
      <c r="QES13" s="4136"/>
      <c r="QET13" s="4136"/>
      <c r="QEU13" s="4136"/>
      <c r="QEV13" s="4136"/>
      <c r="QEW13" s="4136"/>
      <c r="QEX13" s="4136"/>
      <c r="QEY13" s="4136"/>
      <c r="QEZ13" s="4136"/>
      <c r="QFA13" s="4136"/>
      <c r="QFB13" s="4136"/>
      <c r="QFC13" s="4136"/>
      <c r="QFD13" s="4136"/>
      <c r="QFE13" s="4136"/>
      <c r="QFF13" s="4136"/>
      <c r="QFG13" s="4136"/>
      <c r="QFH13" s="4136"/>
      <c r="QFI13" s="4136"/>
      <c r="QFJ13" s="4136"/>
      <c r="QFK13" s="4136"/>
      <c r="QFL13" s="4136"/>
      <c r="QFM13" s="4136"/>
      <c r="QFN13" s="4136"/>
      <c r="QFO13" s="4136"/>
      <c r="QFP13" s="4136"/>
      <c r="QFQ13" s="4136"/>
      <c r="QFR13" s="4136"/>
      <c r="QFS13" s="4136"/>
      <c r="QFT13" s="4136"/>
      <c r="QFU13" s="4136"/>
      <c r="QFV13" s="4136"/>
      <c r="QFW13" s="4136"/>
      <c r="QFX13" s="4136"/>
      <c r="QFY13" s="4136"/>
      <c r="QFZ13" s="4136"/>
      <c r="QGA13" s="4136"/>
      <c r="QGB13" s="4136"/>
      <c r="QGC13" s="4136"/>
      <c r="QGD13" s="4136"/>
      <c r="QGE13" s="4136"/>
      <c r="QGF13" s="4136"/>
      <c r="QGG13" s="4136"/>
      <c r="QGH13" s="4136"/>
      <c r="QGI13" s="4136"/>
      <c r="QGJ13" s="4136"/>
      <c r="QGK13" s="4136"/>
      <c r="QGL13" s="4136"/>
      <c r="QGM13" s="4136"/>
      <c r="QGN13" s="4136"/>
      <c r="QGO13" s="4136"/>
      <c r="QGP13" s="4136"/>
      <c r="QGQ13" s="4136"/>
      <c r="QGR13" s="4136"/>
      <c r="QGS13" s="4136"/>
      <c r="QGT13" s="4136"/>
      <c r="QGU13" s="4136"/>
      <c r="QGV13" s="4136"/>
      <c r="QGW13" s="4136"/>
      <c r="QGX13" s="4136"/>
      <c r="QGY13" s="4136"/>
      <c r="QGZ13" s="4136"/>
      <c r="QHA13" s="4136"/>
      <c r="QHB13" s="4136"/>
      <c r="QHC13" s="4136"/>
      <c r="QHD13" s="4136"/>
      <c r="QHE13" s="4136"/>
      <c r="QHF13" s="4136"/>
      <c r="QHG13" s="4136"/>
      <c r="QHH13" s="4136"/>
      <c r="QHI13" s="4136"/>
      <c r="QHJ13" s="4136"/>
      <c r="QHK13" s="4136"/>
      <c r="QHL13" s="4136"/>
      <c r="QHM13" s="4136"/>
      <c r="QHN13" s="4136"/>
      <c r="QHO13" s="4136"/>
      <c r="QHP13" s="4136"/>
      <c r="QHQ13" s="4136"/>
      <c r="QHR13" s="4136"/>
      <c r="QHS13" s="4136"/>
      <c r="QHT13" s="4136"/>
      <c r="QHU13" s="4136"/>
      <c r="QHV13" s="4136"/>
      <c r="QHW13" s="4136"/>
      <c r="QHX13" s="4136"/>
      <c r="QHY13" s="4136"/>
      <c r="QHZ13" s="4136"/>
      <c r="QIA13" s="4136"/>
      <c r="QIB13" s="4136"/>
      <c r="QIC13" s="4136"/>
      <c r="QID13" s="4136"/>
      <c r="QIE13" s="4136"/>
      <c r="QIF13" s="4136"/>
      <c r="QIG13" s="4136"/>
      <c r="QIH13" s="4136"/>
      <c r="QII13" s="4136"/>
      <c r="QIJ13" s="4136"/>
      <c r="QIK13" s="4136"/>
      <c r="QIL13" s="4136"/>
      <c r="QIM13" s="4136"/>
      <c r="QIN13" s="4136"/>
      <c r="QIO13" s="4136"/>
      <c r="QIP13" s="4136"/>
      <c r="QIQ13" s="4136"/>
      <c r="QIR13" s="4136"/>
      <c r="QIS13" s="4136"/>
      <c r="QIT13" s="4136"/>
      <c r="QIU13" s="4136"/>
      <c r="QIV13" s="4136"/>
      <c r="QIW13" s="4136"/>
      <c r="QIX13" s="4136"/>
      <c r="QIY13" s="4136"/>
      <c r="QIZ13" s="4136"/>
      <c r="QJA13" s="4136"/>
      <c r="QJB13" s="4136"/>
      <c r="QJC13" s="4136"/>
      <c r="QJD13" s="4136"/>
      <c r="QJE13" s="4136"/>
      <c r="QJF13" s="4136"/>
      <c r="QJG13" s="4136"/>
      <c r="QJH13" s="4136"/>
      <c r="QJI13" s="4136"/>
      <c r="QJJ13" s="4136"/>
      <c r="QJK13" s="4136"/>
      <c r="QJL13" s="4136"/>
      <c r="QJM13" s="4136"/>
      <c r="QJN13" s="4136"/>
      <c r="QJO13" s="4136"/>
      <c r="QJP13" s="4136"/>
      <c r="QJQ13" s="4136"/>
      <c r="QJR13" s="4136"/>
      <c r="QJS13" s="4136"/>
      <c r="QJT13" s="4136"/>
      <c r="QJU13" s="4136"/>
      <c r="QJV13" s="4136"/>
      <c r="QJW13" s="4136"/>
      <c r="QJX13" s="4136"/>
      <c r="QJY13" s="4136"/>
      <c r="QJZ13" s="4136"/>
      <c r="QKA13" s="4136"/>
      <c r="QKB13" s="4136"/>
      <c r="QKC13" s="4136"/>
      <c r="QKD13" s="4136"/>
      <c r="QKE13" s="4136"/>
      <c r="QKF13" s="4136"/>
      <c r="QKG13" s="4136"/>
      <c r="QKH13" s="4136"/>
      <c r="QKI13" s="4136"/>
      <c r="QKJ13" s="4136"/>
      <c r="QKK13" s="4136"/>
      <c r="QKL13" s="4136"/>
      <c r="QKM13" s="4136"/>
      <c r="QKN13" s="4136"/>
      <c r="QKO13" s="4136"/>
      <c r="QKP13" s="4136"/>
      <c r="QKQ13" s="4136"/>
      <c r="QKR13" s="4136"/>
      <c r="QKS13" s="4136"/>
      <c r="QKT13" s="4136"/>
      <c r="QKU13" s="4136"/>
      <c r="QKV13" s="4136"/>
      <c r="QKW13" s="4136"/>
      <c r="QKX13" s="4136"/>
      <c r="QKY13" s="4136"/>
      <c r="QKZ13" s="4136"/>
      <c r="QLA13" s="4136"/>
      <c r="QLB13" s="4136"/>
      <c r="QLC13" s="4136"/>
      <c r="QLD13" s="4136"/>
      <c r="QLE13" s="4136"/>
      <c r="QLF13" s="4136"/>
      <c r="QLG13" s="4136"/>
      <c r="QLH13" s="4136"/>
      <c r="QLI13" s="4136"/>
      <c r="QLJ13" s="4136"/>
      <c r="QLK13" s="4136"/>
      <c r="QLL13" s="4136"/>
      <c r="QLM13" s="4136"/>
      <c r="QLN13" s="4136"/>
      <c r="QLO13" s="4136"/>
      <c r="QLP13" s="4136"/>
      <c r="QLQ13" s="4136"/>
      <c r="QLR13" s="4136"/>
      <c r="QLS13" s="4136"/>
      <c r="QLT13" s="4136"/>
      <c r="QLU13" s="4136"/>
      <c r="QLV13" s="4136"/>
      <c r="QLW13" s="4136"/>
      <c r="QLX13" s="4136"/>
      <c r="QLY13" s="4136"/>
      <c r="QLZ13" s="4136"/>
      <c r="QMA13" s="4136"/>
      <c r="QMB13" s="4136"/>
      <c r="QMC13" s="4136"/>
      <c r="QMD13" s="4136"/>
      <c r="QME13" s="4136"/>
      <c r="QMF13" s="4136"/>
      <c r="QMG13" s="4136"/>
      <c r="QMH13" s="4136"/>
      <c r="QMI13" s="4136"/>
      <c r="QMJ13" s="4136"/>
      <c r="QMK13" s="4136"/>
      <c r="QML13" s="4136"/>
      <c r="QMM13" s="4136"/>
      <c r="QMN13" s="4136"/>
      <c r="QMO13" s="4136"/>
      <c r="QMP13" s="4136"/>
      <c r="QMQ13" s="4136"/>
      <c r="QMR13" s="4136"/>
      <c r="QMS13" s="4136"/>
      <c r="QMT13" s="4136"/>
      <c r="QMU13" s="4136"/>
      <c r="QMV13" s="4136"/>
      <c r="QMW13" s="4136"/>
      <c r="QMX13" s="4136"/>
      <c r="QMY13" s="4136"/>
      <c r="QMZ13" s="4136"/>
      <c r="QNA13" s="4136"/>
      <c r="QNB13" s="4136"/>
      <c r="QNC13" s="4136"/>
      <c r="QND13" s="4136"/>
      <c r="QNE13" s="4136"/>
      <c r="QNF13" s="4136"/>
      <c r="QNG13" s="4136"/>
      <c r="QNH13" s="4136"/>
      <c r="QNI13" s="4136"/>
      <c r="QNJ13" s="4136"/>
      <c r="QNK13" s="4136"/>
      <c r="QNL13" s="4136"/>
      <c r="QNM13" s="4136"/>
      <c r="QNN13" s="4136"/>
      <c r="QNO13" s="4136"/>
      <c r="QNP13" s="4136"/>
      <c r="QNQ13" s="4136"/>
      <c r="QNR13" s="4136"/>
      <c r="QNS13" s="4136"/>
      <c r="QNT13" s="4136"/>
      <c r="QNU13" s="4136"/>
      <c r="QNV13" s="4136"/>
      <c r="QNW13" s="4136"/>
      <c r="QNX13" s="4136"/>
      <c r="QNY13" s="4136"/>
      <c r="QNZ13" s="4136"/>
      <c r="QOA13" s="4136"/>
      <c r="QOB13" s="4136"/>
      <c r="QOC13" s="4136"/>
      <c r="QOD13" s="4136"/>
      <c r="QOE13" s="4136"/>
      <c r="QOF13" s="4136"/>
      <c r="QOG13" s="4136"/>
      <c r="QOH13" s="4136"/>
      <c r="QOI13" s="4136"/>
      <c r="QOJ13" s="4136"/>
      <c r="QOK13" s="4136"/>
      <c r="QOL13" s="4136"/>
      <c r="QOM13" s="4136"/>
      <c r="QON13" s="4136"/>
      <c r="QOO13" s="4136"/>
      <c r="QOP13" s="4136"/>
      <c r="QOQ13" s="4136"/>
      <c r="QOR13" s="4136"/>
      <c r="QOS13" s="4136"/>
      <c r="QOT13" s="4136"/>
      <c r="QOU13" s="4136"/>
      <c r="QOV13" s="4136"/>
      <c r="QOW13" s="4136"/>
      <c r="QOX13" s="4136"/>
      <c r="QOY13" s="4136"/>
      <c r="QOZ13" s="4136"/>
      <c r="QPA13" s="4136"/>
      <c r="QPB13" s="4136"/>
      <c r="QPC13" s="4136"/>
      <c r="QPD13" s="4136"/>
      <c r="QPE13" s="4136"/>
      <c r="QPF13" s="4136"/>
      <c r="QPG13" s="4136"/>
      <c r="QPH13" s="4136"/>
      <c r="QPI13" s="4136"/>
      <c r="QPJ13" s="4136"/>
      <c r="QPK13" s="4136"/>
      <c r="QPL13" s="4136"/>
      <c r="QPM13" s="4136"/>
      <c r="QPN13" s="4136"/>
      <c r="QPO13" s="4136"/>
      <c r="QPP13" s="4136"/>
      <c r="QPQ13" s="4136"/>
      <c r="QPR13" s="4136"/>
      <c r="QPS13" s="4136"/>
      <c r="QPT13" s="4136"/>
      <c r="QPU13" s="4136"/>
      <c r="QPV13" s="4136"/>
      <c r="QPW13" s="4136"/>
      <c r="QPX13" s="4136"/>
      <c r="QPY13" s="4136"/>
      <c r="QPZ13" s="4136"/>
      <c r="QQA13" s="4136"/>
      <c r="QQB13" s="4136"/>
      <c r="QQC13" s="4136"/>
      <c r="QQD13" s="4136"/>
      <c r="QQE13" s="4136"/>
      <c r="QQF13" s="4136"/>
      <c r="QQG13" s="4136"/>
      <c r="QQH13" s="4136"/>
      <c r="QQI13" s="4136"/>
      <c r="QQJ13" s="4136"/>
      <c r="QQK13" s="4136"/>
      <c r="QQL13" s="4136"/>
      <c r="QQM13" s="4136"/>
      <c r="QQN13" s="4136"/>
      <c r="QQO13" s="4136"/>
      <c r="QQP13" s="4136"/>
      <c r="QQQ13" s="4136"/>
      <c r="QQR13" s="4136"/>
      <c r="QQS13" s="4136"/>
      <c r="QQT13" s="4136"/>
      <c r="QQU13" s="4136"/>
      <c r="QQV13" s="4136"/>
      <c r="QQW13" s="4136"/>
      <c r="QQX13" s="4136"/>
      <c r="QQY13" s="4136"/>
      <c r="QQZ13" s="4136"/>
      <c r="QRA13" s="4136"/>
      <c r="QRB13" s="4136"/>
      <c r="QRC13" s="4136"/>
      <c r="QRD13" s="4136"/>
      <c r="QRE13" s="4136"/>
      <c r="QRF13" s="4136"/>
      <c r="QRG13" s="4136"/>
      <c r="QRH13" s="4136"/>
      <c r="QRI13" s="4136"/>
      <c r="QRJ13" s="4136"/>
      <c r="QRK13" s="4136"/>
      <c r="QRL13" s="4136"/>
      <c r="QRM13" s="4136"/>
      <c r="QRN13" s="4136"/>
      <c r="QRO13" s="4136"/>
      <c r="QRP13" s="4136"/>
      <c r="QRQ13" s="4136"/>
      <c r="QRR13" s="4136"/>
      <c r="QRS13" s="4136"/>
      <c r="QRT13" s="4136"/>
      <c r="QRU13" s="4136"/>
      <c r="QRV13" s="4136"/>
      <c r="QRW13" s="4136"/>
      <c r="QRX13" s="4136"/>
      <c r="QRY13" s="4136"/>
      <c r="QRZ13" s="4136"/>
      <c r="QSA13" s="4136"/>
      <c r="QSB13" s="4136"/>
      <c r="QSC13" s="4136"/>
      <c r="QSD13" s="4136"/>
      <c r="QSE13" s="4136"/>
      <c r="QSF13" s="4136"/>
      <c r="QSG13" s="4136"/>
      <c r="QSH13" s="4136"/>
      <c r="QSI13" s="4136"/>
      <c r="QSJ13" s="4136"/>
      <c r="QSK13" s="4136"/>
      <c r="QSL13" s="4136"/>
      <c r="QSM13" s="4136"/>
      <c r="QSN13" s="4136"/>
      <c r="QSO13" s="4136"/>
      <c r="QSP13" s="4136"/>
      <c r="QSQ13" s="4136"/>
      <c r="QSR13" s="4136"/>
      <c r="QSS13" s="4136"/>
      <c r="QST13" s="4136"/>
      <c r="QSU13" s="4136"/>
      <c r="QSV13" s="4136"/>
      <c r="QSW13" s="4136"/>
      <c r="QSX13" s="4136"/>
      <c r="QSY13" s="4136"/>
      <c r="QSZ13" s="4136"/>
      <c r="QTA13" s="4136"/>
      <c r="QTB13" s="4136"/>
      <c r="QTC13" s="4136"/>
      <c r="QTD13" s="4136"/>
      <c r="QTE13" s="4136"/>
      <c r="QTF13" s="4136"/>
      <c r="QTG13" s="4136"/>
      <c r="QTH13" s="4136"/>
      <c r="QTI13" s="4136"/>
      <c r="QTJ13" s="4136"/>
      <c r="QTK13" s="4136"/>
      <c r="QTL13" s="4136"/>
      <c r="QTM13" s="4136"/>
      <c r="QTN13" s="4136"/>
      <c r="QTO13" s="4136"/>
      <c r="QTP13" s="4136"/>
      <c r="QTQ13" s="4136"/>
      <c r="QTR13" s="4136"/>
      <c r="QTS13" s="4136"/>
      <c r="QTT13" s="4136"/>
      <c r="QTU13" s="4136"/>
      <c r="QTV13" s="4136"/>
      <c r="QTW13" s="4136"/>
      <c r="QTX13" s="4136"/>
      <c r="QTY13" s="4136"/>
      <c r="QTZ13" s="4136"/>
      <c r="QUA13" s="4136"/>
      <c r="QUB13" s="4136"/>
      <c r="QUC13" s="4136"/>
      <c r="QUD13" s="4136"/>
      <c r="QUE13" s="4136"/>
      <c r="QUF13" s="4136"/>
      <c r="QUG13" s="4136"/>
      <c r="QUH13" s="4136"/>
      <c r="QUI13" s="4136"/>
      <c r="QUJ13" s="4136"/>
      <c r="QUK13" s="4136"/>
      <c r="QUL13" s="4136"/>
      <c r="QUM13" s="4136"/>
      <c r="QUN13" s="4136"/>
      <c r="QUO13" s="4136"/>
      <c r="QUP13" s="4136"/>
      <c r="QUQ13" s="4136"/>
      <c r="QUR13" s="4136"/>
      <c r="QUS13" s="4136"/>
      <c r="QUT13" s="4136"/>
      <c r="QUU13" s="4136"/>
      <c r="QUV13" s="4136"/>
      <c r="QUW13" s="4136"/>
      <c r="QUX13" s="4136"/>
      <c r="QUY13" s="4136"/>
      <c r="QUZ13" s="4136"/>
      <c r="QVA13" s="4136"/>
      <c r="QVB13" s="4136"/>
      <c r="QVC13" s="4136"/>
      <c r="QVD13" s="4136"/>
      <c r="QVE13" s="4136"/>
      <c r="QVF13" s="4136"/>
      <c r="QVG13" s="4136"/>
      <c r="QVH13" s="4136"/>
      <c r="QVI13" s="4136"/>
      <c r="QVJ13" s="4136"/>
      <c r="QVK13" s="4136"/>
      <c r="QVL13" s="4136"/>
      <c r="QVM13" s="4136"/>
      <c r="QVN13" s="4136"/>
      <c r="QVO13" s="4136"/>
      <c r="QVP13" s="4136"/>
      <c r="QVQ13" s="4136"/>
      <c r="QVR13" s="4136"/>
      <c r="QVS13" s="4136"/>
      <c r="QVT13" s="4136"/>
      <c r="QVU13" s="4136"/>
      <c r="QVV13" s="4136"/>
      <c r="QVW13" s="4136"/>
      <c r="QVX13" s="4136"/>
      <c r="QVY13" s="4136"/>
      <c r="QVZ13" s="4136"/>
      <c r="QWA13" s="4136"/>
      <c r="QWB13" s="4136"/>
      <c r="QWC13" s="4136"/>
      <c r="QWD13" s="4136"/>
      <c r="QWE13" s="4136"/>
      <c r="QWF13" s="4136"/>
      <c r="QWG13" s="4136"/>
      <c r="QWH13" s="4136"/>
      <c r="QWI13" s="4136"/>
      <c r="QWJ13" s="4136"/>
      <c r="QWK13" s="4136"/>
      <c r="QWL13" s="4136"/>
      <c r="QWM13" s="4136"/>
      <c r="QWN13" s="4136"/>
      <c r="QWO13" s="4136"/>
      <c r="QWP13" s="4136"/>
      <c r="QWQ13" s="4136"/>
      <c r="QWR13" s="4136"/>
      <c r="QWS13" s="4136"/>
      <c r="QWT13" s="4136"/>
      <c r="QWU13" s="4136"/>
      <c r="QWV13" s="4136"/>
      <c r="QWW13" s="4136"/>
      <c r="QWX13" s="4136"/>
      <c r="QWY13" s="4136"/>
      <c r="QWZ13" s="4136"/>
      <c r="QXA13" s="4136"/>
      <c r="QXB13" s="4136"/>
      <c r="QXC13" s="4136"/>
      <c r="QXD13" s="4136"/>
      <c r="QXE13" s="4136"/>
      <c r="QXF13" s="4136"/>
      <c r="QXG13" s="4136"/>
      <c r="QXH13" s="4136"/>
      <c r="QXI13" s="4136"/>
      <c r="QXJ13" s="4136"/>
      <c r="QXK13" s="4136"/>
      <c r="QXL13" s="4136"/>
      <c r="QXM13" s="4136"/>
      <c r="QXN13" s="4136"/>
      <c r="QXO13" s="4136"/>
      <c r="QXP13" s="4136"/>
      <c r="QXQ13" s="4136"/>
      <c r="QXR13" s="4136"/>
      <c r="QXS13" s="4136"/>
      <c r="QXT13" s="4136"/>
      <c r="QXU13" s="4136"/>
      <c r="QXV13" s="4136"/>
      <c r="QXW13" s="4136"/>
      <c r="QXX13" s="4136"/>
      <c r="QXY13" s="4136"/>
      <c r="QXZ13" s="4136"/>
      <c r="QYA13" s="4136"/>
      <c r="QYB13" s="4136"/>
      <c r="QYC13" s="4136"/>
      <c r="QYD13" s="4136"/>
      <c r="QYE13" s="4136"/>
      <c r="QYF13" s="4136"/>
      <c r="QYG13" s="4136"/>
      <c r="QYH13" s="4136"/>
      <c r="QYI13" s="4136"/>
      <c r="QYJ13" s="4136"/>
      <c r="QYK13" s="4136"/>
      <c r="QYL13" s="4136"/>
      <c r="QYM13" s="4136"/>
      <c r="QYN13" s="4136"/>
      <c r="QYO13" s="4136"/>
      <c r="QYP13" s="4136"/>
      <c r="QYQ13" s="4136"/>
      <c r="QYR13" s="4136"/>
      <c r="QYS13" s="4136"/>
      <c r="QYT13" s="4136"/>
      <c r="QYU13" s="4136"/>
      <c r="QYV13" s="4136"/>
      <c r="QYW13" s="4136"/>
      <c r="QYX13" s="4136"/>
      <c r="QYY13" s="4136"/>
      <c r="QYZ13" s="4136"/>
      <c r="QZA13" s="4136"/>
      <c r="QZB13" s="4136"/>
      <c r="QZC13" s="4136"/>
      <c r="QZD13" s="4136"/>
      <c r="QZE13" s="4136"/>
      <c r="QZF13" s="4136"/>
      <c r="QZG13" s="4136"/>
      <c r="QZH13" s="4136"/>
      <c r="QZI13" s="4136"/>
      <c r="QZJ13" s="4136"/>
      <c r="QZK13" s="4136"/>
      <c r="QZL13" s="4136"/>
      <c r="QZM13" s="4136"/>
      <c r="QZN13" s="4136"/>
      <c r="QZO13" s="4136"/>
      <c r="QZP13" s="4136"/>
      <c r="QZQ13" s="4136"/>
      <c r="QZR13" s="4136"/>
      <c r="QZS13" s="4136"/>
      <c r="QZT13" s="4136"/>
      <c r="QZU13" s="4136"/>
      <c r="QZV13" s="4136"/>
      <c r="QZW13" s="4136"/>
      <c r="QZX13" s="4136"/>
      <c r="QZY13" s="4136"/>
      <c r="QZZ13" s="4136"/>
      <c r="RAA13" s="4136"/>
      <c r="RAB13" s="4136"/>
      <c r="RAC13" s="4136"/>
      <c r="RAD13" s="4136"/>
      <c r="RAE13" s="4136"/>
      <c r="RAF13" s="4136"/>
      <c r="RAG13" s="4136"/>
      <c r="RAH13" s="4136"/>
      <c r="RAI13" s="4136"/>
      <c r="RAJ13" s="4136"/>
      <c r="RAK13" s="4136"/>
      <c r="RAL13" s="4136"/>
      <c r="RAM13" s="4136"/>
      <c r="RAN13" s="4136"/>
      <c r="RAO13" s="4136"/>
      <c r="RAP13" s="4136"/>
      <c r="RAQ13" s="4136"/>
      <c r="RAR13" s="4136"/>
      <c r="RAS13" s="4136"/>
      <c r="RAT13" s="4136"/>
      <c r="RAU13" s="4136"/>
      <c r="RAV13" s="4136"/>
      <c r="RAW13" s="4136"/>
      <c r="RAX13" s="4136"/>
      <c r="RAY13" s="4136"/>
      <c r="RAZ13" s="4136"/>
      <c r="RBA13" s="4136"/>
      <c r="RBB13" s="4136"/>
      <c r="RBC13" s="4136"/>
      <c r="RBD13" s="4136"/>
      <c r="RBE13" s="4136"/>
      <c r="RBF13" s="4136"/>
      <c r="RBG13" s="4136"/>
      <c r="RBH13" s="4136"/>
      <c r="RBI13" s="4136"/>
      <c r="RBJ13" s="4136"/>
      <c r="RBK13" s="4136"/>
      <c r="RBL13" s="4136"/>
      <c r="RBM13" s="4136"/>
      <c r="RBN13" s="4136"/>
      <c r="RBO13" s="4136"/>
      <c r="RBP13" s="4136"/>
      <c r="RBQ13" s="4136"/>
      <c r="RBR13" s="4136"/>
      <c r="RBS13" s="4136"/>
      <c r="RBT13" s="4136"/>
      <c r="RBU13" s="4136"/>
      <c r="RBV13" s="4136"/>
      <c r="RBW13" s="4136"/>
      <c r="RBX13" s="4136"/>
      <c r="RBY13" s="4136"/>
      <c r="RBZ13" s="4136"/>
      <c r="RCA13" s="4136"/>
      <c r="RCB13" s="4136"/>
      <c r="RCC13" s="4136"/>
      <c r="RCD13" s="4136"/>
      <c r="RCE13" s="4136"/>
      <c r="RCF13" s="4136"/>
      <c r="RCG13" s="4136"/>
      <c r="RCH13" s="4136"/>
      <c r="RCI13" s="4136"/>
      <c r="RCJ13" s="4136"/>
      <c r="RCK13" s="4136"/>
      <c r="RCL13" s="4136"/>
      <c r="RCM13" s="4136"/>
      <c r="RCN13" s="4136"/>
      <c r="RCO13" s="4136"/>
      <c r="RCP13" s="4136"/>
      <c r="RCQ13" s="4136"/>
      <c r="RCR13" s="4136"/>
      <c r="RCS13" s="4136"/>
      <c r="RCT13" s="4136"/>
      <c r="RCU13" s="4136"/>
      <c r="RCV13" s="4136"/>
      <c r="RCW13" s="4136"/>
      <c r="RCX13" s="4136"/>
      <c r="RCY13" s="4136"/>
      <c r="RCZ13" s="4136"/>
      <c r="RDA13" s="4136"/>
      <c r="RDB13" s="4136"/>
      <c r="RDC13" s="4136"/>
      <c r="RDD13" s="4136"/>
      <c r="RDE13" s="4136"/>
      <c r="RDF13" s="4136"/>
      <c r="RDG13" s="4136"/>
      <c r="RDH13" s="4136"/>
      <c r="RDI13" s="4136"/>
      <c r="RDJ13" s="4136"/>
      <c r="RDK13" s="4136"/>
      <c r="RDL13" s="4136"/>
      <c r="RDM13" s="4136"/>
      <c r="RDN13" s="4136"/>
      <c r="RDO13" s="4136"/>
      <c r="RDP13" s="4136"/>
      <c r="RDQ13" s="4136"/>
      <c r="RDR13" s="4136"/>
      <c r="RDS13" s="4136"/>
      <c r="RDT13" s="4136"/>
      <c r="RDU13" s="4136"/>
      <c r="RDV13" s="4136"/>
      <c r="RDW13" s="4136"/>
      <c r="RDX13" s="4136"/>
      <c r="RDY13" s="4136"/>
      <c r="RDZ13" s="4136"/>
      <c r="REA13" s="4136"/>
      <c r="REB13" s="4136"/>
      <c r="REC13" s="4136"/>
      <c r="RED13" s="4136"/>
      <c r="REE13" s="4136"/>
      <c r="REF13" s="4136"/>
      <c r="REG13" s="4136"/>
      <c r="REH13" s="4136"/>
      <c r="REI13" s="4136"/>
      <c r="REJ13" s="4136"/>
      <c r="REK13" s="4136"/>
      <c r="REL13" s="4136"/>
      <c r="REM13" s="4136"/>
      <c r="REN13" s="4136"/>
      <c r="REO13" s="4136"/>
      <c r="REP13" s="4136"/>
      <c r="REQ13" s="4136"/>
      <c r="RER13" s="4136"/>
      <c r="RES13" s="4136"/>
      <c r="RET13" s="4136"/>
      <c r="REU13" s="4136"/>
      <c r="REV13" s="4136"/>
      <c r="REW13" s="4136"/>
      <c r="REX13" s="4136"/>
      <c r="REY13" s="4136"/>
      <c r="REZ13" s="4136"/>
      <c r="RFA13" s="4136"/>
      <c r="RFB13" s="4136"/>
      <c r="RFC13" s="4136"/>
      <c r="RFD13" s="4136"/>
      <c r="RFE13" s="4136"/>
      <c r="RFF13" s="4136"/>
      <c r="RFG13" s="4136"/>
      <c r="RFH13" s="4136"/>
      <c r="RFI13" s="4136"/>
      <c r="RFJ13" s="4136"/>
      <c r="RFK13" s="4136"/>
      <c r="RFL13" s="4136"/>
      <c r="RFM13" s="4136"/>
      <c r="RFN13" s="4136"/>
      <c r="RFO13" s="4136"/>
      <c r="RFP13" s="4136"/>
      <c r="RFQ13" s="4136"/>
      <c r="RFR13" s="4136"/>
      <c r="RFS13" s="4136"/>
      <c r="RFT13" s="4136"/>
      <c r="RFU13" s="4136"/>
      <c r="RFV13" s="4136"/>
      <c r="RFW13" s="4136"/>
      <c r="RFX13" s="4136"/>
      <c r="RFY13" s="4136"/>
      <c r="RFZ13" s="4136"/>
      <c r="RGA13" s="4136"/>
      <c r="RGB13" s="4136"/>
      <c r="RGC13" s="4136"/>
      <c r="RGD13" s="4136"/>
      <c r="RGE13" s="4136"/>
      <c r="RGF13" s="4136"/>
      <c r="RGG13" s="4136"/>
      <c r="RGH13" s="4136"/>
      <c r="RGI13" s="4136"/>
      <c r="RGJ13" s="4136"/>
      <c r="RGK13" s="4136"/>
      <c r="RGL13" s="4136"/>
      <c r="RGM13" s="4136"/>
      <c r="RGN13" s="4136"/>
      <c r="RGO13" s="4136"/>
      <c r="RGP13" s="4136"/>
      <c r="RGQ13" s="4136"/>
      <c r="RGR13" s="4136"/>
      <c r="RGS13" s="4136"/>
      <c r="RGT13" s="4136"/>
      <c r="RGU13" s="4136"/>
      <c r="RGV13" s="4136"/>
      <c r="RGW13" s="4136"/>
      <c r="RGX13" s="4136"/>
      <c r="RGY13" s="4136"/>
      <c r="RGZ13" s="4136"/>
      <c r="RHA13" s="4136"/>
      <c r="RHB13" s="4136"/>
      <c r="RHC13" s="4136"/>
      <c r="RHD13" s="4136"/>
      <c r="RHE13" s="4136"/>
      <c r="RHF13" s="4136"/>
      <c r="RHG13" s="4136"/>
      <c r="RHH13" s="4136"/>
      <c r="RHI13" s="4136"/>
      <c r="RHJ13" s="4136"/>
      <c r="RHK13" s="4136"/>
      <c r="RHL13" s="4136"/>
      <c r="RHM13" s="4136"/>
      <c r="RHN13" s="4136"/>
      <c r="RHO13" s="4136"/>
      <c r="RHP13" s="4136"/>
      <c r="RHQ13" s="4136"/>
      <c r="RHR13" s="4136"/>
      <c r="RHS13" s="4136"/>
      <c r="RHT13" s="4136"/>
      <c r="RHU13" s="4136"/>
      <c r="RHV13" s="4136"/>
      <c r="RHW13" s="4136"/>
      <c r="RHX13" s="4136"/>
      <c r="RHY13" s="4136"/>
      <c r="RHZ13" s="4136"/>
      <c r="RIA13" s="4136"/>
      <c r="RIB13" s="4136"/>
      <c r="RIC13" s="4136"/>
      <c r="RID13" s="4136"/>
      <c r="RIE13" s="4136"/>
      <c r="RIF13" s="4136"/>
      <c r="RIG13" s="4136"/>
      <c r="RIH13" s="4136"/>
      <c r="RII13" s="4136"/>
      <c r="RIJ13" s="4136"/>
      <c r="RIK13" s="4136"/>
      <c r="RIL13" s="4136"/>
      <c r="RIM13" s="4136"/>
      <c r="RIN13" s="4136"/>
      <c r="RIO13" s="4136"/>
      <c r="RIP13" s="4136"/>
      <c r="RIQ13" s="4136"/>
      <c r="RIR13" s="4136"/>
      <c r="RIS13" s="4136"/>
      <c r="RIT13" s="4136"/>
      <c r="RIU13" s="4136"/>
      <c r="RIV13" s="4136"/>
      <c r="RIW13" s="4136"/>
      <c r="RIX13" s="4136"/>
      <c r="RIY13" s="4136"/>
      <c r="RIZ13" s="4136"/>
      <c r="RJA13" s="4136"/>
      <c r="RJB13" s="4136"/>
      <c r="RJC13" s="4136"/>
      <c r="RJD13" s="4136"/>
      <c r="RJE13" s="4136"/>
      <c r="RJF13" s="4136"/>
      <c r="RJG13" s="4136"/>
      <c r="RJH13" s="4136"/>
      <c r="RJI13" s="4136"/>
      <c r="RJJ13" s="4136"/>
      <c r="RJK13" s="4136"/>
      <c r="RJL13" s="4136"/>
      <c r="RJM13" s="4136"/>
      <c r="RJN13" s="4136"/>
      <c r="RJO13" s="4136"/>
      <c r="RJP13" s="4136"/>
      <c r="RJQ13" s="4136"/>
      <c r="RJR13" s="4136"/>
      <c r="RJS13" s="4136"/>
      <c r="RJT13" s="4136"/>
      <c r="RJU13" s="4136"/>
      <c r="RJV13" s="4136"/>
      <c r="RJW13" s="4136"/>
      <c r="RJX13" s="4136"/>
      <c r="RJY13" s="4136"/>
      <c r="RJZ13" s="4136"/>
      <c r="RKA13" s="4136"/>
      <c r="RKB13" s="4136"/>
      <c r="RKC13" s="4136"/>
      <c r="RKD13" s="4136"/>
      <c r="RKE13" s="4136"/>
      <c r="RKF13" s="4136"/>
      <c r="RKG13" s="4136"/>
      <c r="RKH13" s="4136"/>
      <c r="RKI13" s="4136"/>
      <c r="RKJ13" s="4136"/>
      <c r="RKK13" s="4136"/>
      <c r="RKL13" s="4136"/>
      <c r="RKM13" s="4136"/>
      <c r="RKN13" s="4136"/>
      <c r="RKO13" s="4136"/>
      <c r="RKP13" s="4136"/>
      <c r="RKQ13" s="4136"/>
      <c r="RKR13" s="4136"/>
      <c r="RKS13" s="4136"/>
      <c r="RKT13" s="4136"/>
      <c r="RKU13" s="4136"/>
      <c r="RKV13" s="4136"/>
      <c r="RKW13" s="4136"/>
      <c r="RKX13" s="4136"/>
      <c r="RKY13" s="4136"/>
      <c r="RKZ13" s="4136"/>
      <c r="RLA13" s="4136"/>
      <c r="RLB13" s="4136"/>
      <c r="RLC13" s="4136"/>
      <c r="RLD13" s="4136"/>
      <c r="RLE13" s="4136"/>
      <c r="RLF13" s="4136"/>
      <c r="RLG13" s="4136"/>
      <c r="RLH13" s="4136"/>
      <c r="RLI13" s="4136"/>
      <c r="RLJ13" s="4136"/>
      <c r="RLK13" s="4136"/>
      <c r="RLL13" s="4136"/>
      <c r="RLM13" s="4136"/>
      <c r="RLN13" s="4136"/>
      <c r="RLO13" s="4136"/>
      <c r="RLP13" s="4136"/>
      <c r="RLQ13" s="4136"/>
      <c r="RLR13" s="4136"/>
      <c r="RLS13" s="4136"/>
      <c r="RLT13" s="4136"/>
      <c r="RLU13" s="4136"/>
      <c r="RLV13" s="4136"/>
      <c r="RLW13" s="4136"/>
      <c r="RLX13" s="4136"/>
      <c r="RLY13" s="4136"/>
      <c r="RLZ13" s="4136"/>
      <c r="RMA13" s="4136"/>
      <c r="RMB13" s="4136"/>
      <c r="RMC13" s="4136"/>
      <c r="RMD13" s="4136"/>
      <c r="RME13" s="4136"/>
      <c r="RMF13" s="4136"/>
      <c r="RMG13" s="4136"/>
      <c r="RMH13" s="4136"/>
      <c r="RMI13" s="4136"/>
      <c r="RMJ13" s="4136"/>
      <c r="RMK13" s="4136"/>
      <c r="RML13" s="4136"/>
      <c r="RMM13" s="4136"/>
      <c r="RMN13" s="4136"/>
      <c r="RMO13" s="4136"/>
      <c r="RMP13" s="4136"/>
      <c r="RMQ13" s="4136"/>
      <c r="RMR13" s="4136"/>
      <c r="RMS13" s="4136"/>
      <c r="RMT13" s="4136"/>
      <c r="RMU13" s="4136"/>
      <c r="RMV13" s="4136"/>
      <c r="RMW13" s="4136"/>
      <c r="RMX13" s="4136"/>
      <c r="RMY13" s="4136"/>
      <c r="RMZ13" s="4136"/>
      <c r="RNA13" s="4136"/>
      <c r="RNB13" s="4136"/>
      <c r="RNC13" s="4136"/>
      <c r="RND13" s="4136"/>
      <c r="RNE13" s="4136"/>
      <c r="RNF13" s="4136"/>
      <c r="RNG13" s="4136"/>
      <c r="RNH13" s="4136"/>
      <c r="RNI13" s="4136"/>
      <c r="RNJ13" s="4136"/>
      <c r="RNK13" s="4136"/>
      <c r="RNL13" s="4136"/>
      <c r="RNM13" s="4136"/>
      <c r="RNN13" s="4136"/>
      <c r="RNO13" s="4136"/>
      <c r="RNP13" s="4136"/>
      <c r="RNQ13" s="4136"/>
      <c r="RNR13" s="4136"/>
      <c r="RNS13" s="4136"/>
      <c r="RNT13" s="4136"/>
      <c r="RNU13" s="4136"/>
      <c r="RNV13" s="4136"/>
      <c r="RNW13" s="4136"/>
      <c r="RNX13" s="4136"/>
      <c r="RNY13" s="4136"/>
      <c r="RNZ13" s="4136"/>
      <c r="ROA13" s="4136"/>
      <c r="ROB13" s="4136"/>
      <c r="ROC13" s="4136"/>
      <c r="ROD13" s="4136"/>
      <c r="ROE13" s="4136"/>
      <c r="ROF13" s="4136"/>
      <c r="ROG13" s="4136"/>
      <c r="ROH13" s="4136"/>
      <c r="ROI13" s="4136"/>
      <c r="ROJ13" s="4136"/>
      <c r="ROK13" s="4136"/>
      <c r="ROL13" s="4136"/>
      <c r="ROM13" s="4136"/>
      <c r="RON13" s="4136"/>
      <c r="ROO13" s="4136"/>
      <c r="ROP13" s="4136"/>
      <c r="ROQ13" s="4136"/>
      <c r="ROR13" s="4136"/>
      <c r="ROS13" s="4136"/>
      <c r="ROT13" s="4136"/>
      <c r="ROU13" s="4136"/>
      <c r="ROV13" s="4136"/>
      <c r="ROW13" s="4136"/>
      <c r="ROX13" s="4136"/>
      <c r="ROY13" s="4136"/>
      <c r="ROZ13" s="4136"/>
      <c r="RPA13" s="4136"/>
      <c r="RPB13" s="4136"/>
      <c r="RPC13" s="4136"/>
      <c r="RPD13" s="4136"/>
      <c r="RPE13" s="4136"/>
      <c r="RPF13" s="4136"/>
      <c r="RPG13" s="4136"/>
      <c r="RPH13" s="4136"/>
      <c r="RPI13" s="4136"/>
      <c r="RPJ13" s="4136"/>
      <c r="RPK13" s="4136"/>
      <c r="RPL13" s="4136"/>
      <c r="RPM13" s="4136"/>
      <c r="RPN13" s="4136"/>
      <c r="RPO13" s="4136"/>
      <c r="RPP13" s="4136"/>
      <c r="RPQ13" s="4136"/>
      <c r="RPR13" s="4136"/>
      <c r="RPS13" s="4136"/>
      <c r="RPT13" s="4136"/>
      <c r="RPU13" s="4136"/>
      <c r="RPV13" s="4136"/>
      <c r="RPW13" s="4136"/>
      <c r="RPX13" s="4136"/>
      <c r="RPY13" s="4136"/>
      <c r="RPZ13" s="4136"/>
      <c r="RQA13" s="4136"/>
      <c r="RQB13" s="4136"/>
      <c r="RQC13" s="4136"/>
      <c r="RQD13" s="4136"/>
      <c r="RQE13" s="4136"/>
      <c r="RQF13" s="4136"/>
      <c r="RQG13" s="4136"/>
      <c r="RQH13" s="4136"/>
      <c r="RQI13" s="4136"/>
      <c r="RQJ13" s="4136"/>
      <c r="RQK13" s="4136"/>
      <c r="RQL13" s="4136"/>
      <c r="RQM13" s="4136"/>
      <c r="RQN13" s="4136"/>
      <c r="RQO13" s="4136"/>
      <c r="RQP13" s="4136"/>
      <c r="RQQ13" s="4136"/>
      <c r="RQR13" s="4136"/>
      <c r="RQS13" s="4136"/>
      <c r="RQT13" s="4136"/>
      <c r="RQU13" s="4136"/>
      <c r="RQV13" s="4136"/>
      <c r="RQW13" s="4136"/>
      <c r="RQX13" s="4136"/>
      <c r="RQY13" s="4136"/>
      <c r="RQZ13" s="4136"/>
      <c r="RRA13" s="4136"/>
      <c r="RRB13" s="4136"/>
      <c r="RRC13" s="4136"/>
      <c r="RRD13" s="4136"/>
      <c r="RRE13" s="4136"/>
      <c r="RRF13" s="4136"/>
      <c r="RRG13" s="4136"/>
      <c r="RRH13" s="4136"/>
      <c r="RRI13" s="4136"/>
      <c r="RRJ13" s="4136"/>
      <c r="RRK13" s="4136"/>
      <c r="RRL13" s="4136"/>
      <c r="RRM13" s="4136"/>
      <c r="RRN13" s="4136"/>
      <c r="RRO13" s="4136"/>
      <c r="RRP13" s="4136"/>
      <c r="RRQ13" s="4136"/>
      <c r="RRR13" s="4136"/>
      <c r="RRS13" s="4136"/>
      <c r="RRT13" s="4136"/>
      <c r="RRU13" s="4136"/>
      <c r="RRV13" s="4136"/>
      <c r="RRW13" s="4136"/>
      <c r="RRX13" s="4136"/>
      <c r="RRY13" s="4136"/>
      <c r="RRZ13" s="4136"/>
      <c r="RSA13" s="4136"/>
      <c r="RSB13" s="4136"/>
      <c r="RSC13" s="4136"/>
      <c r="RSD13" s="4136"/>
      <c r="RSE13" s="4136"/>
      <c r="RSF13" s="4136"/>
      <c r="RSG13" s="4136"/>
      <c r="RSH13" s="4136"/>
      <c r="RSI13" s="4136"/>
      <c r="RSJ13" s="4136"/>
      <c r="RSK13" s="4136"/>
      <c r="RSL13" s="4136"/>
      <c r="RSM13" s="4136"/>
      <c r="RSN13" s="4136"/>
      <c r="RSO13" s="4136"/>
      <c r="RSP13" s="4136"/>
      <c r="RSQ13" s="4136"/>
      <c r="RSR13" s="4136"/>
      <c r="RSS13" s="4136"/>
      <c r="RST13" s="4136"/>
      <c r="RSU13" s="4136"/>
      <c r="RSV13" s="4136"/>
      <c r="RSW13" s="4136"/>
      <c r="RSX13" s="4136"/>
      <c r="RSY13" s="4136"/>
      <c r="RSZ13" s="4136"/>
      <c r="RTA13" s="4136"/>
      <c r="RTB13" s="4136"/>
      <c r="RTC13" s="4136"/>
      <c r="RTD13" s="4136"/>
      <c r="RTE13" s="4136"/>
      <c r="RTF13" s="4136"/>
      <c r="RTG13" s="4136"/>
      <c r="RTH13" s="4136"/>
      <c r="RTI13" s="4136"/>
      <c r="RTJ13" s="4136"/>
      <c r="RTK13" s="4136"/>
      <c r="RTL13" s="4136"/>
      <c r="RTM13" s="4136"/>
      <c r="RTN13" s="4136"/>
      <c r="RTO13" s="4136"/>
      <c r="RTP13" s="4136"/>
      <c r="RTQ13" s="4136"/>
      <c r="RTR13" s="4136"/>
      <c r="RTS13" s="4136"/>
      <c r="RTT13" s="4136"/>
      <c r="RTU13" s="4136"/>
      <c r="RTV13" s="4136"/>
      <c r="RTW13" s="4136"/>
      <c r="RTX13" s="4136"/>
      <c r="RTY13" s="4136"/>
      <c r="RTZ13" s="4136"/>
      <c r="RUA13" s="4136"/>
      <c r="RUB13" s="4136"/>
      <c r="RUC13" s="4136"/>
      <c r="RUD13" s="4136"/>
      <c r="RUE13" s="4136"/>
      <c r="RUF13" s="4136"/>
      <c r="RUG13" s="4136"/>
      <c r="RUH13" s="4136"/>
      <c r="RUI13" s="4136"/>
      <c r="RUJ13" s="4136"/>
      <c r="RUK13" s="4136"/>
      <c r="RUL13" s="4136"/>
      <c r="RUM13" s="4136"/>
      <c r="RUN13" s="4136"/>
      <c r="RUO13" s="4136"/>
      <c r="RUP13" s="4136"/>
      <c r="RUQ13" s="4136"/>
      <c r="RUR13" s="4136"/>
      <c r="RUS13" s="4136"/>
      <c r="RUT13" s="4136"/>
      <c r="RUU13" s="4136"/>
      <c r="RUV13" s="4136"/>
      <c r="RUW13" s="4136"/>
      <c r="RUX13" s="4136"/>
      <c r="RUY13" s="4136"/>
      <c r="RUZ13" s="4136"/>
      <c r="RVA13" s="4136"/>
      <c r="RVB13" s="4136"/>
      <c r="RVC13" s="4136"/>
      <c r="RVD13" s="4136"/>
      <c r="RVE13" s="4136"/>
      <c r="RVF13" s="4136"/>
      <c r="RVG13" s="4136"/>
      <c r="RVH13" s="4136"/>
      <c r="RVI13" s="4136"/>
      <c r="RVJ13" s="4136"/>
      <c r="RVK13" s="4136"/>
      <c r="RVL13" s="4136"/>
      <c r="RVM13" s="4136"/>
      <c r="RVN13" s="4136"/>
      <c r="RVO13" s="4136"/>
      <c r="RVP13" s="4136"/>
      <c r="RVQ13" s="4136"/>
      <c r="RVR13" s="4136"/>
      <c r="RVS13" s="4136"/>
      <c r="RVT13" s="4136"/>
      <c r="RVU13" s="4136"/>
      <c r="RVV13" s="4136"/>
      <c r="RVW13" s="4136"/>
      <c r="RVX13" s="4136"/>
      <c r="RVY13" s="4136"/>
      <c r="RVZ13" s="4136"/>
      <c r="RWA13" s="4136"/>
      <c r="RWB13" s="4136"/>
      <c r="RWC13" s="4136"/>
      <c r="RWD13" s="4136"/>
      <c r="RWE13" s="4136"/>
      <c r="RWF13" s="4136"/>
      <c r="RWG13" s="4136"/>
      <c r="RWH13" s="4136"/>
      <c r="RWI13" s="4136"/>
      <c r="RWJ13" s="4136"/>
      <c r="RWK13" s="4136"/>
      <c r="RWL13" s="4136"/>
      <c r="RWM13" s="4136"/>
      <c r="RWN13" s="4136"/>
      <c r="RWO13" s="4136"/>
      <c r="RWP13" s="4136"/>
      <c r="RWQ13" s="4136"/>
      <c r="RWR13" s="4136"/>
      <c r="RWS13" s="4136"/>
      <c r="RWT13" s="4136"/>
      <c r="RWU13" s="4136"/>
      <c r="RWV13" s="4136"/>
      <c r="RWW13" s="4136"/>
      <c r="RWX13" s="4136"/>
      <c r="RWY13" s="4136"/>
      <c r="RWZ13" s="4136"/>
      <c r="RXA13" s="4136"/>
      <c r="RXB13" s="4136"/>
      <c r="RXC13" s="4136"/>
      <c r="RXD13" s="4136"/>
      <c r="RXE13" s="4136"/>
      <c r="RXF13" s="4136"/>
      <c r="RXG13" s="4136"/>
      <c r="RXH13" s="4136"/>
      <c r="RXI13" s="4136"/>
      <c r="RXJ13" s="4136"/>
      <c r="RXK13" s="4136"/>
      <c r="RXL13" s="4136"/>
      <c r="RXM13" s="4136"/>
      <c r="RXN13" s="4136"/>
      <c r="RXO13" s="4136"/>
      <c r="RXP13" s="4136"/>
      <c r="RXQ13" s="4136"/>
      <c r="RXR13" s="4136"/>
      <c r="RXS13" s="4136"/>
      <c r="RXT13" s="4136"/>
      <c r="RXU13" s="4136"/>
      <c r="RXV13" s="4136"/>
      <c r="RXW13" s="4136"/>
      <c r="RXX13" s="4136"/>
      <c r="RXY13" s="4136"/>
      <c r="RXZ13" s="4136"/>
      <c r="RYA13" s="4136"/>
      <c r="RYB13" s="4136"/>
      <c r="RYC13" s="4136"/>
      <c r="RYD13" s="4136"/>
      <c r="RYE13" s="4136"/>
      <c r="RYF13" s="4136"/>
      <c r="RYG13" s="4136"/>
      <c r="RYH13" s="4136"/>
      <c r="RYI13" s="4136"/>
      <c r="RYJ13" s="4136"/>
      <c r="RYK13" s="4136"/>
      <c r="RYL13" s="4136"/>
      <c r="RYM13" s="4136"/>
      <c r="RYN13" s="4136"/>
      <c r="RYO13" s="4136"/>
      <c r="RYP13" s="4136"/>
      <c r="RYQ13" s="4136"/>
      <c r="RYR13" s="4136"/>
      <c r="RYS13" s="4136"/>
      <c r="RYT13" s="4136"/>
      <c r="RYU13" s="4136"/>
      <c r="RYV13" s="4136"/>
      <c r="RYW13" s="4136"/>
      <c r="RYX13" s="4136"/>
      <c r="RYY13" s="4136"/>
      <c r="RYZ13" s="4136"/>
      <c r="RZA13" s="4136"/>
      <c r="RZB13" s="4136"/>
      <c r="RZC13" s="4136"/>
      <c r="RZD13" s="4136"/>
      <c r="RZE13" s="4136"/>
      <c r="RZF13" s="4136"/>
      <c r="RZG13" s="4136"/>
      <c r="RZH13" s="4136"/>
      <c r="RZI13" s="4136"/>
      <c r="RZJ13" s="4136"/>
      <c r="RZK13" s="4136"/>
      <c r="RZL13" s="4136"/>
      <c r="RZM13" s="4136"/>
      <c r="RZN13" s="4136"/>
      <c r="RZO13" s="4136"/>
      <c r="RZP13" s="4136"/>
      <c r="RZQ13" s="4136"/>
      <c r="RZR13" s="4136"/>
      <c r="RZS13" s="4136"/>
      <c r="RZT13" s="4136"/>
      <c r="RZU13" s="4136"/>
      <c r="RZV13" s="4136"/>
      <c r="RZW13" s="4136"/>
      <c r="RZX13" s="4136"/>
      <c r="RZY13" s="4136"/>
      <c r="RZZ13" s="4136"/>
      <c r="SAA13" s="4136"/>
      <c r="SAB13" s="4136"/>
      <c r="SAC13" s="4136"/>
      <c r="SAD13" s="4136"/>
      <c r="SAE13" s="4136"/>
      <c r="SAF13" s="4136"/>
      <c r="SAG13" s="4136"/>
      <c r="SAH13" s="4136"/>
      <c r="SAI13" s="4136"/>
      <c r="SAJ13" s="4136"/>
      <c r="SAK13" s="4136"/>
      <c r="SAL13" s="4136"/>
      <c r="SAM13" s="4136"/>
      <c r="SAN13" s="4136"/>
      <c r="SAO13" s="4136"/>
      <c r="SAP13" s="4136"/>
      <c r="SAQ13" s="4136"/>
      <c r="SAR13" s="4136"/>
      <c r="SAS13" s="4136"/>
      <c r="SAT13" s="4136"/>
      <c r="SAU13" s="4136"/>
      <c r="SAV13" s="4136"/>
      <c r="SAW13" s="4136"/>
      <c r="SAX13" s="4136"/>
      <c r="SAY13" s="4136"/>
      <c r="SAZ13" s="4136"/>
      <c r="SBA13" s="4136"/>
      <c r="SBB13" s="4136"/>
      <c r="SBC13" s="4136"/>
      <c r="SBD13" s="4136"/>
      <c r="SBE13" s="4136"/>
      <c r="SBF13" s="4136"/>
      <c r="SBG13" s="4136"/>
      <c r="SBH13" s="4136"/>
      <c r="SBI13" s="4136"/>
      <c r="SBJ13" s="4136"/>
      <c r="SBK13" s="4136"/>
      <c r="SBL13" s="4136"/>
      <c r="SBM13" s="4136"/>
      <c r="SBN13" s="4136"/>
      <c r="SBO13" s="4136"/>
      <c r="SBP13" s="4136"/>
      <c r="SBQ13" s="4136"/>
      <c r="SBR13" s="4136"/>
      <c r="SBS13" s="4136"/>
      <c r="SBT13" s="4136"/>
      <c r="SBU13" s="4136"/>
      <c r="SBV13" s="4136"/>
      <c r="SBW13" s="4136"/>
      <c r="SBX13" s="4136"/>
      <c r="SBY13" s="4136"/>
      <c r="SBZ13" s="4136"/>
      <c r="SCA13" s="4136"/>
      <c r="SCB13" s="4136"/>
      <c r="SCC13" s="4136"/>
      <c r="SCD13" s="4136"/>
      <c r="SCE13" s="4136"/>
      <c r="SCF13" s="4136"/>
      <c r="SCG13" s="4136"/>
      <c r="SCH13" s="4136"/>
      <c r="SCI13" s="4136"/>
      <c r="SCJ13" s="4136"/>
      <c r="SCK13" s="4136"/>
      <c r="SCL13" s="4136"/>
      <c r="SCM13" s="4136"/>
      <c r="SCN13" s="4136"/>
      <c r="SCO13" s="4136"/>
      <c r="SCP13" s="4136"/>
      <c r="SCQ13" s="4136"/>
      <c r="SCR13" s="4136"/>
      <c r="SCS13" s="4136"/>
      <c r="SCT13" s="4136"/>
      <c r="SCU13" s="4136"/>
      <c r="SCV13" s="4136"/>
      <c r="SCW13" s="4136"/>
      <c r="SCX13" s="4136"/>
      <c r="SCY13" s="4136"/>
      <c r="SCZ13" s="4136"/>
      <c r="SDA13" s="4136"/>
      <c r="SDB13" s="4136"/>
      <c r="SDC13" s="4136"/>
      <c r="SDD13" s="4136"/>
      <c r="SDE13" s="4136"/>
      <c r="SDF13" s="4136"/>
      <c r="SDG13" s="4136"/>
      <c r="SDH13" s="4136"/>
      <c r="SDI13" s="4136"/>
      <c r="SDJ13" s="4136"/>
      <c r="SDK13" s="4136"/>
      <c r="SDL13" s="4136"/>
      <c r="SDM13" s="4136"/>
      <c r="SDN13" s="4136"/>
      <c r="SDO13" s="4136"/>
      <c r="SDP13" s="4136"/>
      <c r="SDQ13" s="4136"/>
      <c r="SDR13" s="4136"/>
      <c r="SDS13" s="4136"/>
      <c r="SDT13" s="4136"/>
      <c r="SDU13" s="4136"/>
      <c r="SDV13" s="4136"/>
      <c r="SDW13" s="4136"/>
      <c r="SDX13" s="4136"/>
      <c r="SDY13" s="4136"/>
      <c r="SDZ13" s="4136"/>
      <c r="SEA13" s="4136"/>
      <c r="SEB13" s="4136"/>
      <c r="SEC13" s="4136"/>
      <c r="SED13" s="4136"/>
      <c r="SEE13" s="4136"/>
      <c r="SEF13" s="4136"/>
      <c r="SEG13" s="4136"/>
      <c r="SEH13" s="4136"/>
      <c r="SEI13" s="4136"/>
      <c r="SEJ13" s="4136"/>
      <c r="SEK13" s="4136"/>
      <c r="SEL13" s="4136"/>
      <c r="SEM13" s="4136"/>
      <c r="SEN13" s="4136"/>
      <c r="SEO13" s="4136"/>
      <c r="SEP13" s="4136"/>
      <c r="SEQ13" s="4136"/>
      <c r="SER13" s="4136"/>
      <c r="SES13" s="4136"/>
      <c r="SET13" s="4136"/>
      <c r="SEU13" s="4136"/>
      <c r="SEV13" s="4136"/>
      <c r="SEW13" s="4136"/>
      <c r="SEX13" s="4136"/>
      <c r="SEY13" s="4136"/>
      <c r="SEZ13" s="4136"/>
      <c r="SFA13" s="4136"/>
      <c r="SFB13" s="4136"/>
      <c r="SFC13" s="4136"/>
      <c r="SFD13" s="4136"/>
      <c r="SFE13" s="4136"/>
      <c r="SFF13" s="4136"/>
      <c r="SFG13" s="4136"/>
      <c r="SFH13" s="4136"/>
      <c r="SFI13" s="4136"/>
      <c r="SFJ13" s="4136"/>
      <c r="SFK13" s="4136"/>
      <c r="SFL13" s="4136"/>
      <c r="SFM13" s="4136"/>
      <c r="SFN13" s="4136"/>
      <c r="SFO13" s="4136"/>
      <c r="SFP13" s="4136"/>
      <c r="SFQ13" s="4136"/>
      <c r="SFR13" s="4136"/>
      <c r="SFS13" s="4136"/>
      <c r="SFT13" s="4136"/>
      <c r="SFU13" s="4136"/>
      <c r="SFV13" s="4136"/>
      <c r="SFW13" s="4136"/>
      <c r="SFX13" s="4136"/>
      <c r="SFY13" s="4136"/>
      <c r="SFZ13" s="4136"/>
      <c r="SGA13" s="4136"/>
      <c r="SGB13" s="4136"/>
      <c r="SGC13" s="4136"/>
      <c r="SGD13" s="4136"/>
      <c r="SGE13" s="4136"/>
      <c r="SGF13" s="4136"/>
      <c r="SGG13" s="4136"/>
      <c r="SGH13" s="4136"/>
      <c r="SGI13" s="4136"/>
      <c r="SGJ13" s="4136"/>
      <c r="SGK13" s="4136"/>
      <c r="SGL13" s="4136"/>
      <c r="SGM13" s="4136"/>
      <c r="SGN13" s="4136"/>
      <c r="SGO13" s="4136"/>
      <c r="SGP13" s="4136"/>
      <c r="SGQ13" s="4136"/>
      <c r="SGR13" s="4136"/>
      <c r="SGS13" s="4136"/>
      <c r="SGT13" s="4136"/>
      <c r="SGU13" s="4136"/>
      <c r="SGV13" s="4136"/>
      <c r="SGW13" s="4136"/>
      <c r="SGX13" s="4136"/>
      <c r="SGY13" s="4136"/>
      <c r="SGZ13" s="4136"/>
      <c r="SHA13" s="4136"/>
      <c r="SHB13" s="4136"/>
      <c r="SHC13" s="4136"/>
      <c r="SHD13" s="4136"/>
      <c r="SHE13" s="4136"/>
      <c r="SHF13" s="4136"/>
      <c r="SHG13" s="4136"/>
      <c r="SHH13" s="4136"/>
      <c r="SHI13" s="4136"/>
      <c r="SHJ13" s="4136"/>
      <c r="SHK13" s="4136"/>
      <c r="SHL13" s="4136"/>
      <c r="SHM13" s="4136"/>
      <c r="SHN13" s="4136"/>
      <c r="SHO13" s="4136"/>
      <c r="SHP13" s="4136"/>
      <c r="SHQ13" s="4136"/>
      <c r="SHR13" s="4136"/>
      <c r="SHS13" s="4136"/>
      <c r="SHT13" s="4136"/>
      <c r="SHU13" s="4136"/>
      <c r="SHV13" s="4136"/>
      <c r="SHW13" s="4136"/>
      <c r="SHX13" s="4136"/>
      <c r="SHY13" s="4136"/>
      <c r="SHZ13" s="4136"/>
      <c r="SIA13" s="4136"/>
      <c r="SIB13" s="4136"/>
      <c r="SIC13" s="4136"/>
      <c r="SID13" s="4136"/>
      <c r="SIE13" s="4136"/>
      <c r="SIF13" s="4136"/>
      <c r="SIG13" s="4136"/>
      <c r="SIH13" s="4136"/>
      <c r="SII13" s="4136"/>
      <c r="SIJ13" s="4136"/>
      <c r="SIK13" s="4136"/>
      <c r="SIL13" s="4136"/>
      <c r="SIM13" s="4136"/>
      <c r="SIN13" s="4136"/>
      <c r="SIO13" s="4136"/>
      <c r="SIP13" s="4136"/>
      <c r="SIQ13" s="4136"/>
      <c r="SIR13" s="4136"/>
      <c r="SIS13" s="4136"/>
      <c r="SIT13" s="4136"/>
      <c r="SIU13" s="4136"/>
      <c r="SIV13" s="4136"/>
      <c r="SIW13" s="4136"/>
      <c r="SIX13" s="4136"/>
      <c r="SIY13" s="4136"/>
      <c r="SIZ13" s="4136"/>
      <c r="SJA13" s="4136"/>
      <c r="SJB13" s="4136"/>
      <c r="SJC13" s="4136"/>
      <c r="SJD13" s="4136"/>
      <c r="SJE13" s="4136"/>
      <c r="SJF13" s="4136"/>
      <c r="SJG13" s="4136"/>
      <c r="SJH13" s="4136"/>
      <c r="SJI13" s="4136"/>
      <c r="SJJ13" s="4136"/>
      <c r="SJK13" s="4136"/>
      <c r="SJL13" s="4136"/>
      <c r="SJM13" s="4136"/>
      <c r="SJN13" s="4136"/>
      <c r="SJO13" s="4136"/>
      <c r="SJP13" s="4136"/>
      <c r="SJQ13" s="4136"/>
      <c r="SJR13" s="4136"/>
      <c r="SJS13" s="4136"/>
      <c r="SJT13" s="4136"/>
      <c r="SJU13" s="4136"/>
      <c r="SJV13" s="4136"/>
      <c r="SJW13" s="4136"/>
      <c r="SJX13" s="4136"/>
      <c r="SJY13" s="4136"/>
      <c r="SJZ13" s="4136"/>
      <c r="SKA13" s="4136"/>
      <c r="SKB13" s="4136"/>
      <c r="SKC13" s="4136"/>
      <c r="SKD13" s="4136"/>
      <c r="SKE13" s="4136"/>
      <c r="SKF13" s="4136"/>
      <c r="SKG13" s="4136"/>
      <c r="SKH13" s="4136"/>
      <c r="SKI13" s="4136"/>
      <c r="SKJ13" s="4136"/>
      <c r="SKK13" s="4136"/>
      <c r="SKL13" s="4136"/>
      <c r="SKM13" s="4136"/>
      <c r="SKN13" s="4136"/>
      <c r="SKO13" s="4136"/>
      <c r="SKP13" s="4136"/>
      <c r="SKQ13" s="4136"/>
      <c r="SKR13" s="4136"/>
      <c r="SKS13" s="4136"/>
      <c r="SKT13" s="4136"/>
      <c r="SKU13" s="4136"/>
      <c r="SKV13" s="4136"/>
      <c r="SKW13" s="4136"/>
      <c r="SKX13" s="4136"/>
      <c r="SKY13" s="4136"/>
      <c r="SKZ13" s="4136"/>
      <c r="SLA13" s="4136"/>
      <c r="SLB13" s="4136"/>
      <c r="SLC13" s="4136"/>
      <c r="SLD13" s="4136"/>
      <c r="SLE13" s="4136"/>
      <c r="SLF13" s="4136"/>
      <c r="SLG13" s="4136"/>
      <c r="SLH13" s="4136"/>
      <c r="SLI13" s="4136"/>
      <c r="SLJ13" s="4136"/>
      <c r="SLK13" s="4136"/>
      <c r="SLL13" s="4136"/>
      <c r="SLM13" s="4136"/>
      <c r="SLN13" s="4136"/>
      <c r="SLO13" s="4136"/>
      <c r="SLP13" s="4136"/>
      <c r="SLQ13" s="4136"/>
      <c r="SLR13" s="4136"/>
      <c r="SLS13" s="4136"/>
      <c r="SLT13" s="4136"/>
      <c r="SLU13" s="4136"/>
      <c r="SLV13" s="4136"/>
      <c r="SLW13" s="4136"/>
      <c r="SLX13" s="4136"/>
      <c r="SLY13" s="4136"/>
      <c r="SLZ13" s="4136"/>
      <c r="SMA13" s="4136"/>
      <c r="SMB13" s="4136"/>
      <c r="SMC13" s="4136"/>
      <c r="SMD13" s="4136"/>
      <c r="SME13" s="4136"/>
      <c r="SMF13" s="4136"/>
      <c r="SMG13" s="4136"/>
      <c r="SMH13" s="4136"/>
      <c r="SMI13" s="4136"/>
      <c r="SMJ13" s="4136"/>
      <c r="SMK13" s="4136"/>
      <c r="SML13" s="4136"/>
      <c r="SMM13" s="4136"/>
      <c r="SMN13" s="4136"/>
      <c r="SMO13" s="4136"/>
      <c r="SMP13" s="4136"/>
      <c r="SMQ13" s="4136"/>
      <c r="SMR13" s="4136"/>
      <c r="SMS13" s="4136"/>
      <c r="SMT13" s="4136"/>
      <c r="SMU13" s="4136"/>
      <c r="SMV13" s="4136"/>
      <c r="SMW13" s="4136"/>
      <c r="SMX13" s="4136"/>
      <c r="SMY13" s="4136"/>
      <c r="SMZ13" s="4136"/>
      <c r="SNA13" s="4136"/>
      <c r="SNB13" s="4136"/>
      <c r="SNC13" s="4136"/>
      <c r="SND13" s="4136"/>
      <c r="SNE13" s="4136"/>
      <c r="SNF13" s="4136"/>
      <c r="SNG13" s="4136"/>
      <c r="SNH13" s="4136"/>
      <c r="SNI13" s="4136"/>
      <c r="SNJ13" s="4136"/>
      <c r="SNK13" s="4136"/>
      <c r="SNL13" s="4136"/>
      <c r="SNM13" s="4136"/>
      <c r="SNN13" s="4136"/>
      <c r="SNO13" s="4136"/>
      <c r="SNP13" s="4136"/>
      <c r="SNQ13" s="4136"/>
      <c r="SNR13" s="4136"/>
      <c r="SNS13" s="4136"/>
      <c r="SNT13" s="4136"/>
      <c r="SNU13" s="4136"/>
      <c r="SNV13" s="4136"/>
      <c r="SNW13" s="4136"/>
      <c r="SNX13" s="4136"/>
      <c r="SNY13" s="4136"/>
      <c r="SNZ13" s="4136"/>
      <c r="SOA13" s="4136"/>
      <c r="SOB13" s="4136"/>
      <c r="SOC13" s="4136"/>
      <c r="SOD13" s="4136"/>
      <c r="SOE13" s="4136"/>
      <c r="SOF13" s="4136"/>
      <c r="SOG13" s="4136"/>
      <c r="SOH13" s="4136"/>
      <c r="SOI13" s="4136"/>
      <c r="SOJ13" s="4136"/>
      <c r="SOK13" s="4136"/>
      <c r="SOL13" s="4136"/>
      <c r="SOM13" s="4136"/>
      <c r="SON13" s="4136"/>
      <c r="SOO13" s="4136"/>
      <c r="SOP13" s="4136"/>
      <c r="SOQ13" s="4136"/>
      <c r="SOR13" s="4136"/>
      <c r="SOS13" s="4136"/>
      <c r="SOT13" s="4136"/>
      <c r="SOU13" s="4136"/>
      <c r="SOV13" s="4136"/>
      <c r="SOW13" s="4136"/>
      <c r="SOX13" s="4136"/>
      <c r="SOY13" s="4136"/>
      <c r="SOZ13" s="4136"/>
      <c r="SPA13" s="4136"/>
      <c r="SPB13" s="4136"/>
      <c r="SPC13" s="4136"/>
      <c r="SPD13" s="4136"/>
      <c r="SPE13" s="4136"/>
      <c r="SPF13" s="4136"/>
      <c r="SPG13" s="4136"/>
      <c r="SPH13" s="4136"/>
      <c r="SPI13" s="4136"/>
      <c r="SPJ13" s="4136"/>
      <c r="SPK13" s="4136"/>
      <c r="SPL13" s="4136"/>
      <c r="SPM13" s="4136"/>
      <c r="SPN13" s="4136"/>
      <c r="SPO13" s="4136"/>
      <c r="SPP13" s="4136"/>
      <c r="SPQ13" s="4136"/>
      <c r="SPR13" s="4136"/>
      <c r="SPS13" s="4136"/>
      <c r="SPT13" s="4136"/>
      <c r="SPU13" s="4136"/>
      <c r="SPV13" s="4136"/>
      <c r="SPW13" s="4136"/>
      <c r="SPX13" s="4136"/>
      <c r="SPY13" s="4136"/>
      <c r="SPZ13" s="4136"/>
      <c r="SQA13" s="4136"/>
      <c r="SQB13" s="4136"/>
      <c r="SQC13" s="4136"/>
      <c r="SQD13" s="4136"/>
      <c r="SQE13" s="4136"/>
      <c r="SQF13" s="4136"/>
      <c r="SQG13" s="4136"/>
      <c r="SQH13" s="4136"/>
      <c r="SQI13" s="4136"/>
      <c r="SQJ13" s="4136"/>
      <c r="SQK13" s="4136"/>
      <c r="SQL13" s="4136"/>
      <c r="SQM13" s="4136"/>
      <c r="SQN13" s="4136"/>
      <c r="SQO13" s="4136"/>
      <c r="SQP13" s="4136"/>
      <c r="SQQ13" s="4136"/>
      <c r="SQR13" s="4136"/>
      <c r="SQS13" s="4136"/>
      <c r="SQT13" s="4136"/>
      <c r="SQU13" s="4136"/>
      <c r="SQV13" s="4136"/>
      <c r="SQW13" s="4136"/>
      <c r="SQX13" s="4136"/>
      <c r="SQY13" s="4136"/>
      <c r="SQZ13" s="4136"/>
      <c r="SRA13" s="4136"/>
      <c r="SRB13" s="4136"/>
      <c r="SRC13" s="4136"/>
      <c r="SRD13" s="4136"/>
      <c r="SRE13" s="4136"/>
      <c r="SRF13" s="4136"/>
      <c r="SRG13" s="4136"/>
      <c r="SRH13" s="4136"/>
      <c r="SRI13" s="4136"/>
      <c r="SRJ13" s="4136"/>
      <c r="SRK13" s="4136"/>
      <c r="SRL13" s="4136"/>
      <c r="SRM13" s="4136"/>
      <c r="SRN13" s="4136"/>
      <c r="SRO13" s="4136"/>
      <c r="SRP13" s="4136"/>
      <c r="SRQ13" s="4136"/>
      <c r="SRR13" s="4136"/>
      <c r="SRS13" s="4136"/>
      <c r="SRT13" s="4136"/>
      <c r="SRU13" s="4136"/>
      <c r="SRV13" s="4136"/>
      <c r="SRW13" s="4136"/>
      <c r="SRX13" s="4136"/>
      <c r="SRY13" s="4136"/>
      <c r="SRZ13" s="4136"/>
      <c r="SSA13" s="4136"/>
      <c r="SSB13" s="4136"/>
      <c r="SSC13" s="4136"/>
      <c r="SSD13" s="4136"/>
      <c r="SSE13" s="4136"/>
      <c r="SSF13" s="4136"/>
      <c r="SSG13" s="4136"/>
      <c r="SSH13" s="4136"/>
      <c r="SSI13" s="4136"/>
      <c r="SSJ13" s="4136"/>
      <c r="SSK13" s="4136"/>
      <c r="SSL13" s="4136"/>
      <c r="SSM13" s="4136"/>
      <c r="SSN13" s="4136"/>
      <c r="SSO13" s="4136"/>
      <c r="SSP13" s="4136"/>
      <c r="SSQ13" s="4136"/>
      <c r="SSR13" s="4136"/>
      <c r="SSS13" s="4136"/>
      <c r="SST13" s="4136"/>
      <c r="SSU13" s="4136"/>
      <c r="SSV13" s="4136"/>
      <c r="SSW13" s="4136"/>
      <c r="SSX13" s="4136"/>
      <c r="SSY13" s="4136"/>
      <c r="SSZ13" s="4136"/>
      <c r="STA13" s="4136"/>
      <c r="STB13" s="4136"/>
      <c r="STC13" s="4136"/>
      <c r="STD13" s="4136"/>
      <c r="STE13" s="4136"/>
      <c r="STF13" s="4136"/>
      <c r="STG13" s="4136"/>
      <c r="STH13" s="4136"/>
      <c r="STI13" s="4136"/>
      <c r="STJ13" s="4136"/>
      <c r="STK13" s="4136"/>
      <c r="STL13" s="4136"/>
      <c r="STM13" s="4136"/>
      <c r="STN13" s="4136"/>
      <c r="STO13" s="4136"/>
      <c r="STP13" s="4136"/>
      <c r="STQ13" s="4136"/>
      <c r="STR13" s="4136"/>
      <c r="STS13" s="4136"/>
      <c r="STT13" s="4136"/>
      <c r="STU13" s="4136"/>
      <c r="STV13" s="4136"/>
      <c r="STW13" s="4136"/>
      <c r="STX13" s="4136"/>
      <c r="STY13" s="4136"/>
      <c r="STZ13" s="4136"/>
      <c r="SUA13" s="4136"/>
      <c r="SUB13" s="4136"/>
      <c r="SUC13" s="4136"/>
      <c r="SUD13" s="4136"/>
      <c r="SUE13" s="4136"/>
      <c r="SUF13" s="4136"/>
      <c r="SUG13" s="4136"/>
      <c r="SUH13" s="4136"/>
      <c r="SUI13" s="4136"/>
      <c r="SUJ13" s="4136"/>
      <c r="SUK13" s="4136"/>
      <c r="SUL13" s="4136"/>
      <c r="SUM13" s="4136"/>
      <c r="SUN13" s="4136"/>
      <c r="SUO13" s="4136"/>
      <c r="SUP13" s="4136"/>
      <c r="SUQ13" s="4136"/>
      <c r="SUR13" s="4136"/>
      <c r="SUS13" s="4136"/>
      <c r="SUT13" s="4136"/>
      <c r="SUU13" s="4136"/>
      <c r="SUV13" s="4136"/>
      <c r="SUW13" s="4136"/>
      <c r="SUX13" s="4136"/>
      <c r="SUY13" s="4136"/>
      <c r="SUZ13" s="4136"/>
      <c r="SVA13" s="4136"/>
      <c r="SVB13" s="4136"/>
      <c r="SVC13" s="4136"/>
      <c r="SVD13" s="4136"/>
      <c r="SVE13" s="4136"/>
      <c r="SVF13" s="4136"/>
      <c r="SVG13" s="4136"/>
      <c r="SVH13" s="4136"/>
      <c r="SVI13" s="4136"/>
      <c r="SVJ13" s="4136"/>
      <c r="SVK13" s="4136"/>
      <c r="SVL13" s="4136"/>
      <c r="SVM13" s="4136"/>
      <c r="SVN13" s="4136"/>
      <c r="SVO13" s="4136"/>
      <c r="SVP13" s="4136"/>
      <c r="SVQ13" s="4136"/>
      <c r="SVR13" s="4136"/>
      <c r="SVS13" s="4136"/>
      <c r="SVT13" s="4136"/>
      <c r="SVU13" s="4136"/>
      <c r="SVV13" s="4136"/>
      <c r="SVW13" s="4136"/>
      <c r="SVX13" s="4136"/>
      <c r="SVY13" s="4136"/>
      <c r="SVZ13" s="4136"/>
      <c r="SWA13" s="4136"/>
      <c r="SWB13" s="4136"/>
      <c r="SWC13" s="4136"/>
      <c r="SWD13" s="4136"/>
      <c r="SWE13" s="4136"/>
      <c r="SWF13" s="4136"/>
      <c r="SWG13" s="4136"/>
      <c r="SWH13" s="4136"/>
      <c r="SWI13" s="4136"/>
      <c r="SWJ13" s="4136"/>
      <c r="SWK13" s="4136"/>
      <c r="SWL13" s="4136"/>
      <c r="SWM13" s="4136"/>
      <c r="SWN13" s="4136"/>
      <c r="SWO13" s="4136"/>
      <c r="SWP13" s="4136"/>
      <c r="SWQ13" s="4136"/>
      <c r="SWR13" s="4136"/>
      <c r="SWS13" s="4136"/>
      <c r="SWT13" s="4136"/>
      <c r="SWU13" s="4136"/>
      <c r="SWV13" s="4136"/>
      <c r="SWW13" s="4136"/>
      <c r="SWX13" s="4136"/>
      <c r="SWY13" s="4136"/>
      <c r="SWZ13" s="4136"/>
      <c r="SXA13" s="4136"/>
      <c r="SXB13" s="4136"/>
      <c r="SXC13" s="4136"/>
      <c r="SXD13" s="4136"/>
      <c r="SXE13" s="4136"/>
      <c r="SXF13" s="4136"/>
      <c r="SXG13" s="4136"/>
      <c r="SXH13" s="4136"/>
      <c r="SXI13" s="4136"/>
      <c r="SXJ13" s="4136"/>
      <c r="SXK13" s="4136"/>
      <c r="SXL13" s="4136"/>
      <c r="SXM13" s="4136"/>
      <c r="SXN13" s="4136"/>
      <c r="SXO13" s="4136"/>
      <c r="SXP13" s="4136"/>
      <c r="SXQ13" s="4136"/>
      <c r="SXR13" s="4136"/>
      <c r="SXS13" s="4136"/>
      <c r="SXT13" s="4136"/>
      <c r="SXU13" s="4136"/>
      <c r="SXV13" s="4136"/>
      <c r="SXW13" s="4136"/>
      <c r="SXX13" s="4136"/>
      <c r="SXY13" s="4136"/>
      <c r="SXZ13" s="4136"/>
      <c r="SYA13" s="4136"/>
      <c r="SYB13" s="4136"/>
      <c r="SYC13" s="4136"/>
      <c r="SYD13" s="4136"/>
      <c r="SYE13" s="4136"/>
      <c r="SYF13" s="4136"/>
      <c r="SYG13" s="4136"/>
      <c r="SYH13" s="4136"/>
      <c r="SYI13" s="4136"/>
      <c r="SYJ13" s="4136"/>
      <c r="SYK13" s="4136"/>
      <c r="SYL13" s="4136"/>
      <c r="SYM13" s="4136"/>
      <c r="SYN13" s="4136"/>
      <c r="SYO13" s="4136"/>
      <c r="SYP13" s="4136"/>
      <c r="SYQ13" s="4136"/>
      <c r="SYR13" s="4136"/>
      <c r="SYS13" s="4136"/>
      <c r="SYT13" s="4136"/>
      <c r="SYU13" s="4136"/>
      <c r="SYV13" s="4136"/>
      <c r="SYW13" s="4136"/>
      <c r="SYX13" s="4136"/>
      <c r="SYY13" s="4136"/>
      <c r="SYZ13" s="4136"/>
      <c r="SZA13" s="4136"/>
      <c r="SZB13" s="4136"/>
      <c r="SZC13" s="4136"/>
      <c r="SZD13" s="4136"/>
      <c r="SZE13" s="4136"/>
      <c r="SZF13" s="4136"/>
      <c r="SZG13" s="4136"/>
      <c r="SZH13" s="4136"/>
      <c r="SZI13" s="4136"/>
      <c r="SZJ13" s="4136"/>
      <c r="SZK13" s="4136"/>
      <c r="SZL13" s="4136"/>
      <c r="SZM13" s="4136"/>
      <c r="SZN13" s="4136"/>
      <c r="SZO13" s="4136"/>
      <c r="SZP13" s="4136"/>
      <c r="SZQ13" s="4136"/>
      <c r="SZR13" s="4136"/>
      <c r="SZS13" s="4136"/>
      <c r="SZT13" s="4136"/>
      <c r="SZU13" s="4136"/>
      <c r="SZV13" s="4136"/>
      <c r="SZW13" s="4136"/>
      <c r="SZX13" s="4136"/>
      <c r="SZY13" s="4136"/>
      <c r="SZZ13" s="4136"/>
      <c r="TAA13" s="4136"/>
      <c r="TAB13" s="4136"/>
      <c r="TAC13" s="4136"/>
      <c r="TAD13" s="4136"/>
      <c r="TAE13" s="4136"/>
      <c r="TAF13" s="4136"/>
      <c r="TAG13" s="4136"/>
      <c r="TAH13" s="4136"/>
      <c r="TAI13" s="4136"/>
      <c r="TAJ13" s="4136"/>
      <c r="TAK13" s="4136"/>
      <c r="TAL13" s="4136"/>
      <c r="TAM13" s="4136"/>
      <c r="TAN13" s="4136"/>
      <c r="TAO13" s="4136"/>
      <c r="TAP13" s="4136"/>
      <c r="TAQ13" s="4136"/>
      <c r="TAR13" s="4136"/>
      <c r="TAS13" s="4136"/>
      <c r="TAT13" s="4136"/>
      <c r="TAU13" s="4136"/>
      <c r="TAV13" s="4136"/>
      <c r="TAW13" s="4136"/>
      <c r="TAX13" s="4136"/>
      <c r="TAY13" s="4136"/>
      <c r="TAZ13" s="4136"/>
      <c r="TBA13" s="4136"/>
      <c r="TBB13" s="4136"/>
      <c r="TBC13" s="4136"/>
      <c r="TBD13" s="4136"/>
      <c r="TBE13" s="4136"/>
      <c r="TBF13" s="4136"/>
      <c r="TBG13" s="4136"/>
      <c r="TBH13" s="4136"/>
      <c r="TBI13" s="4136"/>
      <c r="TBJ13" s="4136"/>
      <c r="TBK13" s="4136"/>
      <c r="TBL13" s="4136"/>
      <c r="TBM13" s="4136"/>
      <c r="TBN13" s="4136"/>
      <c r="TBO13" s="4136"/>
      <c r="TBP13" s="4136"/>
      <c r="TBQ13" s="4136"/>
      <c r="TBR13" s="4136"/>
      <c r="TBS13" s="4136"/>
      <c r="TBT13" s="4136"/>
      <c r="TBU13" s="4136"/>
      <c r="TBV13" s="4136"/>
      <c r="TBW13" s="4136"/>
      <c r="TBX13" s="4136"/>
      <c r="TBY13" s="4136"/>
      <c r="TBZ13" s="4136"/>
      <c r="TCA13" s="4136"/>
      <c r="TCB13" s="4136"/>
      <c r="TCC13" s="4136"/>
      <c r="TCD13" s="4136"/>
      <c r="TCE13" s="4136"/>
      <c r="TCF13" s="4136"/>
      <c r="TCG13" s="4136"/>
      <c r="TCH13" s="4136"/>
      <c r="TCI13" s="4136"/>
      <c r="TCJ13" s="4136"/>
      <c r="TCK13" s="4136"/>
      <c r="TCL13" s="4136"/>
      <c r="TCM13" s="4136"/>
      <c r="TCN13" s="4136"/>
      <c r="TCO13" s="4136"/>
      <c r="TCP13" s="4136"/>
      <c r="TCQ13" s="4136"/>
      <c r="TCR13" s="4136"/>
      <c r="TCS13" s="4136"/>
      <c r="TCT13" s="4136"/>
      <c r="TCU13" s="4136"/>
      <c r="TCV13" s="4136"/>
      <c r="TCW13" s="4136"/>
      <c r="TCX13" s="4136"/>
      <c r="TCY13" s="4136"/>
      <c r="TCZ13" s="4136"/>
      <c r="TDA13" s="4136"/>
      <c r="TDB13" s="4136"/>
      <c r="TDC13" s="4136"/>
      <c r="TDD13" s="4136"/>
      <c r="TDE13" s="4136"/>
      <c r="TDF13" s="4136"/>
      <c r="TDG13" s="4136"/>
      <c r="TDH13" s="4136"/>
      <c r="TDI13" s="4136"/>
      <c r="TDJ13" s="4136"/>
      <c r="TDK13" s="4136"/>
      <c r="TDL13" s="4136"/>
      <c r="TDM13" s="4136"/>
      <c r="TDN13" s="4136"/>
      <c r="TDO13" s="4136"/>
      <c r="TDP13" s="4136"/>
      <c r="TDQ13" s="4136"/>
      <c r="TDR13" s="4136"/>
      <c r="TDS13" s="4136"/>
      <c r="TDT13" s="4136"/>
      <c r="TDU13" s="4136"/>
      <c r="TDV13" s="4136"/>
      <c r="TDW13" s="4136"/>
      <c r="TDX13" s="4136"/>
      <c r="TDY13" s="4136"/>
      <c r="TDZ13" s="4136"/>
      <c r="TEA13" s="4136"/>
      <c r="TEB13" s="4136"/>
      <c r="TEC13" s="4136"/>
      <c r="TED13" s="4136"/>
      <c r="TEE13" s="4136"/>
      <c r="TEF13" s="4136"/>
      <c r="TEG13" s="4136"/>
      <c r="TEH13" s="4136"/>
      <c r="TEI13" s="4136"/>
      <c r="TEJ13" s="4136"/>
      <c r="TEK13" s="4136"/>
      <c r="TEL13" s="4136"/>
      <c r="TEM13" s="4136"/>
      <c r="TEN13" s="4136"/>
      <c r="TEO13" s="4136"/>
      <c r="TEP13" s="4136"/>
      <c r="TEQ13" s="4136"/>
      <c r="TER13" s="4136"/>
      <c r="TES13" s="4136"/>
      <c r="TET13" s="4136"/>
      <c r="TEU13" s="4136"/>
      <c r="TEV13" s="4136"/>
      <c r="TEW13" s="4136"/>
      <c r="TEX13" s="4136"/>
      <c r="TEY13" s="4136"/>
      <c r="TEZ13" s="4136"/>
      <c r="TFA13" s="4136"/>
      <c r="TFB13" s="4136"/>
      <c r="TFC13" s="4136"/>
      <c r="TFD13" s="4136"/>
      <c r="TFE13" s="4136"/>
      <c r="TFF13" s="4136"/>
      <c r="TFG13" s="4136"/>
      <c r="TFH13" s="4136"/>
      <c r="TFI13" s="4136"/>
      <c r="TFJ13" s="4136"/>
      <c r="TFK13" s="4136"/>
      <c r="TFL13" s="4136"/>
      <c r="TFM13" s="4136"/>
      <c r="TFN13" s="4136"/>
      <c r="TFO13" s="4136"/>
      <c r="TFP13" s="4136"/>
      <c r="TFQ13" s="4136"/>
      <c r="TFR13" s="4136"/>
      <c r="TFS13" s="4136"/>
      <c r="TFT13" s="4136"/>
      <c r="TFU13" s="4136"/>
      <c r="TFV13" s="4136"/>
      <c r="TFW13" s="4136"/>
      <c r="TFX13" s="4136"/>
      <c r="TFY13" s="4136"/>
      <c r="TFZ13" s="4136"/>
      <c r="TGA13" s="4136"/>
      <c r="TGB13" s="4136"/>
      <c r="TGC13" s="4136"/>
      <c r="TGD13" s="4136"/>
      <c r="TGE13" s="4136"/>
      <c r="TGF13" s="4136"/>
      <c r="TGG13" s="4136"/>
      <c r="TGH13" s="4136"/>
      <c r="TGI13" s="4136"/>
      <c r="TGJ13" s="4136"/>
      <c r="TGK13" s="4136"/>
      <c r="TGL13" s="4136"/>
      <c r="TGM13" s="4136"/>
      <c r="TGN13" s="4136"/>
      <c r="TGO13" s="4136"/>
      <c r="TGP13" s="4136"/>
      <c r="TGQ13" s="4136"/>
      <c r="TGR13" s="4136"/>
      <c r="TGS13" s="4136"/>
      <c r="TGT13" s="4136"/>
      <c r="TGU13" s="4136"/>
      <c r="TGV13" s="4136"/>
      <c r="TGW13" s="4136"/>
      <c r="TGX13" s="4136"/>
      <c r="TGY13" s="4136"/>
      <c r="TGZ13" s="4136"/>
      <c r="THA13" s="4136"/>
      <c r="THB13" s="4136"/>
      <c r="THC13" s="4136"/>
      <c r="THD13" s="4136"/>
      <c r="THE13" s="4136"/>
      <c r="THF13" s="4136"/>
      <c r="THG13" s="4136"/>
      <c r="THH13" s="4136"/>
      <c r="THI13" s="4136"/>
      <c r="THJ13" s="4136"/>
      <c r="THK13" s="4136"/>
      <c r="THL13" s="4136"/>
      <c r="THM13" s="4136"/>
      <c r="THN13" s="4136"/>
      <c r="THO13" s="4136"/>
      <c r="THP13" s="4136"/>
      <c r="THQ13" s="4136"/>
      <c r="THR13" s="4136"/>
      <c r="THS13" s="4136"/>
      <c r="THT13" s="4136"/>
      <c r="THU13" s="4136"/>
      <c r="THV13" s="4136"/>
      <c r="THW13" s="4136"/>
      <c r="THX13" s="4136"/>
      <c r="THY13" s="4136"/>
      <c r="THZ13" s="4136"/>
      <c r="TIA13" s="4136"/>
      <c r="TIB13" s="4136"/>
      <c r="TIC13" s="4136"/>
      <c r="TID13" s="4136"/>
      <c r="TIE13" s="4136"/>
      <c r="TIF13" s="4136"/>
      <c r="TIG13" s="4136"/>
      <c r="TIH13" s="4136"/>
      <c r="TII13" s="4136"/>
      <c r="TIJ13" s="4136"/>
      <c r="TIK13" s="4136"/>
      <c r="TIL13" s="4136"/>
      <c r="TIM13" s="4136"/>
      <c r="TIN13" s="4136"/>
      <c r="TIO13" s="4136"/>
      <c r="TIP13" s="4136"/>
      <c r="TIQ13" s="4136"/>
      <c r="TIR13" s="4136"/>
      <c r="TIS13" s="4136"/>
      <c r="TIT13" s="4136"/>
      <c r="TIU13" s="4136"/>
      <c r="TIV13" s="4136"/>
      <c r="TIW13" s="4136"/>
      <c r="TIX13" s="4136"/>
      <c r="TIY13" s="4136"/>
      <c r="TIZ13" s="4136"/>
      <c r="TJA13" s="4136"/>
      <c r="TJB13" s="4136"/>
      <c r="TJC13" s="4136"/>
      <c r="TJD13" s="4136"/>
      <c r="TJE13" s="4136"/>
      <c r="TJF13" s="4136"/>
      <c r="TJG13" s="4136"/>
      <c r="TJH13" s="4136"/>
      <c r="TJI13" s="4136"/>
      <c r="TJJ13" s="4136"/>
      <c r="TJK13" s="4136"/>
      <c r="TJL13" s="4136"/>
      <c r="TJM13" s="4136"/>
      <c r="TJN13" s="4136"/>
      <c r="TJO13" s="4136"/>
      <c r="TJP13" s="4136"/>
      <c r="TJQ13" s="4136"/>
      <c r="TJR13" s="4136"/>
      <c r="TJS13" s="4136"/>
      <c r="TJT13" s="4136"/>
      <c r="TJU13" s="4136"/>
      <c r="TJV13" s="4136"/>
      <c r="TJW13" s="4136"/>
      <c r="TJX13" s="4136"/>
      <c r="TJY13" s="4136"/>
      <c r="TJZ13" s="4136"/>
      <c r="TKA13" s="4136"/>
      <c r="TKB13" s="4136"/>
      <c r="TKC13" s="4136"/>
      <c r="TKD13" s="4136"/>
      <c r="TKE13" s="4136"/>
      <c r="TKF13" s="4136"/>
      <c r="TKG13" s="4136"/>
      <c r="TKH13" s="4136"/>
      <c r="TKI13" s="4136"/>
      <c r="TKJ13" s="4136"/>
      <c r="TKK13" s="4136"/>
      <c r="TKL13" s="4136"/>
      <c r="TKM13" s="4136"/>
      <c r="TKN13" s="4136"/>
      <c r="TKO13" s="4136"/>
      <c r="TKP13" s="4136"/>
      <c r="TKQ13" s="4136"/>
      <c r="TKR13" s="4136"/>
      <c r="TKS13" s="4136"/>
      <c r="TKT13" s="4136"/>
      <c r="TKU13" s="4136"/>
      <c r="TKV13" s="4136"/>
      <c r="TKW13" s="4136"/>
      <c r="TKX13" s="4136"/>
      <c r="TKY13" s="4136"/>
      <c r="TKZ13" s="4136"/>
      <c r="TLA13" s="4136"/>
      <c r="TLB13" s="4136"/>
      <c r="TLC13" s="4136"/>
      <c r="TLD13" s="4136"/>
      <c r="TLE13" s="4136"/>
      <c r="TLF13" s="4136"/>
      <c r="TLG13" s="4136"/>
      <c r="TLH13" s="4136"/>
      <c r="TLI13" s="4136"/>
      <c r="TLJ13" s="4136"/>
      <c r="TLK13" s="4136"/>
      <c r="TLL13" s="4136"/>
      <c r="TLM13" s="4136"/>
      <c r="TLN13" s="4136"/>
      <c r="TLO13" s="4136"/>
      <c r="TLP13" s="4136"/>
      <c r="TLQ13" s="4136"/>
      <c r="TLR13" s="4136"/>
      <c r="TLS13" s="4136"/>
      <c r="TLT13" s="4136"/>
      <c r="TLU13" s="4136"/>
      <c r="TLV13" s="4136"/>
      <c r="TLW13" s="4136"/>
      <c r="TLX13" s="4136"/>
      <c r="TLY13" s="4136"/>
      <c r="TLZ13" s="4136"/>
      <c r="TMA13" s="4136"/>
      <c r="TMB13" s="4136"/>
      <c r="TMC13" s="4136"/>
      <c r="TMD13" s="4136"/>
      <c r="TME13" s="4136"/>
      <c r="TMF13" s="4136"/>
      <c r="TMG13" s="4136"/>
      <c r="TMH13" s="4136"/>
      <c r="TMI13" s="4136"/>
      <c r="TMJ13" s="4136"/>
      <c r="TMK13" s="4136"/>
      <c r="TML13" s="4136"/>
      <c r="TMM13" s="4136"/>
      <c r="TMN13" s="4136"/>
      <c r="TMO13" s="4136"/>
      <c r="TMP13" s="4136"/>
      <c r="TMQ13" s="4136"/>
      <c r="TMR13" s="4136"/>
      <c r="TMS13" s="4136"/>
      <c r="TMT13" s="4136"/>
      <c r="TMU13" s="4136"/>
      <c r="TMV13" s="4136"/>
      <c r="TMW13" s="4136"/>
      <c r="TMX13" s="4136"/>
      <c r="TMY13" s="4136"/>
      <c r="TMZ13" s="4136"/>
      <c r="TNA13" s="4136"/>
      <c r="TNB13" s="4136"/>
      <c r="TNC13" s="4136"/>
      <c r="TND13" s="4136"/>
      <c r="TNE13" s="4136"/>
      <c r="TNF13" s="4136"/>
      <c r="TNG13" s="4136"/>
      <c r="TNH13" s="4136"/>
      <c r="TNI13" s="4136"/>
      <c r="TNJ13" s="4136"/>
      <c r="TNK13" s="4136"/>
      <c r="TNL13" s="4136"/>
      <c r="TNM13" s="4136"/>
      <c r="TNN13" s="4136"/>
      <c r="TNO13" s="4136"/>
      <c r="TNP13" s="4136"/>
      <c r="TNQ13" s="4136"/>
      <c r="TNR13" s="4136"/>
      <c r="TNS13" s="4136"/>
      <c r="TNT13" s="4136"/>
      <c r="TNU13" s="4136"/>
      <c r="TNV13" s="4136"/>
      <c r="TNW13" s="4136"/>
      <c r="TNX13" s="4136"/>
      <c r="TNY13" s="4136"/>
      <c r="TNZ13" s="4136"/>
      <c r="TOA13" s="4136"/>
      <c r="TOB13" s="4136"/>
      <c r="TOC13" s="4136"/>
      <c r="TOD13" s="4136"/>
      <c r="TOE13" s="4136"/>
      <c r="TOF13" s="4136"/>
      <c r="TOG13" s="4136"/>
      <c r="TOH13" s="4136"/>
      <c r="TOI13" s="4136"/>
      <c r="TOJ13" s="4136"/>
      <c r="TOK13" s="4136"/>
      <c r="TOL13" s="4136"/>
      <c r="TOM13" s="4136"/>
      <c r="TON13" s="4136"/>
      <c r="TOO13" s="4136"/>
      <c r="TOP13" s="4136"/>
      <c r="TOQ13" s="4136"/>
      <c r="TOR13" s="4136"/>
      <c r="TOS13" s="4136"/>
      <c r="TOT13" s="4136"/>
      <c r="TOU13" s="4136"/>
      <c r="TOV13" s="4136"/>
      <c r="TOW13" s="4136"/>
      <c r="TOX13" s="4136"/>
      <c r="TOY13" s="4136"/>
      <c r="TOZ13" s="4136"/>
      <c r="TPA13" s="4136"/>
      <c r="TPB13" s="4136"/>
      <c r="TPC13" s="4136"/>
      <c r="TPD13" s="4136"/>
      <c r="TPE13" s="4136"/>
      <c r="TPF13" s="4136"/>
      <c r="TPG13" s="4136"/>
      <c r="TPH13" s="4136"/>
      <c r="TPI13" s="4136"/>
      <c r="TPJ13" s="4136"/>
      <c r="TPK13" s="4136"/>
      <c r="TPL13" s="4136"/>
      <c r="TPM13" s="4136"/>
      <c r="TPN13" s="4136"/>
      <c r="TPO13" s="4136"/>
      <c r="TPP13" s="4136"/>
      <c r="TPQ13" s="4136"/>
      <c r="TPR13" s="4136"/>
      <c r="TPS13" s="4136"/>
      <c r="TPT13" s="4136"/>
      <c r="TPU13" s="4136"/>
      <c r="TPV13" s="4136"/>
      <c r="TPW13" s="4136"/>
      <c r="TPX13" s="4136"/>
      <c r="TPY13" s="4136"/>
      <c r="TPZ13" s="4136"/>
      <c r="TQA13" s="4136"/>
      <c r="TQB13" s="4136"/>
      <c r="TQC13" s="4136"/>
      <c r="TQD13" s="4136"/>
      <c r="TQE13" s="4136"/>
      <c r="TQF13" s="4136"/>
      <c r="TQG13" s="4136"/>
      <c r="TQH13" s="4136"/>
      <c r="TQI13" s="4136"/>
      <c r="TQJ13" s="4136"/>
      <c r="TQK13" s="4136"/>
      <c r="TQL13" s="4136"/>
      <c r="TQM13" s="4136"/>
      <c r="TQN13" s="4136"/>
      <c r="TQO13" s="4136"/>
      <c r="TQP13" s="4136"/>
      <c r="TQQ13" s="4136"/>
      <c r="TQR13" s="4136"/>
      <c r="TQS13" s="4136"/>
      <c r="TQT13" s="4136"/>
      <c r="TQU13" s="4136"/>
      <c r="TQV13" s="4136"/>
      <c r="TQW13" s="4136"/>
      <c r="TQX13" s="4136"/>
      <c r="TQY13" s="4136"/>
      <c r="TQZ13" s="4136"/>
      <c r="TRA13" s="4136"/>
      <c r="TRB13" s="4136"/>
      <c r="TRC13" s="4136"/>
      <c r="TRD13" s="4136"/>
      <c r="TRE13" s="4136"/>
      <c r="TRF13" s="4136"/>
      <c r="TRG13" s="4136"/>
      <c r="TRH13" s="4136"/>
      <c r="TRI13" s="4136"/>
      <c r="TRJ13" s="4136"/>
      <c r="TRK13" s="4136"/>
      <c r="TRL13" s="4136"/>
      <c r="TRM13" s="4136"/>
      <c r="TRN13" s="4136"/>
      <c r="TRO13" s="4136"/>
      <c r="TRP13" s="4136"/>
      <c r="TRQ13" s="4136"/>
      <c r="TRR13" s="4136"/>
      <c r="TRS13" s="4136"/>
      <c r="TRT13" s="4136"/>
      <c r="TRU13" s="4136"/>
      <c r="TRV13" s="4136"/>
      <c r="TRW13" s="4136"/>
      <c r="TRX13" s="4136"/>
      <c r="TRY13" s="4136"/>
      <c r="TRZ13" s="4136"/>
      <c r="TSA13" s="4136"/>
      <c r="TSB13" s="4136"/>
      <c r="TSC13" s="4136"/>
      <c r="TSD13" s="4136"/>
      <c r="TSE13" s="4136"/>
      <c r="TSF13" s="4136"/>
      <c r="TSG13" s="4136"/>
      <c r="TSH13" s="4136"/>
      <c r="TSI13" s="4136"/>
      <c r="TSJ13" s="4136"/>
      <c r="TSK13" s="4136"/>
      <c r="TSL13" s="4136"/>
      <c r="TSM13" s="4136"/>
      <c r="TSN13" s="4136"/>
      <c r="TSO13" s="4136"/>
      <c r="TSP13" s="4136"/>
      <c r="TSQ13" s="4136"/>
      <c r="TSR13" s="4136"/>
      <c r="TSS13" s="4136"/>
      <c r="TST13" s="4136"/>
      <c r="TSU13" s="4136"/>
      <c r="TSV13" s="4136"/>
      <c r="TSW13" s="4136"/>
      <c r="TSX13" s="4136"/>
      <c r="TSY13" s="4136"/>
      <c r="TSZ13" s="4136"/>
      <c r="TTA13" s="4136"/>
      <c r="TTB13" s="4136"/>
      <c r="TTC13" s="4136"/>
      <c r="TTD13" s="4136"/>
      <c r="TTE13" s="4136"/>
      <c r="TTF13" s="4136"/>
      <c r="TTG13" s="4136"/>
      <c r="TTH13" s="4136"/>
      <c r="TTI13" s="4136"/>
      <c r="TTJ13" s="4136"/>
      <c r="TTK13" s="4136"/>
      <c r="TTL13" s="4136"/>
      <c r="TTM13" s="4136"/>
      <c r="TTN13" s="4136"/>
      <c r="TTO13" s="4136"/>
      <c r="TTP13" s="4136"/>
      <c r="TTQ13" s="4136"/>
      <c r="TTR13" s="4136"/>
      <c r="TTS13" s="4136"/>
      <c r="TTT13" s="4136"/>
      <c r="TTU13" s="4136"/>
      <c r="TTV13" s="4136"/>
      <c r="TTW13" s="4136"/>
      <c r="TTX13" s="4136"/>
      <c r="TTY13" s="4136"/>
      <c r="TTZ13" s="4136"/>
      <c r="TUA13" s="4136"/>
      <c r="TUB13" s="4136"/>
      <c r="TUC13" s="4136"/>
      <c r="TUD13" s="4136"/>
      <c r="TUE13" s="4136"/>
      <c r="TUF13" s="4136"/>
      <c r="TUG13" s="4136"/>
      <c r="TUH13" s="4136"/>
      <c r="TUI13" s="4136"/>
      <c r="TUJ13" s="4136"/>
      <c r="TUK13" s="4136"/>
      <c r="TUL13" s="4136"/>
      <c r="TUM13" s="4136"/>
      <c r="TUN13" s="4136"/>
      <c r="TUO13" s="4136"/>
      <c r="TUP13" s="4136"/>
      <c r="TUQ13" s="4136"/>
      <c r="TUR13" s="4136"/>
      <c r="TUS13" s="4136"/>
      <c r="TUT13" s="4136"/>
      <c r="TUU13" s="4136"/>
      <c r="TUV13" s="4136"/>
      <c r="TUW13" s="4136"/>
      <c r="TUX13" s="4136"/>
      <c r="TUY13" s="4136"/>
      <c r="TUZ13" s="4136"/>
      <c r="TVA13" s="4136"/>
      <c r="TVB13" s="4136"/>
      <c r="TVC13" s="4136"/>
      <c r="TVD13" s="4136"/>
      <c r="TVE13" s="4136"/>
      <c r="TVF13" s="4136"/>
      <c r="TVG13" s="4136"/>
      <c r="TVH13" s="4136"/>
      <c r="TVI13" s="4136"/>
      <c r="TVJ13" s="4136"/>
      <c r="TVK13" s="4136"/>
      <c r="TVL13" s="4136"/>
      <c r="TVM13" s="4136"/>
      <c r="TVN13" s="4136"/>
      <c r="TVO13" s="4136"/>
      <c r="TVP13" s="4136"/>
      <c r="TVQ13" s="4136"/>
      <c r="TVR13" s="4136"/>
      <c r="TVS13" s="4136"/>
      <c r="TVT13" s="4136"/>
      <c r="TVU13" s="4136"/>
      <c r="TVV13" s="4136"/>
      <c r="TVW13" s="4136"/>
      <c r="TVX13" s="4136"/>
      <c r="TVY13" s="4136"/>
      <c r="TVZ13" s="4136"/>
      <c r="TWA13" s="4136"/>
      <c r="TWB13" s="4136"/>
      <c r="TWC13" s="4136"/>
      <c r="TWD13" s="4136"/>
      <c r="TWE13" s="4136"/>
      <c r="TWF13" s="4136"/>
      <c r="TWG13" s="4136"/>
      <c r="TWH13" s="4136"/>
      <c r="TWI13" s="4136"/>
      <c r="TWJ13" s="4136"/>
      <c r="TWK13" s="4136"/>
      <c r="TWL13" s="4136"/>
      <c r="TWM13" s="4136"/>
      <c r="TWN13" s="4136"/>
      <c r="TWO13" s="4136"/>
      <c r="TWP13" s="4136"/>
      <c r="TWQ13" s="4136"/>
      <c r="TWR13" s="4136"/>
      <c r="TWS13" s="4136"/>
      <c r="TWT13" s="4136"/>
      <c r="TWU13" s="4136"/>
      <c r="TWV13" s="4136"/>
      <c r="TWW13" s="4136"/>
      <c r="TWX13" s="4136"/>
      <c r="TWY13" s="4136"/>
      <c r="TWZ13" s="4136"/>
      <c r="TXA13" s="4136"/>
      <c r="TXB13" s="4136"/>
      <c r="TXC13" s="4136"/>
      <c r="TXD13" s="4136"/>
      <c r="TXE13" s="4136"/>
      <c r="TXF13" s="4136"/>
      <c r="TXG13" s="4136"/>
      <c r="TXH13" s="4136"/>
      <c r="TXI13" s="4136"/>
      <c r="TXJ13" s="4136"/>
      <c r="TXK13" s="4136"/>
      <c r="TXL13" s="4136"/>
      <c r="TXM13" s="4136"/>
      <c r="TXN13" s="4136"/>
      <c r="TXO13" s="4136"/>
      <c r="TXP13" s="4136"/>
      <c r="TXQ13" s="4136"/>
      <c r="TXR13" s="4136"/>
      <c r="TXS13" s="4136"/>
      <c r="TXT13" s="4136"/>
      <c r="TXU13" s="4136"/>
      <c r="TXV13" s="4136"/>
      <c r="TXW13" s="4136"/>
      <c r="TXX13" s="4136"/>
      <c r="TXY13" s="4136"/>
      <c r="TXZ13" s="4136"/>
      <c r="TYA13" s="4136"/>
      <c r="TYB13" s="4136"/>
      <c r="TYC13" s="4136"/>
      <c r="TYD13" s="4136"/>
      <c r="TYE13" s="4136"/>
      <c r="TYF13" s="4136"/>
      <c r="TYG13" s="4136"/>
      <c r="TYH13" s="4136"/>
      <c r="TYI13" s="4136"/>
      <c r="TYJ13" s="4136"/>
      <c r="TYK13" s="4136"/>
      <c r="TYL13" s="4136"/>
      <c r="TYM13" s="4136"/>
      <c r="TYN13" s="4136"/>
      <c r="TYO13" s="4136"/>
      <c r="TYP13" s="4136"/>
      <c r="TYQ13" s="4136"/>
      <c r="TYR13" s="4136"/>
      <c r="TYS13" s="4136"/>
      <c r="TYT13" s="4136"/>
      <c r="TYU13" s="4136"/>
      <c r="TYV13" s="4136"/>
      <c r="TYW13" s="4136"/>
      <c r="TYX13" s="4136"/>
      <c r="TYY13" s="4136"/>
      <c r="TYZ13" s="4136"/>
      <c r="TZA13" s="4136"/>
      <c r="TZB13" s="4136"/>
      <c r="TZC13" s="4136"/>
      <c r="TZD13" s="4136"/>
      <c r="TZE13" s="4136"/>
      <c r="TZF13" s="4136"/>
      <c r="TZG13" s="4136"/>
      <c r="TZH13" s="4136"/>
      <c r="TZI13" s="4136"/>
      <c r="TZJ13" s="4136"/>
      <c r="TZK13" s="4136"/>
      <c r="TZL13" s="4136"/>
      <c r="TZM13" s="4136"/>
      <c r="TZN13" s="4136"/>
      <c r="TZO13" s="4136"/>
      <c r="TZP13" s="4136"/>
      <c r="TZQ13" s="4136"/>
      <c r="TZR13" s="4136"/>
      <c r="TZS13" s="4136"/>
      <c r="TZT13" s="4136"/>
      <c r="TZU13" s="4136"/>
      <c r="TZV13" s="4136"/>
      <c r="TZW13" s="4136"/>
      <c r="TZX13" s="4136"/>
      <c r="TZY13" s="4136"/>
      <c r="TZZ13" s="4136"/>
      <c r="UAA13" s="4136"/>
      <c r="UAB13" s="4136"/>
      <c r="UAC13" s="4136"/>
      <c r="UAD13" s="4136"/>
      <c r="UAE13" s="4136"/>
      <c r="UAF13" s="4136"/>
      <c r="UAG13" s="4136"/>
      <c r="UAH13" s="4136"/>
      <c r="UAI13" s="4136"/>
      <c r="UAJ13" s="4136"/>
      <c r="UAK13" s="4136"/>
      <c r="UAL13" s="4136"/>
      <c r="UAM13" s="4136"/>
      <c r="UAN13" s="4136"/>
      <c r="UAO13" s="4136"/>
      <c r="UAP13" s="4136"/>
      <c r="UAQ13" s="4136"/>
      <c r="UAR13" s="4136"/>
      <c r="UAS13" s="4136"/>
      <c r="UAT13" s="4136"/>
      <c r="UAU13" s="4136"/>
      <c r="UAV13" s="4136"/>
      <c r="UAW13" s="4136"/>
      <c r="UAX13" s="4136"/>
      <c r="UAY13" s="4136"/>
      <c r="UAZ13" s="4136"/>
      <c r="UBA13" s="4136"/>
      <c r="UBB13" s="4136"/>
      <c r="UBC13" s="4136"/>
      <c r="UBD13" s="4136"/>
      <c r="UBE13" s="4136"/>
      <c r="UBF13" s="4136"/>
      <c r="UBG13" s="4136"/>
      <c r="UBH13" s="4136"/>
      <c r="UBI13" s="4136"/>
      <c r="UBJ13" s="4136"/>
      <c r="UBK13" s="4136"/>
      <c r="UBL13" s="4136"/>
      <c r="UBM13" s="4136"/>
      <c r="UBN13" s="4136"/>
      <c r="UBO13" s="4136"/>
      <c r="UBP13" s="4136"/>
      <c r="UBQ13" s="4136"/>
      <c r="UBR13" s="4136"/>
      <c r="UBS13" s="4136"/>
      <c r="UBT13" s="4136"/>
      <c r="UBU13" s="4136"/>
      <c r="UBV13" s="4136"/>
      <c r="UBW13" s="4136"/>
      <c r="UBX13" s="4136"/>
      <c r="UBY13" s="4136"/>
      <c r="UBZ13" s="4136"/>
      <c r="UCA13" s="4136"/>
      <c r="UCB13" s="4136"/>
      <c r="UCC13" s="4136"/>
      <c r="UCD13" s="4136"/>
      <c r="UCE13" s="4136"/>
      <c r="UCF13" s="4136"/>
      <c r="UCG13" s="4136"/>
      <c r="UCH13" s="4136"/>
      <c r="UCI13" s="4136"/>
      <c r="UCJ13" s="4136"/>
      <c r="UCK13" s="4136"/>
      <c r="UCL13" s="4136"/>
      <c r="UCM13" s="4136"/>
      <c r="UCN13" s="4136"/>
      <c r="UCO13" s="4136"/>
      <c r="UCP13" s="4136"/>
      <c r="UCQ13" s="4136"/>
      <c r="UCR13" s="4136"/>
      <c r="UCS13" s="4136"/>
      <c r="UCT13" s="4136"/>
      <c r="UCU13" s="4136"/>
      <c r="UCV13" s="4136"/>
      <c r="UCW13" s="4136"/>
      <c r="UCX13" s="4136"/>
      <c r="UCY13" s="4136"/>
      <c r="UCZ13" s="4136"/>
      <c r="UDA13" s="4136"/>
      <c r="UDB13" s="4136"/>
      <c r="UDC13" s="4136"/>
      <c r="UDD13" s="4136"/>
      <c r="UDE13" s="4136"/>
      <c r="UDF13" s="4136"/>
      <c r="UDG13" s="4136"/>
      <c r="UDH13" s="4136"/>
      <c r="UDI13" s="4136"/>
      <c r="UDJ13" s="4136"/>
      <c r="UDK13" s="4136"/>
      <c r="UDL13" s="4136"/>
      <c r="UDM13" s="4136"/>
      <c r="UDN13" s="4136"/>
      <c r="UDO13" s="4136"/>
      <c r="UDP13" s="4136"/>
      <c r="UDQ13" s="4136"/>
      <c r="UDR13" s="4136"/>
      <c r="UDS13" s="4136"/>
      <c r="UDT13" s="4136"/>
      <c r="UDU13" s="4136"/>
      <c r="UDV13" s="4136"/>
      <c r="UDW13" s="4136"/>
      <c r="UDX13" s="4136"/>
      <c r="UDY13" s="4136"/>
      <c r="UDZ13" s="4136"/>
      <c r="UEA13" s="4136"/>
      <c r="UEB13" s="4136"/>
      <c r="UEC13" s="4136"/>
      <c r="UED13" s="4136"/>
      <c r="UEE13" s="4136"/>
      <c r="UEF13" s="4136"/>
      <c r="UEG13" s="4136"/>
      <c r="UEH13" s="4136"/>
      <c r="UEI13" s="4136"/>
      <c r="UEJ13" s="4136"/>
      <c r="UEK13" s="4136"/>
      <c r="UEL13" s="4136"/>
      <c r="UEM13" s="4136"/>
      <c r="UEN13" s="4136"/>
      <c r="UEO13" s="4136"/>
      <c r="UEP13" s="4136"/>
      <c r="UEQ13" s="4136"/>
      <c r="UER13" s="4136"/>
      <c r="UES13" s="4136"/>
      <c r="UET13" s="4136"/>
      <c r="UEU13" s="4136"/>
      <c r="UEV13" s="4136"/>
      <c r="UEW13" s="4136"/>
      <c r="UEX13" s="4136"/>
      <c r="UEY13" s="4136"/>
      <c r="UEZ13" s="4136"/>
      <c r="UFA13" s="4136"/>
      <c r="UFB13" s="4136"/>
      <c r="UFC13" s="4136"/>
      <c r="UFD13" s="4136"/>
      <c r="UFE13" s="4136"/>
      <c r="UFF13" s="4136"/>
      <c r="UFG13" s="4136"/>
      <c r="UFH13" s="4136"/>
      <c r="UFI13" s="4136"/>
      <c r="UFJ13" s="4136"/>
      <c r="UFK13" s="4136"/>
      <c r="UFL13" s="4136"/>
      <c r="UFM13" s="4136"/>
      <c r="UFN13" s="4136"/>
      <c r="UFO13" s="4136"/>
      <c r="UFP13" s="4136"/>
      <c r="UFQ13" s="4136"/>
      <c r="UFR13" s="4136"/>
      <c r="UFS13" s="4136"/>
      <c r="UFT13" s="4136"/>
      <c r="UFU13" s="4136"/>
      <c r="UFV13" s="4136"/>
      <c r="UFW13" s="4136"/>
      <c r="UFX13" s="4136"/>
      <c r="UFY13" s="4136"/>
      <c r="UFZ13" s="4136"/>
      <c r="UGA13" s="4136"/>
      <c r="UGB13" s="4136"/>
      <c r="UGC13" s="4136"/>
      <c r="UGD13" s="4136"/>
      <c r="UGE13" s="4136"/>
      <c r="UGF13" s="4136"/>
      <c r="UGG13" s="4136"/>
      <c r="UGH13" s="4136"/>
      <c r="UGI13" s="4136"/>
      <c r="UGJ13" s="4136"/>
      <c r="UGK13" s="4136"/>
      <c r="UGL13" s="4136"/>
      <c r="UGM13" s="4136"/>
      <c r="UGN13" s="4136"/>
      <c r="UGO13" s="4136"/>
      <c r="UGP13" s="4136"/>
      <c r="UGQ13" s="4136"/>
      <c r="UGR13" s="4136"/>
      <c r="UGS13" s="4136"/>
      <c r="UGT13" s="4136"/>
      <c r="UGU13" s="4136"/>
      <c r="UGV13" s="4136"/>
      <c r="UGW13" s="4136"/>
      <c r="UGX13" s="4136"/>
      <c r="UGY13" s="4136"/>
      <c r="UGZ13" s="4136"/>
      <c r="UHA13" s="4136"/>
      <c r="UHB13" s="4136"/>
      <c r="UHC13" s="4136"/>
      <c r="UHD13" s="4136"/>
      <c r="UHE13" s="4136"/>
      <c r="UHF13" s="4136"/>
      <c r="UHG13" s="4136"/>
      <c r="UHH13" s="4136"/>
      <c r="UHI13" s="4136"/>
      <c r="UHJ13" s="4136"/>
      <c r="UHK13" s="4136"/>
      <c r="UHL13" s="4136"/>
      <c r="UHM13" s="4136"/>
      <c r="UHN13" s="4136"/>
      <c r="UHO13" s="4136"/>
      <c r="UHP13" s="4136"/>
      <c r="UHQ13" s="4136"/>
      <c r="UHR13" s="4136"/>
      <c r="UHS13" s="4136"/>
      <c r="UHT13" s="4136"/>
      <c r="UHU13" s="4136"/>
      <c r="UHV13" s="4136"/>
      <c r="UHW13" s="4136"/>
      <c r="UHX13" s="4136"/>
      <c r="UHY13" s="4136"/>
      <c r="UHZ13" s="4136"/>
      <c r="UIA13" s="4136"/>
      <c r="UIB13" s="4136"/>
      <c r="UIC13" s="4136"/>
      <c r="UID13" s="4136"/>
      <c r="UIE13" s="4136"/>
      <c r="UIF13" s="4136"/>
      <c r="UIG13" s="4136"/>
      <c r="UIH13" s="4136"/>
      <c r="UII13" s="4136"/>
      <c r="UIJ13" s="4136"/>
      <c r="UIK13" s="4136"/>
      <c r="UIL13" s="4136"/>
      <c r="UIM13" s="4136"/>
      <c r="UIN13" s="4136"/>
      <c r="UIO13" s="4136"/>
      <c r="UIP13" s="4136"/>
      <c r="UIQ13" s="4136"/>
      <c r="UIR13" s="4136"/>
      <c r="UIS13" s="4136"/>
      <c r="UIT13" s="4136"/>
      <c r="UIU13" s="4136"/>
      <c r="UIV13" s="4136"/>
      <c r="UIW13" s="4136"/>
      <c r="UIX13" s="4136"/>
      <c r="UIY13" s="4136"/>
      <c r="UIZ13" s="4136"/>
      <c r="UJA13" s="4136"/>
      <c r="UJB13" s="4136"/>
      <c r="UJC13" s="4136"/>
      <c r="UJD13" s="4136"/>
      <c r="UJE13" s="4136"/>
      <c r="UJF13" s="4136"/>
      <c r="UJG13" s="4136"/>
      <c r="UJH13" s="4136"/>
      <c r="UJI13" s="4136"/>
      <c r="UJJ13" s="4136"/>
      <c r="UJK13" s="4136"/>
      <c r="UJL13" s="4136"/>
      <c r="UJM13" s="4136"/>
      <c r="UJN13" s="4136"/>
      <c r="UJO13" s="4136"/>
      <c r="UJP13" s="4136"/>
      <c r="UJQ13" s="4136"/>
      <c r="UJR13" s="4136"/>
      <c r="UJS13" s="4136"/>
      <c r="UJT13" s="4136"/>
      <c r="UJU13" s="4136"/>
      <c r="UJV13" s="4136"/>
      <c r="UJW13" s="4136"/>
      <c r="UJX13" s="4136"/>
      <c r="UJY13" s="4136"/>
      <c r="UJZ13" s="4136"/>
      <c r="UKA13" s="4136"/>
      <c r="UKB13" s="4136"/>
      <c r="UKC13" s="4136"/>
      <c r="UKD13" s="4136"/>
      <c r="UKE13" s="4136"/>
      <c r="UKF13" s="4136"/>
      <c r="UKG13" s="4136"/>
      <c r="UKH13" s="4136"/>
      <c r="UKI13" s="4136"/>
      <c r="UKJ13" s="4136"/>
      <c r="UKK13" s="4136"/>
      <c r="UKL13" s="4136"/>
      <c r="UKM13" s="4136"/>
      <c r="UKN13" s="4136"/>
      <c r="UKO13" s="4136"/>
      <c r="UKP13" s="4136"/>
      <c r="UKQ13" s="4136"/>
      <c r="UKR13" s="4136"/>
      <c r="UKS13" s="4136"/>
      <c r="UKT13" s="4136"/>
      <c r="UKU13" s="4136"/>
      <c r="UKV13" s="4136"/>
      <c r="UKW13" s="4136"/>
      <c r="UKX13" s="4136"/>
      <c r="UKY13" s="4136"/>
      <c r="UKZ13" s="4136"/>
      <c r="ULA13" s="4136"/>
      <c r="ULB13" s="4136"/>
      <c r="ULC13" s="4136"/>
      <c r="ULD13" s="4136"/>
      <c r="ULE13" s="4136"/>
      <c r="ULF13" s="4136"/>
      <c r="ULG13" s="4136"/>
      <c r="ULH13" s="4136"/>
      <c r="ULI13" s="4136"/>
      <c r="ULJ13" s="4136"/>
      <c r="ULK13" s="4136"/>
      <c r="ULL13" s="4136"/>
      <c r="ULM13" s="4136"/>
      <c r="ULN13" s="4136"/>
      <c r="ULO13" s="4136"/>
      <c r="ULP13" s="4136"/>
      <c r="ULQ13" s="4136"/>
      <c r="ULR13" s="4136"/>
      <c r="ULS13" s="4136"/>
      <c r="ULT13" s="4136"/>
      <c r="ULU13" s="4136"/>
      <c r="ULV13" s="4136"/>
      <c r="ULW13" s="4136"/>
      <c r="ULX13" s="4136"/>
      <c r="ULY13" s="4136"/>
      <c r="ULZ13" s="4136"/>
      <c r="UMA13" s="4136"/>
      <c r="UMB13" s="4136"/>
      <c r="UMC13" s="4136"/>
      <c r="UMD13" s="4136"/>
      <c r="UME13" s="4136"/>
      <c r="UMF13" s="4136"/>
      <c r="UMG13" s="4136"/>
      <c r="UMH13" s="4136"/>
      <c r="UMI13" s="4136"/>
      <c r="UMJ13" s="4136"/>
      <c r="UMK13" s="4136"/>
      <c r="UML13" s="4136"/>
      <c r="UMM13" s="4136"/>
      <c r="UMN13" s="4136"/>
      <c r="UMO13" s="4136"/>
      <c r="UMP13" s="4136"/>
      <c r="UMQ13" s="4136"/>
      <c r="UMR13" s="4136"/>
      <c r="UMS13" s="4136"/>
      <c r="UMT13" s="4136"/>
      <c r="UMU13" s="4136"/>
      <c r="UMV13" s="4136"/>
      <c r="UMW13" s="4136"/>
      <c r="UMX13" s="4136"/>
      <c r="UMY13" s="4136"/>
      <c r="UMZ13" s="4136"/>
      <c r="UNA13" s="4136"/>
      <c r="UNB13" s="4136"/>
      <c r="UNC13" s="4136"/>
      <c r="UND13" s="4136"/>
      <c r="UNE13" s="4136"/>
      <c r="UNF13" s="4136"/>
      <c r="UNG13" s="4136"/>
      <c r="UNH13" s="4136"/>
      <c r="UNI13" s="4136"/>
      <c r="UNJ13" s="4136"/>
      <c r="UNK13" s="4136"/>
      <c r="UNL13" s="4136"/>
      <c r="UNM13" s="4136"/>
      <c r="UNN13" s="4136"/>
      <c r="UNO13" s="4136"/>
      <c r="UNP13" s="4136"/>
      <c r="UNQ13" s="4136"/>
      <c r="UNR13" s="4136"/>
      <c r="UNS13" s="4136"/>
      <c r="UNT13" s="4136"/>
      <c r="UNU13" s="4136"/>
      <c r="UNV13" s="4136"/>
      <c r="UNW13" s="4136"/>
      <c r="UNX13" s="4136"/>
      <c r="UNY13" s="4136"/>
      <c r="UNZ13" s="4136"/>
      <c r="UOA13" s="4136"/>
      <c r="UOB13" s="4136"/>
      <c r="UOC13" s="4136"/>
      <c r="UOD13" s="4136"/>
      <c r="UOE13" s="4136"/>
      <c r="UOF13" s="4136"/>
      <c r="UOG13" s="4136"/>
      <c r="UOH13" s="4136"/>
      <c r="UOI13" s="4136"/>
      <c r="UOJ13" s="4136"/>
      <c r="UOK13" s="4136"/>
      <c r="UOL13" s="4136"/>
      <c r="UOM13" s="4136"/>
      <c r="UON13" s="4136"/>
      <c r="UOO13" s="4136"/>
      <c r="UOP13" s="4136"/>
      <c r="UOQ13" s="4136"/>
      <c r="UOR13" s="4136"/>
      <c r="UOS13" s="4136"/>
      <c r="UOT13" s="4136"/>
      <c r="UOU13" s="4136"/>
      <c r="UOV13" s="4136"/>
      <c r="UOW13" s="4136"/>
      <c r="UOX13" s="4136"/>
      <c r="UOY13" s="4136"/>
      <c r="UOZ13" s="4136"/>
      <c r="UPA13" s="4136"/>
      <c r="UPB13" s="4136"/>
      <c r="UPC13" s="4136"/>
      <c r="UPD13" s="4136"/>
      <c r="UPE13" s="4136"/>
      <c r="UPF13" s="4136"/>
      <c r="UPG13" s="4136"/>
      <c r="UPH13" s="4136"/>
      <c r="UPI13" s="4136"/>
      <c r="UPJ13" s="4136"/>
      <c r="UPK13" s="4136"/>
      <c r="UPL13" s="4136"/>
      <c r="UPM13" s="4136"/>
      <c r="UPN13" s="4136"/>
      <c r="UPO13" s="4136"/>
      <c r="UPP13" s="4136"/>
      <c r="UPQ13" s="4136"/>
      <c r="UPR13" s="4136"/>
      <c r="UPS13" s="4136"/>
      <c r="UPT13" s="4136"/>
      <c r="UPU13" s="4136"/>
      <c r="UPV13" s="4136"/>
      <c r="UPW13" s="4136"/>
      <c r="UPX13" s="4136"/>
      <c r="UPY13" s="4136"/>
      <c r="UPZ13" s="4136"/>
      <c r="UQA13" s="4136"/>
      <c r="UQB13" s="4136"/>
      <c r="UQC13" s="4136"/>
      <c r="UQD13" s="4136"/>
      <c r="UQE13" s="4136"/>
      <c r="UQF13" s="4136"/>
      <c r="UQG13" s="4136"/>
      <c r="UQH13" s="4136"/>
      <c r="UQI13" s="4136"/>
      <c r="UQJ13" s="4136"/>
      <c r="UQK13" s="4136"/>
      <c r="UQL13" s="4136"/>
      <c r="UQM13" s="4136"/>
      <c r="UQN13" s="4136"/>
      <c r="UQO13" s="4136"/>
      <c r="UQP13" s="4136"/>
      <c r="UQQ13" s="4136"/>
      <c r="UQR13" s="4136"/>
      <c r="UQS13" s="4136"/>
      <c r="UQT13" s="4136"/>
      <c r="UQU13" s="4136"/>
      <c r="UQV13" s="4136"/>
      <c r="UQW13" s="4136"/>
      <c r="UQX13" s="4136"/>
      <c r="UQY13" s="4136"/>
      <c r="UQZ13" s="4136"/>
      <c r="URA13" s="4136"/>
      <c r="URB13" s="4136"/>
      <c r="URC13" s="4136"/>
      <c r="URD13" s="4136"/>
      <c r="URE13" s="4136"/>
      <c r="URF13" s="4136"/>
      <c r="URG13" s="4136"/>
      <c r="URH13" s="4136"/>
      <c r="URI13" s="4136"/>
      <c r="URJ13" s="4136"/>
      <c r="URK13" s="4136"/>
      <c r="URL13" s="4136"/>
      <c r="URM13" s="4136"/>
      <c r="URN13" s="4136"/>
      <c r="URO13" s="4136"/>
      <c r="URP13" s="4136"/>
      <c r="URQ13" s="4136"/>
      <c r="URR13" s="4136"/>
      <c r="URS13" s="4136"/>
      <c r="URT13" s="4136"/>
      <c r="URU13" s="4136"/>
      <c r="URV13" s="4136"/>
      <c r="URW13" s="4136"/>
      <c r="URX13" s="4136"/>
      <c r="URY13" s="4136"/>
      <c r="URZ13" s="4136"/>
      <c r="USA13" s="4136"/>
      <c r="USB13" s="4136"/>
      <c r="USC13" s="4136"/>
      <c r="USD13" s="4136"/>
      <c r="USE13" s="4136"/>
      <c r="USF13" s="4136"/>
      <c r="USG13" s="4136"/>
      <c r="USH13" s="4136"/>
      <c r="USI13" s="4136"/>
      <c r="USJ13" s="4136"/>
      <c r="USK13" s="4136"/>
      <c r="USL13" s="4136"/>
      <c r="USM13" s="4136"/>
      <c r="USN13" s="4136"/>
      <c r="USO13" s="4136"/>
      <c r="USP13" s="4136"/>
      <c r="USQ13" s="4136"/>
      <c r="USR13" s="4136"/>
      <c r="USS13" s="4136"/>
      <c r="UST13" s="4136"/>
      <c r="USU13" s="4136"/>
      <c r="USV13" s="4136"/>
      <c r="USW13" s="4136"/>
      <c r="USX13" s="4136"/>
      <c r="USY13" s="4136"/>
      <c r="USZ13" s="4136"/>
      <c r="UTA13" s="4136"/>
      <c r="UTB13" s="4136"/>
      <c r="UTC13" s="4136"/>
      <c r="UTD13" s="4136"/>
      <c r="UTE13" s="4136"/>
      <c r="UTF13" s="4136"/>
      <c r="UTG13" s="4136"/>
      <c r="UTH13" s="4136"/>
      <c r="UTI13" s="4136"/>
      <c r="UTJ13" s="4136"/>
      <c r="UTK13" s="4136"/>
      <c r="UTL13" s="4136"/>
      <c r="UTM13" s="4136"/>
      <c r="UTN13" s="4136"/>
      <c r="UTO13" s="4136"/>
      <c r="UTP13" s="4136"/>
      <c r="UTQ13" s="4136"/>
      <c r="UTR13" s="4136"/>
      <c r="UTS13" s="4136"/>
      <c r="UTT13" s="4136"/>
      <c r="UTU13" s="4136"/>
      <c r="UTV13" s="4136"/>
      <c r="UTW13" s="4136"/>
      <c r="UTX13" s="4136"/>
      <c r="UTY13" s="4136"/>
      <c r="UTZ13" s="4136"/>
      <c r="UUA13" s="4136"/>
      <c r="UUB13" s="4136"/>
      <c r="UUC13" s="4136"/>
      <c r="UUD13" s="4136"/>
      <c r="UUE13" s="4136"/>
      <c r="UUF13" s="4136"/>
      <c r="UUG13" s="4136"/>
      <c r="UUH13" s="4136"/>
      <c r="UUI13" s="4136"/>
      <c r="UUJ13" s="4136"/>
      <c r="UUK13" s="4136"/>
      <c r="UUL13" s="4136"/>
      <c r="UUM13" s="4136"/>
      <c r="UUN13" s="4136"/>
      <c r="UUO13" s="4136"/>
      <c r="UUP13" s="4136"/>
      <c r="UUQ13" s="4136"/>
      <c r="UUR13" s="4136"/>
      <c r="UUS13" s="4136"/>
      <c r="UUT13" s="4136"/>
      <c r="UUU13" s="4136"/>
      <c r="UUV13" s="4136"/>
      <c r="UUW13" s="4136"/>
      <c r="UUX13" s="4136"/>
      <c r="UUY13" s="4136"/>
      <c r="UUZ13" s="4136"/>
      <c r="UVA13" s="4136"/>
      <c r="UVB13" s="4136"/>
      <c r="UVC13" s="4136"/>
      <c r="UVD13" s="4136"/>
      <c r="UVE13" s="4136"/>
      <c r="UVF13" s="4136"/>
      <c r="UVG13" s="4136"/>
      <c r="UVH13" s="4136"/>
      <c r="UVI13" s="4136"/>
      <c r="UVJ13" s="4136"/>
      <c r="UVK13" s="4136"/>
      <c r="UVL13" s="4136"/>
      <c r="UVM13" s="4136"/>
      <c r="UVN13" s="4136"/>
      <c r="UVO13" s="4136"/>
      <c r="UVP13" s="4136"/>
      <c r="UVQ13" s="4136"/>
      <c r="UVR13" s="4136"/>
      <c r="UVS13" s="4136"/>
      <c r="UVT13" s="4136"/>
      <c r="UVU13" s="4136"/>
      <c r="UVV13" s="4136"/>
      <c r="UVW13" s="4136"/>
      <c r="UVX13" s="4136"/>
      <c r="UVY13" s="4136"/>
      <c r="UVZ13" s="4136"/>
      <c r="UWA13" s="4136"/>
      <c r="UWB13" s="4136"/>
      <c r="UWC13" s="4136"/>
      <c r="UWD13" s="4136"/>
      <c r="UWE13" s="4136"/>
      <c r="UWF13" s="4136"/>
      <c r="UWG13" s="4136"/>
      <c r="UWH13" s="4136"/>
      <c r="UWI13" s="4136"/>
      <c r="UWJ13" s="4136"/>
      <c r="UWK13" s="4136"/>
      <c r="UWL13" s="4136"/>
      <c r="UWM13" s="4136"/>
      <c r="UWN13" s="4136"/>
      <c r="UWO13" s="4136"/>
      <c r="UWP13" s="4136"/>
      <c r="UWQ13" s="4136"/>
      <c r="UWR13" s="4136"/>
      <c r="UWS13" s="4136"/>
      <c r="UWT13" s="4136"/>
      <c r="UWU13" s="4136"/>
      <c r="UWV13" s="4136"/>
      <c r="UWW13" s="4136"/>
      <c r="UWX13" s="4136"/>
      <c r="UWY13" s="4136"/>
      <c r="UWZ13" s="4136"/>
      <c r="UXA13" s="4136"/>
      <c r="UXB13" s="4136"/>
      <c r="UXC13" s="4136"/>
      <c r="UXD13" s="4136"/>
      <c r="UXE13" s="4136"/>
      <c r="UXF13" s="4136"/>
      <c r="UXG13" s="4136"/>
      <c r="UXH13" s="4136"/>
      <c r="UXI13" s="4136"/>
      <c r="UXJ13" s="4136"/>
      <c r="UXK13" s="4136"/>
      <c r="UXL13" s="4136"/>
      <c r="UXM13" s="4136"/>
      <c r="UXN13" s="4136"/>
      <c r="UXO13" s="4136"/>
      <c r="UXP13" s="4136"/>
      <c r="UXQ13" s="4136"/>
      <c r="UXR13" s="4136"/>
      <c r="UXS13" s="4136"/>
      <c r="UXT13" s="4136"/>
      <c r="UXU13" s="4136"/>
      <c r="UXV13" s="4136"/>
      <c r="UXW13" s="4136"/>
      <c r="UXX13" s="4136"/>
      <c r="UXY13" s="4136"/>
      <c r="UXZ13" s="4136"/>
      <c r="UYA13" s="4136"/>
      <c r="UYB13" s="4136"/>
      <c r="UYC13" s="4136"/>
      <c r="UYD13" s="4136"/>
      <c r="UYE13" s="4136"/>
      <c r="UYF13" s="4136"/>
      <c r="UYG13" s="4136"/>
      <c r="UYH13" s="4136"/>
      <c r="UYI13" s="4136"/>
      <c r="UYJ13" s="4136"/>
      <c r="UYK13" s="4136"/>
      <c r="UYL13" s="4136"/>
      <c r="UYM13" s="4136"/>
      <c r="UYN13" s="4136"/>
      <c r="UYO13" s="4136"/>
      <c r="UYP13" s="4136"/>
      <c r="UYQ13" s="4136"/>
      <c r="UYR13" s="4136"/>
      <c r="UYS13" s="4136"/>
      <c r="UYT13" s="4136"/>
      <c r="UYU13" s="4136"/>
      <c r="UYV13" s="4136"/>
      <c r="UYW13" s="4136"/>
      <c r="UYX13" s="4136"/>
      <c r="UYY13" s="4136"/>
      <c r="UYZ13" s="4136"/>
      <c r="UZA13" s="4136"/>
      <c r="UZB13" s="4136"/>
      <c r="UZC13" s="4136"/>
      <c r="UZD13" s="4136"/>
      <c r="UZE13" s="4136"/>
      <c r="UZF13" s="4136"/>
      <c r="UZG13" s="4136"/>
      <c r="UZH13" s="4136"/>
      <c r="UZI13" s="4136"/>
      <c r="UZJ13" s="4136"/>
      <c r="UZK13" s="4136"/>
      <c r="UZL13" s="4136"/>
      <c r="UZM13" s="4136"/>
      <c r="UZN13" s="4136"/>
      <c r="UZO13" s="4136"/>
      <c r="UZP13" s="4136"/>
      <c r="UZQ13" s="4136"/>
      <c r="UZR13" s="4136"/>
      <c r="UZS13" s="4136"/>
      <c r="UZT13" s="4136"/>
      <c r="UZU13" s="4136"/>
      <c r="UZV13" s="4136"/>
      <c r="UZW13" s="4136"/>
      <c r="UZX13" s="4136"/>
      <c r="UZY13" s="4136"/>
      <c r="UZZ13" s="4136"/>
      <c r="VAA13" s="4136"/>
      <c r="VAB13" s="4136"/>
      <c r="VAC13" s="4136"/>
      <c r="VAD13" s="4136"/>
      <c r="VAE13" s="4136"/>
      <c r="VAF13" s="4136"/>
      <c r="VAG13" s="4136"/>
      <c r="VAH13" s="4136"/>
      <c r="VAI13" s="4136"/>
      <c r="VAJ13" s="4136"/>
      <c r="VAK13" s="4136"/>
      <c r="VAL13" s="4136"/>
      <c r="VAM13" s="4136"/>
      <c r="VAN13" s="4136"/>
      <c r="VAO13" s="4136"/>
      <c r="VAP13" s="4136"/>
      <c r="VAQ13" s="4136"/>
      <c r="VAR13" s="4136"/>
      <c r="VAS13" s="4136"/>
      <c r="VAT13" s="4136"/>
      <c r="VAU13" s="4136"/>
      <c r="VAV13" s="4136"/>
      <c r="VAW13" s="4136"/>
      <c r="VAX13" s="4136"/>
      <c r="VAY13" s="4136"/>
      <c r="VAZ13" s="4136"/>
      <c r="VBA13" s="4136"/>
      <c r="VBB13" s="4136"/>
      <c r="VBC13" s="4136"/>
      <c r="VBD13" s="4136"/>
      <c r="VBE13" s="4136"/>
      <c r="VBF13" s="4136"/>
      <c r="VBG13" s="4136"/>
      <c r="VBH13" s="4136"/>
      <c r="VBI13" s="4136"/>
      <c r="VBJ13" s="4136"/>
      <c r="VBK13" s="4136"/>
      <c r="VBL13" s="4136"/>
      <c r="VBM13" s="4136"/>
      <c r="VBN13" s="4136"/>
      <c r="VBO13" s="4136"/>
      <c r="VBP13" s="4136"/>
      <c r="VBQ13" s="4136"/>
      <c r="VBR13" s="4136"/>
      <c r="VBS13" s="4136"/>
      <c r="VBT13" s="4136"/>
      <c r="VBU13" s="4136"/>
      <c r="VBV13" s="4136"/>
      <c r="VBW13" s="4136"/>
      <c r="VBX13" s="4136"/>
      <c r="VBY13" s="4136"/>
      <c r="VBZ13" s="4136"/>
      <c r="VCA13" s="4136"/>
      <c r="VCB13" s="4136"/>
      <c r="VCC13" s="4136"/>
      <c r="VCD13" s="4136"/>
      <c r="VCE13" s="4136"/>
      <c r="VCF13" s="4136"/>
      <c r="VCG13" s="4136"/>
      <c r="VCH13" s="4136"/>
      <c r="VCI13" s="4136"/>
      <c r="VCJ13" s="4136"/>
      <c r="VCK13" s="4136"/>
      <c r="VCL13" s="4136"/>
      <c r="VCM13" s="4136"/>
      <c r="VCN13" s="4136"/>
      <c r="VCO13" s="4136"/>
      <c r="VCP13" s="4136"/>
      <c r="VCQ13" s="4136"/>
      <c r="VCR13" s="4136"/>
      <c r="VCS13" s="4136"/>
      <c r="VCT13" s="4136"/>
      <c r="VCU13" s="4136"/>
      <c r="VCV13" s="4136"/>
      <c r="VCW13" s="4136"/>
      <c r="VCX13" s="4136"/>
      <c r="VCY13" s="4136"/>
      <c r="VCZ13" s="4136"/>
      <c r="VDA13" s="4136"/>
      <c r="VDB13" s="4136"/>
      <c r="VDC13" s="4136"/>
      <c r="VDD13" s="4136"/>
      <c r="VDE13" s="4136"/>
      <c r="VDF13" s="4136"/>
      <c r="VDG13" s="4136"/>
      <c r="VDH13" s="4136"/>
      <c r="VDI13" s="4136"/>
      <c r="VDJ13" s="4136"/>
      <c r="VDK13" s="4136"/>
      <c r="VDL13" s="4136"/>
      <c r="VDM13" s="4136"/>
      <c r="VDN13" s="4136"/>
      <c r="VDO13" s="4136"/>
      <c r="VDP13" s="4136"/>
      <c r="VDQ13" s="4136"/>
      <c r="VDR13" s="4136"/>
      <c r="VDS13" s="4136"/>
      <c r="VDT13" s="4136"/>
      <c r="VDU13" s="4136"/>
      <c r="VDV13" s="4136"/>
      <c r="VDW13" s="4136"/>
      <c r="VDX13" s="4136"/>
      <c r="VDY13" s="4136"/>
      <c r="VDZ13" s="4136"/>
      <c r="VEA13" s="4136"/>
      <c r="VEB13" s="4136"/>
      <c r="VEC13" s="4136"/>
      <c r="VED13" s="4136"/>
      <c r="VEE13" s="4136"/>
      <c r="VEF13" s="4136"/>
      <c r="VEG13" s="4136"/>
      <c r="VEH13" s="4136"/>
      <c r="VEI13" s="4136"/>
      <c r="VEJ13" s="4136"/>
      <c r="VEK13" s="4136"/>
      <c r="VEL13" s="4136"/>
      <c r="VEM13" s="4136"/>
      <c r="VEN13" s="4136"/>
      <c r="VEO13" s="4136"/>
      <c r="VEP13" s="4136"/>
      <c r="VEQ13" s="4136"/>
      <c r="VER13" s="4136"/>
      <c r="VES13" s="4136"/>
      <c r="VET13" s="4136"/>
      <c r="VEU13" s="4136"/>
      <c r="VEV13" s="4136"/>
      <c r="VEW13" s="4136"/>
      <c r="VEX13" s="4136"/>
      <c r="VEY13" s="4136"/>
      <c r="VEZ13" s="4136"/>
      <c r="VFA13" s="4136"/>
      <c r="VFB13" s="4136"/>
      <c r="VFC13" s="4136"/>
      <c r="VFD13" s="4136"/>
      <c r="VFE13" s="4136"/>
      <c r="VFF13" s="4136"/>
      <c r="VFG13" s="4136"/>
      <c r="VFH13" s="4136"/>
      <c r="VFI13" s="4136"/>
      <c r="VFJ13" s="4136"/>
      <c r="VFK13" s="4136"/>
      <c r="VFL13" s="4136"/>
      <c r="VFM13" s="4136"/>
      <c r="VFN13" s="4136"/>
      <c r="VFO13" s="4136"/>
      <c r="VFP13" s="4136"/>
      <c r="VFQ13" s="4136"/>
      <c r="VFR13" s="4136"/>
      <c r="VFS13" s="4136"/>
      <c r="VFT13" s="4136"/>
      <c r="VFU13" s="4136"/>
      <c r="VFV13" s="4136"/>
      <c r="VFW13" s="4136"/>
      <c r="VFX13" s="4136"/>
      <c r="VFY13" s="4136"/>
      <c r="VFZ13" s="4136"/>
      <c r="VGA13" s="4136"/>
      <c r="VGB13" s="4136"/>
      <c r="VGC13" s="4136"/>
      <c r="VGD13" s="4136"/>
      <c r="VGE13" s="4136"/>
      <c r="VGF13" s="4136"/>
      <c r="VGG13" s="4136"/>
      <c r="VGH13" s="4136"/>
      <c r="VGI13" s="4136"/>
      <c r="VGJ13" s="4136"/>
      <c r="VGK13" s="4136"/>
      <c r="VGL13" s="4136"/>
      <c r="VGM13" s="4136"/>
      <c r="VGN13" s="4136"/>
      <c r="VGO13" s="4136"/>
      <c r="VGP13" s="4136"/>
      <c r="VGQ13" s="4136"/>
      <c r="VGR13" s="4136"/>
      <c r="VGS13" s="4136"/>
      <c r="VGT13" s="4136"/>
      <c r="VGU13" s="4136"/>
      <c r="VGV13" s="4136"/>
      <c r="VGW13" s="4136"/>
      <c r="VGX13" s="4136"/>
      <c r="VGY13" s="4136"/>
      <c r="VGZ13" s="4136"/>
      <c r="VHA13" s="4136"/>
      <c r="VHB13" s="4136"/>
      <c r="VHC13" s="4136"/>
      <c r="VHD13" s="4136"/>
      <c r="VHE13" s="4136"/>
      <c r="VHF13" s="4136"/>
      <c r="VHG13" s="4136"/>
      <c r="VHH13" s="4136"/>
      <c r="VHI13" s="4136"/>
      <c r="VHJ13" s="4136"/>
      <c r="VHK13" s="4136"/>
      <c r="VHL13" s="4136"/>
      <c r="VHM13" s="4136"/>
      <c r="VHN13" s="4136"/>
      <c r="VHO13" s="4136"/>
      <c r="VHP13" s="4136"/>
      <c r="VHQ13" s="4136"/>
      <c r="VHR13" s="4136"/>
      <c r="VHS13" s="4136"/>
      <c r="VHT13" s="4136"/>
      <c r="VHU13" s="4136"/>
      <c r="VHV13" s="4136"/>
      <c r="VHW13" s="4136"/>
      <c r="VHX13" s="4136"/>
      <c r="VHY13" s="4136"/>
      <c r="VHZ13" s="4136"/>
      <c r="VIA13" s="4136"/>
      <c r="VIB13" s="4136"/>
      <c r="VIC13" s="4136"/>
      <c r="VID13" s="4136"/>
      <c r="VIE13" s="4136"/>
      <c r="VIF13" s="4136"/>
      <c r="VIG13" s="4136"/>
      <c r="VIH13" s="4136"/>
      <c r="VII13" s="4136"/>
      <c r="VIJ13" s="4136"/>
      <c r="VIK13" s="4136"/>
      <c r="VIL13" s="4136"/>
      <c r="VIM13" s="4136"/>
      <c r="VIN13" s="4136"/>
      <c r="VIO13" s="4136"/>
      <c r="VIP13" s="4136"/>
      <c r="VIQ13" s="4136"/>
      <c r="VIR13" s="4136"/>
      <c r="VIS13" s="4136"/>
      <c r="VIT13" s="4136"/>
      <c r="VIU13" s="4136"/>
      <c r="VIV13" s="4136"/>
      <c r="VIW13" s="4136"/>
      <c r="VIX13" s="4136"/>
      <c r="VIY13" s="4136"/>
      <c r="VIZ13" s="4136"/>
      <c r="VJA13" s="4136"/>
      <c r="VJB13" s="4136"/>
      <c r="VJC13" s="4136"/>
      <c r="VJD13" s="4136"/>
      <c r="VJE13" s="4136"/>
      <c r="VJF13" s="4136"/>
      <c r="VJG13" s="4136"/>
      <c r="VJH13" s="4136"/>
      <c r="VJI13" s="4136"/>
      <c r="VJJ13" s="4136"/>
      <c r="VJK13" s="4136"/>
      <c r="VJL13" s="4136"/>
      <c r="VJM13" s="4136"/>
      <c r="VJN13" s="4136"/>
      <c r="VJO13" s="4136"/>
      <c r="VJP13" s="4136"/>
      <c r="VJQ13" s="4136"/>
      <c r="VJR13" s="4136"/>
      <c r="VJS13" s="4136"/>
      <c r="VJT13" s="4136"/>
      <c r="VJU13" s="4136"/>
      <c r="VJV13" s="4136"/>
      <c r="VJW13" s="4136"/>
      <c r="VJX13" s="4136"/>
      <c r="VJY13" s="4136"/>
      <c r="VJZ13" s="4136"/>
      <c r="VKA13" s="4136"/>
      <c r="VKB13" s="4136"/>
      <c r="VKC13" s="4136"/>
      <c r="VKD13" s="4136"/>
      <c r="VKE13" s="4136"/>
      <c r="VKF13" s="4136"/>
      <c r="VKG13" s="4136"/>
      <c r="VKH13" s="4136"/>
      <c r="VKI13" s="4136"/>
      <c r="VKJ13" s="4136"/>
      <c r="VKK13" s="4136"/>
      <c r="VKL13" s="4136"/>
      <c r="VKM13" s="4136"/>
      <c r="VKN13" s="4136"/>
      <c r="VKO13" s="4136"/>
      <c r="VKP13" s="4136"/>
      <c r="VKQ13" s="4136"/>
      <c r="VKR13" s="4136"/>
      <c r="VKS13" s="4136"/>
      <c r="VKT13" s="4136"/>
      <c r="VKU13" s="4136"/>
      <c r="VKV13" s="4136"/>
      <c r="VKW13" s="4136"/>
      <c r="VKX13" s="4136"/>
      <c r="VKY13" s="4136"/>
      <c r="VKZ13" s="4136"/>
      <c r="VLA13" s="4136"/>
      <c r="VLB13" s="4136"/>
      <c r="VLC13" s="4136"/>
      <c r="VLD13" s="4136"/>
      <c r="VLE13" s="4136"/>
      <c r="VLF13" s="4136"/>
      <c r="VLG13" s="4136"/>
      <c r="VLH13" s="4136"/>
      <c r="VLI13" s="4136"/>
      <c r="VLJ13" s="4136"/>
      <c r="VLK13" s="4136"/>
      <c r="VLL13" s="4136"/>
      <c r="VLM13" s="4136"/>
      <c r="VLN13" s="4136"/>
      <c r="VLO13" s="4136"/>
      <c r="VLP13" s="4136"/>
      <c r="VLQ13" s="4136"/>
      <c r="VLR13" s="4136"/>
      <c r="VLS13" s="4136"/>
      <c r="VLT13" s="4136"/>
      <c r="VLU13" s="4136"/>
      <c r="VLV13" s="4136"/>
      <c r="VLW13" s="4136"/>
      <c r="VLX13" s="4136"/>
      <c r="VLY13" s="4136"/>
      <c r="VLZ13" s="4136"/>
      <c r="VMA13" s="4136"/>
      <c r="VMB13" s="4136"/>
      <c r="VMC13" s="4136"/>
      <c r="VMD13" s="4136"/>
      <c r="VME13" s="4136"/>
      <c r="VMF13" s="4136"/>
      <c r="VMG13" s="4136"/>
      <c r="VMH13" s="4136"/>
      <c r="VMI13" s="4136"/>
      <c r="VMJ13" s="4136"/>
      <c r="VMK13" s="4136"/>
      <c r="VML13" s="4136"/>
      <c r="VMM13" s="4136"/>
      <c r="VMN13" s="4136"/>
      <c r="VMO13" s="4136"/>
      <c r="VMP13" s="4136"/>
      <c r="VMQ13" s="4136"/>
      <c r="VMR13" s="4136"/>
      <c r="VMS13" s="4136"/>
      <c r="VMT13" s="4136"/>
      <c r="VMU13" s="4136"/>
      <c r="VMV13" s="4136"/>
      <c r="VMW13" s="4136"/>
      <c r="VMX13" s="4136"/>
      <c r="VMY13" s="4136"/>
      <c r="VMZ13" s="4136"/>
      <c r="VNA13" s="4136"/>
      <c r="VNB13" s="4136"/>
      <c r="VNC13" s="4136"/>
      <c r="VND13" s="4136"/>
      <c r="VNE13" s="4136"/>
      <c r="VNF13" s="4136"/>
      <c r="VNG13" s="4136"/>
      <c r="VNH13" s="4136"/>
      <c r="VNI13" s="4136"/>
      <c r="VNJ13" s="4136"/>
      <c r="VNK13" s="4136"/>
      <c r="VNL13" s="4136"/>
      <c r="VNM13" s="4136"/>
      <c r="VNN13" s="4136"/>
      <c r="VNO13" s="4136"/>
      <c r="VNP13" s="4136"/>
      <c r="VNQ13" s="4136"/>
      <c r="VNR13" s="4136"/>
      <c r="VNS13" s="4136"/>
      <c r="VNT13" s="4136"/>
      <c r="VNU13" s="4136"/>
      <c r="VNV13" s="4136"/>
      <c r="VNW13" s="4136"/>
      <c r="VNX13" s="4136"/>
      <c r="VNY13" s="4136"/>
      <c r="VNZ13" s="4136"/>
      <c r="VOA13" s="4136"/>
      <c r="VOB13" s="4136"/>
      <c r="VOC13" s="4136"/>
      <c r="VOD13" s="4136"/>
      <c r="VOE13" s="4136"/>
      <c r="VOF13" s="4136"/>
      <c r="VOG13" s="4136"/>
      <c r="VOH13" s="4136"/>
      <c r="VOI13" s="4136"/>
      <c r="VOJ13" s="4136"/>
      <c r="VOK13" s="4136"/>
      <c r="VOL13" s="4136"/>
      <c r="VOM13" s="4136"/>
      <c r="VON13" s="4136"/>
      <c r="VOO13" s="4136"/>
      <c r="VOP13" s="4136"/>
      <c r="VOQ13" s="4136"/>
      <c r="VOR13" s="4136"/>
      <c r="VOS13" s="4136"/>
      <c r="VOT13" s="4136"/>
      <c r="VOU13" s="4136"/>
      <c r="VOV13" s="4136"/>
      <c r="VOW13" s="4136"/>
      <c r="VOX13" s="4136"/>
      <c r="VOY13" s="4136"/>
      <c r="VOZ13" s="4136"/>
      <c r="VPA13" s="4136"/>
      <c r="VPB13" s="4136"/>
      <c r="VPC13" s="4136"/>
      <c r="VPD13" s="4136"/>
      <c r="VPE13" s="4136"/>
      <c r="VPF13" s="4136"/>
      <c r="VPG13" s="4136"/>
      <c r="VPH13" s="4136"/>
      <c r="VPI13" s="4136"/>
      <c r="VPJ13" s="4136"/>
      <c r="VPK13" s="4136"/>
      <c r="VPL13" s="4136"/>
      <c r="VPM13" s="4136"/>
      <c r="VPN13" s="4136"/>
      <c r="VPO13" s="4136"/>
      <c r="VPP13" s="4136"/>
      <c r="VPQ13" s="4136"/>
      <c r="VPR13" s="4136"/>
      <c r="VPS13" s="4136"/>
      <c r="VPT13" s="4136"/>
      <c r="VPU13" s="4136"/>
      <c r="VPV13" s="4136"/>
      <c r="VPW13" s="4136"/>
      <c r="VPX13" s="4136"/>
      <c r="VPY13" s="4136"/>
      <c r="VPZ13" s="4136"/>
      <c r="VQA13" s="4136"/>
      <c r="VQB13" s="4136"/>
      <c r="VQC13" s="4136"/>
      <c r="VQD13" s="4136"/>
      <c r="VQE13" s="4136"/>
      <c r="VQF13" s="4136"/>
      <c r="VQG13" s="4136"/>
      <c r="VQH13" s="4136"/>
      <c r="VQI13" s="4136"/>
      <c r="VQJ13" s="4136"/>
      <c r="VQK13" s="4136"/>
      <c r="VQL13" s="4136"/>
      <c r="VQM13" s="4136"/>
      <c r="VQN13" s="4136"/>
      <c r="VQO13" s="4136"/>
      <c r="VQP13" s="4136"/>
      <c r="VQQ13" s="4136"/>
      <c r="VQR13" s="4136"/>
      <c r="VQS13" s="4136"/>
      <c r="VQT13" s="4136"/>
      <c r="VQU13" s="4136"/>
      <c r="VQV13" s="4136"/>
      <c r="VQW13" s="4136"/>
      <c r="VQX13" s="4136"/>
      <c r="VQY13" s="4136"/>
      <c r="VQZ13" s="4136"/>
      <c r="VRA13" s="4136"/>
      <c r="VRB13" s="4136"/>
      <c r="VRC13" s="4136"/>
      <c r="VRD13" s="4136"/>
      <c r="VRE13" s="4136"/>
      <c r="VRF13" s="4136"/>
      <c r="VRG13" s="4136"/>
      <c r="VRH13" s="4136"/>
      <c r="VRI13" s="4136"/>
      <c r="VRJ13" s="4136"/>
      <c r="VRK13" s="4136"/>
      <c r="VRL13" s="4136"/>
      <c r="VRM13" s="4136"/>
      <c r="VRN13" s="4136"/>
      <c r="VRO13" s="4136"/>
      <c r="VRP13" s="4136"/>
      <c r="VRQ13" s="4136"/>
      <c r="VRR13" s="4136"/>
      <c r="VRS13" s="4136"/>
      <c r="VRT13" s="4136"/>
      <c r="VRU13" s="4136"/>
      <c r="VRV13" s="4136"/>
      <c r="VRW13" s="4136"/>
      <c r="VRX13" s="4136"/>
      <c r="VRY13" s="4136"/>
      <c r="VRZ13" s="4136"/>
      <c r="VSA13" s="4136"/>
      <c r="VSB13" s="4136"/>
      <c r="VSC13" s="4136"/>
      <c r="VSD13" s="4136"/>
      <c r="VSE13" s="4136"/>
      <c r="VSF13" s="4136"/>
      <c r="VSG13" s="4136"/>
      <c r="VSH13" s="4136"/>
      <c r="VSI13" s="4136"/>
      <c r="VSJ13" s="4136"/>
      <c r="VSK13" s="4136"/>
      <c r="VSL13" s="4136"/>
      <c r="VSM13" s="4136"/>
      <c r="VSN13" s="4136"/>
      <c r="VSO13" s="4136"/>
      <c r="VSP13" s="4136"/>
      <c r="VSQ13" s="4136"/>
      <c r="VSR13" s="4136"/>
      <c r="VSS13" s="4136"/>
      <c r="VST13" s="4136"/>
      <c r="VSU13" s="4136"/>
      <c r="VSV13" s="4136"/>
      <c r="VSW13" s="4136"/>
      <c r="VSX13" s="4136"/>
      <c r="VSY13" s="4136"/>
      <c r="VSZ13" s="4136"/>
      <c r="VTA13" s="4136"/>
      <c r="VTB13" s="4136"/>
      <c r="VTC13" s="4136"/>
      <c r="VTD13" s="4136"/>
      <c r="VTE13" s="4136"/>
      <c r="VTF13" s="4136"/>
      <c r="VTG13" s="4136"/>
      <c r="VTH13" s="4136"/>
      <c r="VTI13" s="4136"/>
      <c r="VTJ13" s="4136"/>
      <c r="VTK13" s="4136"/>
      <c r="VTL13" s="4136"/>
      <c r="VTM13" s="4136"/>
      <c r="VTN13" s="4136"/>
      <c r="VTO13" s="4136"/>
      <c r="VTP13" s="4136"/>
      <c r="VTQ13" s="4136"/>
      <c r="VTR13" s="4136"/>
      <c r="VTS13" s="4136"/>
      <c r="VTT13" s="4136"/>
      <c r="VTU13" s="4136"/>
      <c r="VTV13" s="4136"/>
      <c r="VTW13" s="4136"/>
      <c r="VTX13" s="4136"/>
      <c r="VTY13" s="4136"/>
      <c r="VTZ13" s="4136"/>
      <c r="VUA13" s="4136"/>
      <c r="VUB13" s="4136"/>
      <c r="VUC13" s="4136"/>
      <c r="VUD13" s="4136"/>
      <c r="VUE13" s="4136"/>
      <c r="VUF13" s="4136"/>
      <c r="VUG13" s="4136"/>
      <c r="VUH13" s="4136"/>
      <c r="VUI13" s="4136"/>
      <c r="VUJ13" s="4136"/>
      <c r="VUK13" s="4136"/>
      <c r="VUL13" s="4136"/>
      <c r="VUM13" s="4136"/>
      <c r="VUN13" s="4136"/>
      <c r="VUO13" s="4136"/>
      <c r="VUP13" s="4136"/>
      <c r="VUQ13" s="4136"/>
      <c r="VUR13" s="4136"/>
      <c r="VUS13" s="4136"/>
      <c r="VUT13" s="4136"/>
      <c r="VUU13" s="4136"/>
      <c r="VUV13" s="4136"/>
      <c r="VUW13" s="4136"/>
      <c r="VUX13" s="4136"/>
      <c r="VUY13" s="4136"/>
      <c r="VUZ13" s="4136"/>
      <c r="VVA13" s="4136"/>
      <c r="VVB13" s="4136"/>
      <c r="VVC13" s="4136"/>
      <c r="VVD13" s="4136"/>
      <c r="VVE13" s="4136"/>
      <c r="VVF13" s="4136"/>
      <c r="VVG13" s="4136"/>
      <c r="VVH13" s="4136"/>
      <c r="VVI13" s="4136"/>
      <c r="VVJ13" s="4136"/>
      <c r="VVK13" s="4136"/>
      <c r="VVL13" s="4136"/>
      <c r="VVM13" s="4136"/>
      <c r="VVN13" s="4136"/>
      <c r="VVO13" s="4136"/>
      <c r="VVP13" s="4136"/>
      <c r="VVQ13" s="4136"/>
      <c r="VVR13" s="4136"/>
      <c r="VVS13" s="4136"/>
      <c r="VVT13" s="4136"/>
      <c r="VVU13" s="4136"/>
      <c r="VVV13" s="4136"/>
      <c r="VVW13" s="4136"/>
      <c r="VVX13" s="4136"/>
      <c r="VVY13" s="4136"/>
      <c r="VVZ13" s="4136"/>
      <c r="VWA13" s="4136"/>
      <c r="VWB13" s="4136"/>
      <c r="VWC13" s="4136"/>
      <c r="VWD13" s="4136"/>
      <c r="VWE13" s="4136"/>
      <c r="VWF13" s="4136"/>
      <c r="VWG13" s="4136"/>
      <c r="VWH13" s="4136"/>
      <c r="VWI13" s="4136"/>
      <c r="VWJ13" s="4136"/>
      <c r="VWK13" s="4136"/>
      <c r="VWL13" s="4136"/>
      <c r="VWM13" s="4136"/>
      <c r="VWN13" s="4136"/>
      <c r="VWO13" s="4136"/>
      <c r="VWP13" s="4136"/>
      <c r="VWQ13" s="4136"/>
      <c r="VWR13" s="4136"/>
      <c r="VWS13" s="4136"/>
      <c r="VWT13" s="4136"/>
      <c r="VWU13" s="4136"/>
      <c r="VWV13" s="4136"/>
      <c r="VWW13" s="4136"/>
      <c r="VWX13" s="4136"/>
      <c r="VWY13" s="4136"/>
      <c r="VWZ13" s="4136"/>
      <c r="VXA13" s="4136"/>
      <c r="VXB13" s="4136"/>
      <c r="VXC13" s="4136"/>
      <c r="VXD13" s="4136"/>
      <c r="VXE13" s="4136"/>
      <c r="VXF13" s="4136"/>
      <c r="VXG13" s="4136"/>
      <c r="VXH13" s="4136"/>
      <c r="VXI13" s="4136"/>
      <c r="VXJ13" s="4136"/>
      <c r="VXK13" s="4136"/>
      <c r="VXL13" s="4136"/>
      <c r="VXM13" s="4136"/>
      <c r="VXN13" s="4136"/>
      <c r="VXO13" s="4136"/>
      <c r="VXP13" s="4136"/>
      <c r="VXQ13" s="4136"/>
      <c r="VXR13" s="4136"/>
      <c r="VXS13" s="4136"/>
      <c r="VXT13" s="4136"/>
      <c r="VXU13" s="4136"/>
      <c r="VXV13" s="4136"/>
      <c r="VXW13" s="4136"/>
      <c r="VXX13" s="4136"/>
      <c r="VXY13" s="4136"/>
      <c r="VXZ13" s="4136"/>
      <c r="VYA13" s="4136"/>
      <c r="VYB13" s="4136"/>
      <c r="VYC13" s="4136"/>
      <c r="VYD13" s="4136"/>
      <c r="VYE13" s="4136"/>
      <c r="VYF13" s="4136"/>
      <c r="VYG13" s="4136"/>
      <c r="VYH13" s="4136"/>
      <c r="VYI13" s="4136"/>
      <c r="VYJ13" s="4136"/>
      <c r="VYK13" s="4136"/>
      <c r="VYL13" s="4136"/>
      <c r="VYM13" s="4136"/>
      <c r="VYN13" s="4136"/>
      <c r="VYO13" s="4136"/>
      <c r="VYP13" s="4136"/>
      <c r="VYQ13" s="4136"/>
      <c r="VYR13" s="4136"/>
      <c r="VYS13" s="4136"/>
      <c r="VYT13" s="4136"/>
      <c r="VYU13" s="4136"/>
      <c r="VYV13" s="4136"/>
      <c r="VYW13" s="4136"/>
      <c r="VYX13" s="4136"/>
      <c r="VYY13" s="4136"/>
      <c r="VYZ13" s="4136"/>
      <c r="VZA13" s="4136"/>
      <c r="VZB13" s="4136"/>
      <c r="VZC13" s="4136"/>
      <c r="VZD13" s="4136"/>
      <c r="VZE13" s="4136"/>
      <c r="VZF13" s="4136"/>
      <c r="VZG13" s="4136"/>
      <c r="VZH13" s="4136"/>
      <c r="VZI13" s="4136"/>
      <c r="VZJ13" s="4136"/>
      <c r="VZK13" s="4136"/>
      <c r="VZL13" s="4136"/>
      <c r="VZM13" s="4136"/>
      <c r="VZN13" s="4136"/>
      <c r="VZO13" s="4136"/>
      <c r="VZP13" s="4136"/>
      <c r="VZQ13" s="4136"/>
      <c r="VZR13" s="4136"/>
      <c r="VZS13" s="4136"/>
      <c r="VZT13" s="4136"/>
      <c r="VZU13" s="4136"/>
      <c r="VZV13" s="4136"/>
      <c r="VZW13" s="4136"/>
      <c r="VZX13" s="4136"/>
      <c r="VZY13" s="4136"/>
      <c r="VZZ13" s="4136"/>
      <c r="WAA13" s="4136"/>
      <c r="WAB13" s="4136"/>
      <c r="WAC13" s="4136"/>
      <c r="WAD13" s="4136"/>
      <c r="WAE13" s="4136"/>
      <c r="WAF13" s="4136"/>
      <c r="WAG13" s="4136"/>
      <c r="WAH13" s="4136"/>
      <c r="WAI13" s="4136"/>
      <c r="WAJ13" s="4136"/>
      <c r="WAK13" s="4136"/>
      <c r="WAL13" s="4136"/>
      <c r="WAM13" s="4136"/>
      <c r="WAN13" s="4136"/>
      <c r="WAO13" s="4136"/>
      <c r="WAP13" s="4136"/>
      <c r="WAQ13" s="4136"/>
      <c r="WAR13" s="4136"/>
      <c r="WAS13" s="4136"/>
      <c r="WAT13" s="4136"/>
      <c r="WAU13" s="4136"/>
      <c r="WAV13" s="4136"/>
      <c r="WAW13" s="4136"/>
      <c r="WAX13" s="4136"/>
      <c r="WAY13" s="4136"/>
      <c r="WAZ13" s="4136"/>
      <c r="WBA13" s="4136"/>
      <c r="WBB13" s="4136"/>
      <c r="WBC13" s="4136"/>
      <c r="WBD13" s="4136"/>
      <c r="WBE13" s="4136"/>
      <c r="WBF13" s="4136"/>
      <c r="WBG13" s="4136"/>
      <c r="WBH13" s="4136"/>
      <c r="WBI13" s="4136"/>
      <c r="WBJ13" s="4136"/>
      <c r="WBK13" s="4136"/>
      <c r="WBL13" s="4136"/>
      <c r="WBM13" s="4136"/>
      <c r="WBN13" s="4136"/>
      <c r="WBO13" s="4136"/>
      <c r="WBP13" s="4136"/>
      <c r="WBQ13" s="4136"/>
      <c r="WBR13" s="4136"/>
      <c r="WBS13" s="4136"/>
      <c r="WBT13" s="4136"/>
      <c r="WBU13" s="4136"/>
      <c r="WBV13" s="4136"/>
      <c r="WBW13" s="4136"/>
      <c r="WBX13" s="4136"/>
      <c r="WBY13" s="4136"/>
      <c r="WBZ13" s="4136"/>
      <c r="WCA13" s="4136"/>
      <c r="WCB13" s="4136"/>
      <c r="WCC13" s="4136"/>
      <c r="WCD13" s="4136"/>
      <c r="WCE13" s="4136"/>
      <c r="WCF13" s="4136"/>
      <c r="WCG13" s="4136"/>
      <c r="WCH13" s="4136"/>
      <c r="WCI13" s="4136"/>
      <c r="WCJ13" s="4136"/>
      <c r="WCK13" s="4136"/>
      <c r="WCL13" s="4136"/>
      <c r="WCM13" s="4136"/>
      <c r="WCN13" s="4136"/>
      <c r="WCO13" s="4136"/>
      <c r="WCP13" s="4136"/>
      <c r="WCQ13" s="4136"/>
      <c r="WCR13" s="4136"/>
      <c r="WCS13" s="4136"/>
      <c r="WCT13" s="4136"/>
      <c r="WCU13" s="4136"/>
      <c r="WCV13" s="4136"/>
      <c r="WCW13" s="4136"/>
      <c r="WCX13" s="4136"/>
      <c r="WCY13" s="4136"/>
      <c r="WCZ13" s="4136"/>
      <c r="WDA13" s="4136"/>
      <c r="WDB13" s="4136"/>
      <c r="WDC13" s="4136"/>
      <c r="WDD13" s="4136"/>
      <c r="WDE13" s="4136"/>
      <c r="WDF13" s="4136"/>
      <c r="WDG13" s="4136"/>
      <c r="WDH13" s="4136"/>
      <c r="WDI13" s="4136"/>
      <c r="WDJ13" s="4136"/>
      <c r="WDK13" s="4136"/>
      <c r="WDL13" s="4136"/>
      <c r="WDM13" s="4136"/>
      <c r="WDN13" s="4136"/>
      <c r="WDO13" s="4136"/>
      <c r="WDP13" s="4136"/>
      <c r="WDQ13" s="4136"/>
      <c r="WDR13" s="4136"/>
      <c r="WDS13" s="4136"/>
      <c r="WDT13" s="4136"/>
      <c r="WDU13" s="4136"/>
      <c r="WDV13" s="4136"/>
      <c r="WDW13" s="4136"/>
      <c r="WDX13" s="4136"/>
      <c r="WDY13" s="4136"/>
      <c r="WDZ13" s="4136"/>
      <c r="WEA13" s="4136"/>
      <c r="WEB13" s="4136"/>
      <c r="WEC13" s="4136"/>
      <c r="WED13" s="4136"/>
      <c r="WEE13" s="4136"/>
      <c r="WEF13" s="4136"/>
      <c r="WEG13" s="4136"/>
      <c r="WEH13" s="4136"/>
      <c r="WEI13" s="4136"/>
      <c r="WEJ13" s="4136"/>
      <c r="WEK13" s="4136"/>
      <c r="WEL13" s="4136"/>
      <c r="WEM13" s="4136"/>
      <c r="WEN13" s="4136"/>
      <c r="WEO13" s="4136"/>
      <c r="WEP13" s="4136"/>
      <c r="WEQ13" s="4136"/>
      <c r="WER13" s="4136"/>
      <c r="WES13" s="4136"/>
      <c r="WET13" s="4136"/>
      <c r="WEU13" s="4136"/>
      <c r="WEV13" s="4136"/>
      <c r="WEW13" s="4136"/>
      <c r="WEX13" s="4136"/>
      <c r="WEY13" s="4136"/>
      <c r="WEZ13" s="4136"/>
      <c r="WFA13" s="4136"/>
      <c r="WFB13" s="4136"/>
      <c r="WFC13" s="4136"/>
      <c r="WFD13" s="4136"/>
      <c r="WFE13" s="4136"/>
      <c r="WFF13" s="4136"/>
      <c r="WFG13" s="4136"/>
      <c r="WFH13" s="4136"/>
      <c r="WFI13" s="4136"/>
      <c r="WFJ13" s="4136"/>
      <c r="WFK13" s="4136"/>
      <c r="WFL13" s="4136"/>
      <c r="WFM13" s="4136"/>
      <c r="WFN13" s="4136"/>
      <c r="WFO13" s="4136"/>
      <c r="WFP13" s="4136"/>
      <c r="WFQ13" s="4136"/>
      <c r="WFR13" s="4136"/>
      <c r="WFS13" s="4136"/>
      <c r="WFT13" s="4136"/>
      <c r="WFU13" s="4136"/>
      <c r="WFV13" s="4136"/>
      <c r="WFW13" s="4136"/>
      <c r="WFX13" s="4136"/>
      <c r="WFY13" s="4136"/>
      <c r="WFZ13" s="4136"/>
      <c r="WGA13" s="4136"/>
      <c r="WGB13" s="4136"/>
      <c r="WGC13" s="4136"/>
      <c r="WGD13" s="4136"/>
      <c r="WGE13" s="4136"/>
      <c r="WGF13" s="4136"/>
      <c r="WGG13" s="4136"/>
      <c r="WGH13" s="4136"/>
      <c r="WGI13" s="4136"/>
      <c r="WGJ13" s="4136"/>
      <c r="WGK13" s="4136"/>
      <c r="WGL13" s="4136"/>
      <c r="WGM13" s="4136"/>
      <c r="WGN13" s="4136"/>
      <c r="WGO13" s="4136"/>
      <c r="WGP13" s="4136"/>
      <c r="WGQ13" s="4136"/>
      <c r="WGR13" s="4136"/>
      <c r="WGS13" s="4136"/>
      <c r="WGT13" s="4136"/>
      <c r="WGU13" s="4136"/>
      <c r="WGV13" s="4136"/>
      <c r="WGW13" s="4136"/>
      <c r="WGX13" s="4136"/>
      <c r="WGY13" s="4136"/>
      <c r="WGZ13" s="4136"/>
      <c r="WHA13" s="4136"/>
      <c r="WHB13" s="4136"/>
      <c r="WHC13" s="4136"/>
      <c r="WHD13" s="4136"/>
      <c r="WHE13" s="4136"/>
      <c r="WHF13" s="4136"/>
      <c r="WHG13" s="4136"/>
      <c r="WHH13" s="4136"/>
      <c r="WHI13" s="4136"/>
      <c r="WHJ13" s="4136"/>
      <c r="WHK13" s="4136"/>
      <c r="WHL13" s="4136"/>
      <c r="WHM13" s="4136"/>
      <c r="WHN13" s="4136"/>
      <c r="WHO13" s="4136"/>
      <c r="WHP13" s="4136"/>
      <c r="WHQ13" s="4136"/>
      <c r="WHR13" s="4136"/>
      <c r="WHS13" s="4136"/>
      <c r="WHT13" s="4136"/>
      <c r="WHU13" s="4136"/>
      <c r="WHV13" s="4136"/>
      <c r="WHW13" s="4136"/>
      <c r="WHX13" s="4136"/>
      <c r="WHY13" s="4136"/>
      <c r="WHZ13" s="4136"/>
      <c r="WIA13" s="4136"/>
      <c r="WIB13" s="4136"/>
      <c r="WIC13" s="4136"/>
      <c r="WID13" s="4136"/>
      <c r="WIE13" s="4136"/>
      <c r="WIF13" s="4136"/>
      <c r="WIG13" s="4136"/>
      <c r="WIH13" s="4136"/>
      <c r="WII13" s="4136"/>
      <c r="WIJ13" s="4136"/>
      <c r="WIK13" s="4136"/>
      <c r="WIL13" s="4136"/>
      <c r="WIM13" s="4136"/>
      <c r="WIN13" s="4136"/>
      <c r="WIO13" s="4136"/>
      <c r="WIP13" s="4136"/>
      <c r="WIQ13" s="4136"/>
      <c r="WIR13" s="4136"/>
      <c r="WIS13" s="4136"/>
      <c r="WIT13" s="4136"/>
      <c r="WIU13" s="4136"/>
      <c r="WIV13" s="4136"/>
      <c r="WIW13" s="4136"/>
      <c r="WIX13" s="4136"/>
      <c r="WIY13" s="4136"/>
      <c r="WIZ13" s="4136"/>
      <c r="WJA13" s="4136"/>
      <c r="WJB13" s="4136"/>
      <c r="WJC13" s="4136"/>
      <c r="WJD13" s="4136"/>
      <c r="WJE13" s="4136"/>
      <c r="WJF13" s="4136"/>
      <c r="WJG13" s="4136"/>
      <c r="WJH13" s="4136"/>
      <c r="WJI13" s="4136"/>
      <c r="WJJ13" s="4136"/>
      <c r="WJK13" s="4136"/>
      <c r="WJL13" s="4136"/>
      <c r="WJM13" s="4136"/>
      <c r="WJN13" s="4136"/>
      <c r="WJO13" s="4136"/>
      <c r="WJP13" s="4136"/>
      <c r="WJQ13" s="4136"/>
      <c r="WJR13" s="4136"/>
      <c r="WJS13" s="4136"/>
      <c r="WJT13" s="4136"/>
      <c r="WJU13" s="4136"/>
      <c r="WJV13" s="4136"/>
      <c r="WJW13" s="4136"/>
      <c r="WJX13" s="4136"/>
      <c r="WJY13" s="4136"/>
      <c r="WJZ13" s="4136"/>
      <c r="WKA13" s="4136"/>
      <c r="WKB13" s="4136"/>
      <c r="WKC13" s="4136"/>
      <c r="WKD13" s="4136"/>
      <c r="WKE13" s="4136"/>
      <c r="WKF13" s="4136"/>
      <c r="WKG13" s="4136"/>
      <c r="WKH13" s="4136"/>
      <c r="WKI13" s="4136"/>
      <c r="WKJ13" s="4136"/>
      <c r="WKK13" s="4136"/>
      <c r="WKL13" s="4136"/>
      <c r="WKM13" s="4136"/>
      <c r="WKN13" s="4136"/>
      <c r="WKO13" s="4136"/>
      <c r="WKP13" s="4136"/>
      <c r="WKQ13" s="4136"/>
      <c r="WKR13" s="4136"/>
      <c r="WKS13" s="4136"/>
      <c r="WKT13" s="4136"/>
      <c r="WKU13" s="4136"/>
      <c r="WKV13" s="4136"/>
      <c r="WKW13" s="4136"/>
      <c r="WKX13" s="4136"/>
      <c r="WKY13" s="4136"/>
      <c r="WKZ13" s="4136"/>
      <c r="WLA13" s="4136"/>
      <c r="WLB13" s="4136"/>
      <c r="WLC13" s="4136"/>
      <c r="WLD13" s="4136"/>
      <c r="WLE13" s="4136"/>
      <c r="WLF13" s="4136"/>
      <c r="WLG13" s="4136"/>
      <c r="WLH13" s="4136"/>
      <c r="WLI13" s="4136"/>
      <c r="WLJ13" s="4136"/>
      <c r="WLK13" s="4136"/>
      <c r="WLL13" s="4136"/>
      <c r="WLM13" s="4136"/>
      <c r="WLN13" s="4136"/>
      <c r="WLO13" s="4136"/>
      <c r="WLP13" s="4136"/>
      <c r="WLQ13" s="4136"/>
      <c r="WLR13" s="4136"/>
      <c r="WLS13" s="4136"/>
      <c r="WLT13" s="4136"/>
      <c r="WLU13" s="4136"/>
      <c r="WLV13" s="4136"/>
      <c r="WLW13" s="4136"/>
      <c r="WLX13" s="4136"/>
      <c r="WLY13" s="4136"/>
      <c r="WLZ13" s="4136"/>
      <c r="WMA13" s="4136"/>
      <c r="WMB13" s="4136"/>
      <c r="WMC13" s="4136"/>
      <c r="WMD13" s="4136"/>
      <c r="WME13" s="4136"/>
      <c r="WMF13" s="4136"/>
      <c r="WMG13" s="4136"/>
      <c r="WMH13" s="4136"/>
      <c r="WMI13" s="4136"/>
      <c r="WMJ13" s="4136"/>
      <c r="WMK13" s="4136"/>
      <c r="WML13" s="4136"/>
      <c r="WMM13" s="4136"/>
      <c r="WMN13" s="4136"/>
      <c r="WMO13" s="4136"/>
      <c r="WMP13" s="4136"/>
      <c r="WMQ13" s="4136"/>
      <c r="WMR13" s="4136"/>
      <c r="WMS13" s="4136"/>
      <c r="WMT13" s="4136"/>
      <c r="WMU13" s="4136"/>
      <c r="WMV13" s="4136"/>
      <c r="WMW13" s="4136"/>
      <c r="WMX13" s="4136"/>
      <c r="WMY13" s="4136"/>
      <c r="WMZ13" s="4136"/>
      <c r="WNA13" s="4136"/>
      <c r="WNB13" s="4136"/>
      <c r="WNC13" s="4136"/>
      <c r="WND13" s="4136"/>
      <c r="WNE13" s="4136"/>
      <c r="WNF13" s="4136"/>
      <c r="WNG13" s="4136"/>
      <c r="WNH13" s="4136"/>
      <c r="WNI13" s="4136"/>
      <c r="WNJ13" s="4136"/>
      <c r="WNK13" s="4136"/>
      <c r="WNL13" s="4136"/>
      <c r="WNM13" s="4136"/>
      <c r="WNN13" s="4136"/>
      <c r="WNO13" s="4136"/>
      <c r="WNP13" s="4136"/>
      <c r="WNQ13" s="4136"/>
      <c r="WNR13" s="4136"/>
      <c r="WNS13" s="4136"/>
      <c r="WNT13" s="4136"/>
      <c r="WNU13" s="4136"/>
      <c r="WNV13" s="4136"/>
      <c r="WNW13" s="4136"/>
      <c r="WNX13" s="4136"/>
      <c r="WNY13" s="4136"/>
      <c r="WNZ13" s="4136"/>
      <c r="WOA13" s="4136"/>
      <c r="WOB13" s="4136"/>
      <c r="WOC13" s="4136"/>
      <c r="WOD13" s="4136"/>
      <c r="WOE13" s="4136"/>
      <c r="WOF13" s="4136"/>
      <c r="WOG13" s="4136"/>
      <c r="WOH13" s="4136"/>
      <c r="WOI13" s="4136"/>
      <c r="WOJ13" s="4136"/>
      <c r="WOK13" s="4136"/>
      <c r="WOL13" s="4136"/>
      <c r="WOM13" s="4136"/>
      <c r="WON13" s="4136"/>
      <c r="WOO13" s="4136"/>
      <c r="WOP13" s="4136"/>
      <c r="WOQ13" s="4136"/>
      <c r="WOR13" s="4136"/>
      <c r="WOS13" s="4136"/>
      <c r="WOT13" s="4136"/>
      <c r="WOU13" s="4136"/>
      <c r="WOV13" s="4136"/>
      <c r="WOW13" s="4136"/>
      <c r="WOX13" s="4136"/>
      <c r="WOY13" s="4136"/>
      <c r="WOZ13" s="4136"/>
      <c r="WPA13" s="4136"/>
      <c r="WPB13" s="4136"/>
      <c r="WPC13" s="4136"/>
      <c r="WPD13" s="4136"/>
      <c r="WPE13" s="4136"/>
      <c r="WPF13" s="4136"/>
      <c r="WPG13" s="4136"/>
      <c r="WPH13" s="4136"/>
      <c r="WPI13" s="4136"/>
      <c r="WPJ13" s="4136"/>
      <c r="WPK13" s="4136"/>
      <c r="WPL13" s="4136"/>
      <c r="WPM13" s="4136"/>
      <c r="WPN13" s="4136"/>
      <c r="WPO13" s="4136"/>
      <c r="WPP13" s="4136"/>
      <c r="WPQ13" s="4136"/>
      <c r="WPR13" s="4136"/>
      <c r="WPS13" s="4136"/>
      <c r="WPT13" s="4136"/>
      <c r="WPU13" s="4136"/>
      <c r="WPV13" s="4136"/>
      <c r="WPW13" s="4136"/>
      <c r="WPX13" s="4136"/>
      <c r="WPY13" s="4136"/>
      <c r="WPZ13" s="4136"/>
      <c r="WQA13" s="4136"/>
      <c r="WQB13" s="4136"/>
      <c r="WQC13" s="4136"/>
      <c r="WQD13" s="4136"/>
      <c r="WQE13" s="4136"/>
      <c r="WQF13" s="4136"/>
      <c r="WQG13" s="4136"/>
      <c r="WQH13" s="4136"/>
      <c r="WQI13" s="4136"/>
      <c r="WQJ13" s="4136"/>
      <c r="WQK13" s="4136"/>
      <c r="WQL13" s="4136"/>
      <c r="WQM13" s="4136"/>
      <c r="WQN13" s="4136"/>
      <c r="WQO13" s="4136"/>
      <c r="WQP13" s="4136"/>
      <c r="WQQ13" s="4136"/>
      <c r="WQR13" s="4136"/>
      <c r="WQS13" s="4136"/>
      <c r="WQT13" s="4136"/>
      <c r="WQU13" s="4136"/>
      <c r="WQV13" s="4136"/>
      <c r="WQW13" s="4136"/>
      <c r="WQX13" s="4136"/>
      <c r="WQY13" s="4136"/>
      <c r="WQZ13" s="4136"/>
      <c r="WRA13" s="4136"/>
      <c r="WRB13" s="4136"/>
      <c r="WRC13" s="4136"/>
      <c r="WRD13" s="4136"/>
      <c r="WRE13" s="4136"/>
      <c r="WRF13" s="4136"/>
      <c r="WRG13" s="4136"/>
      <c r="WRH13" s="4136"/>
      <c r="WRI13" s="4136"/>
      <c r="WRJ13" s="4136"/>
      <c r="WRK13" s="4136"/>
      <c r="WRL13" s="4136"/>
      <c r="WRM13" s="4136"/>
      <c r="WRN13" s="4136"/>
      <c r="WRO13" s="4136"/>
      <c r="WRP13" s="4136"/>
      <c r="WRQ13" s="4136"/>
      <c r="WRR13" s="4136"/>
      <c r="WRS13" s="4136"/>
      <c r="WRT13" s="4136"/>
      <c r="WRU13" s="4136"/>
      <c r="WRV13" s="4136"/>
      <c r="WRW13" s="4136"/>
      <c r="WRX13" s="4136"/>
      <c r="WRY13" s="4136"/>
      <c r="WRZ13" s="4136"/>
      <c r="WSA13" s="4136"/>
      <c r="WSB13" s="4136"/>
      <c r="WSC13" s="4136"/>
      <c r="WSD13" s="4136"/>
      <c r="WSE13" s="4136"/>
      <c r="WSF13" s="4136"/>
      <c r="WSG13" s="4136"/>
      <c r="WSH13" s="4136"/>
      <c r="WSI13" s="4136"/>
      <c r="WSJ13" s="4136"/>
      <c r="WSK13" s="4136"/>
      <c r="WSL13" s="4136"/>
      <c r="WSM13" s="4136"/>
      <c r="WSN13" s="4136"/>
      <c r="WSO13" s="4136"/>
      <c r="WSP13" s="4136"/>
      <c r="WSQ13" s="4136"/>
      <c r="WSR13" s="4136"/>
      <c r="WSS13" s="4136"/>
      <c r="WST13" s="4136"/>
      <c r="WSU13" s="4136"/>
      <c r="WSV13" s="4136"/>
      <c r="WSW13" s="4136"/>
      <c r="WSX13" s="4136"/>
      <c r="WSY13" s="4136"/>
      <c r="WSZ13" s="4136"/>
      <c r="WTA13" s="4136"/>
      <c r="WTB13" s="4136"/>
      <c r="WTC13" s="4136"/>
      <c r="WTD13" s="4136"/>
      <c r="WTE13" s="4136"/>
      <c r="WTF13" s="4136"/>
      <c r="WTG13" s="4136"/>
      <c r="WTH13" s="4136"/>
      <c r="WTI13" s="4136"/>
      <c r="WTJ13" s="4136"/>
      <c r="WTK13" s="4136"/>
      <c r="WTL13" s="4136"/>
      <c r="WTM13" s="4136"/>
      <c r="WTN13" s="4136"/>
      <c r="WTO13" s="4136"/>
      <c r="WTP13" s="4136"/>
      <c r="WTQ13" s="4136"/>
      <c r="WTR13" s="4136"/>
      <c r="WTS13" s="4136"/>
      <c r="WTT13" s="4136"/>
      <c r="WTU13" s="4136"/>
      <c r="WTV13" s="4136"/>
      <c r="WTW13" s="4136"/>
      <c r="WTX13" s="4136"/>
      <c r="WTY13" s="4136"/>
      <c r="WTZ13" s="4136"/>
      <c r="WUA13" s="4136"/>
      <c r="WUB13" s="4136"/>
      <c r="WUC13" s="4136"/>
      <c r="WUD13" s="4136"/>
      <c r="WUE13" s="4136"/>
      <c r="WUF13" s="4136"/>
      <c r="WUG13" s="4136"/>
      <c r="WUH13" s="4136"/>
      <c r="WUI13" s="4136"/>
      <c r="WUJ13" s="4136"/>
      <c r="WUK13" s="4136"/>
      <c r="WUL13" s="4136"/>
      <c r="WUM13" s="4136"/>
      <c r="WUN13" s="4136"/>
      <c r="WUO13" s="4136"/>
      <c r="WUP13" s="4136"/>
      <c r="WUQ13" s="4136"/>
      <c r="WUR13" s="4136"/>
      <c r="WUS13" s="4136"/>
      <c r="WUT13" s="4136"/>
      <c r="WUU13" s="4136"/>
      <c r="WUV13" s="4136"/>
      <c r="WUW13" s="4136"/>
      <c r="WUX13" s="4136"/>
      <c r="WUY13" s="4136"/>
      <c r="WUZ13" s="4136"/>
      <c r="WVA13" s="4136"/>
      <c r="WVB13" s="4136"/>
      <c r="WVC13" s="4136"/>
      <c r="WVD13" s="4136"/>
      <c r="WVE13" s="4136"/>
      <c r="WVF13" s="4136"/>
      <c r="WVG13" s="4136"/>
      <c r="WVH13" s="4136"/>
      <c r="WVI13" s="4136"/>
      <c r="WVJ13" s="4136"/>
      <c r="WVK13" s="4136"/>
      <c r="WVL13" s="4136"/>
      <c r="WVM13" s="4136"/>
      <c r="WVN13" s="4136"/>
      <c r="WVO13" s="4136"/>
      <c r="WVP13" s="4136"/>
      <c r="WVQ13" s="4136"/>
      <c r="WVR13" s="4136"/>
      <c r="WVS13" s="4136"/>
      <c r="WVT13" s="4136"/>
      <c r="WVU13" s="4136"/>
      <c r="WVV13" s="4136"/>
      <c r="WVW13" s="4136"/>
      <c r="WVX13" s="4136"/>
      <c r="WVY13" s="4136"/>
      <c r="WVZ13" s="4136"/>
      <c r="WWA13" s="4136"/>
      <c r="WWB13" s="4136"/>
      <c r="WWC13" s="4136"/>
      <c r="WWD13" s="4136"/>
      <c r="WWE13" s="4136"/>
      <c r="WWF13" s="4136"/>
      <c r="WWG13" s="4136"/>
      <c r="WWH13" s="4136"/>
      <c r="WWI13" s="4136"/>
      <c r="WWJ13" s="4136"/>
      <c r="WWK13" s="4136"/>
      <c r="WWL13" s="4136"/>
      <c r="WWM13" s="4136"/>
      <c r="WWN13" s="4136"/>
      <c r="WWO13" s="4136"/>
      <c r="WWP13" s="4136"/>
      <c r="WWQ13" s="4136"/>
      <c r="WWR13" s="4136"/>
      <c r="WWS13" s="4136"/>
      <c r="WWT13" s="4136"/>
      <c r="WWU13" s="4136"/>
      <c r="WWV13" s="4136"/>
      <c r="WWW13" s="4136"/>
      <c r="WWX13" s="4136"/>
      <c r="WWY13" s="4136"/>
      <c r="WWZ13" s="4136"/>
      <c r="WXA13" s="4136"/>
      <c r="WXB13" s="4136"/>
      <c r="WXC13" s="4136"/>
      <c r="WXD13" s="4136"/>
      <c r="WXE13" s="4136"/>
      <c r="WXF13" s="4136"/>
      <c r="WXG13" s="4136"/>
      <c r="WXH13" s="4136"/>
      <c r="WXI13" s="4136"/>
      <c r="WXJ13" s="4136"/>
      <c r="WXK13" s="4136"/>
      <c r="WXL13" s="4136"/>
      <c r="WXM13" s="4136"/>
      <c r="WXN13" s="4136"/>
      <c r="WXO13" s="4136"/>
      <c r="WXP13" s="4136"/>
      <c r="WXQ13" s="4136"/>
      <c r="WXR13" s="4136"/>
      <c r="WXS13" s="4136"/>
      <c r="WXT13" s="4136"/>
      <c r="WXU13" s="4136"/>
      <c r="WXV13" s="4136"/>
      <c r="WXW13" s="4136"/>
      <c r="WXX13" s="4136"/>
      <c r="WXY13" s="4136"/>
      <c r="WXZ13" s="4136"/>
      <c r="WYA13" s="4136"/>
      <c r="WYB13" s="4136"/>
      <c r="WYC13" s="4136"/>
      <c r="WYD13" s="4136"/>
      <c r="WYE13" s="4136"/>
      <c r="WYF13" s="4136"/>
      <c r="WYG13" s="4136"/>
      <c r="WYH13" s="4136"/>
      <c r="WYI13" s="4136"/>
      <c r="WYJ13" s="4136"/>
      <c r="WYK13" s="4136"/>
      <c r="WYL13" s="4136"/>
      <c r="WYM13" s="4136"/>
      <c r="WYN13" s="4136"/>
      <c r="WYO13" s="4136"/>
      <c r="WYP13" s="4136"/>
      <c r="WYQ13" s="4136"/>
      <c r="WYR13" s="4136"/>
      <c r="WYS13" s="4136"/>
      <c r="WYT13" s="4136"/>
      <c r="WYU13" s="4136"/>
      <c r="WYV13" s="4136"/>
      <c r="WYW13" s="4136"/>
      <c r="WYX13" s="4136"/>
      <c r="WYY13" s="4136"/>
      <c r="WYZ13" s="4136"/>
      <c r="WZA13" s="4136"/>
      <c r="WZB13" s="4136"/>
      <c r="WZC13" s="4136"/>
      <c r="WZD13" s="4136"/>
      <c r="WZE13" s="4136"/>
      <c r="WZF13" s="4136"/>
      <c r="WZG13" s="4136"/>
      <c r="WZH13" s="4136"/>
      <c r="WZI13" s="4136"/>
      <c r="WZJ13" s="4136"/>
      <c r="WZK13" s="4136"/>
      <c r="WZL13" s="4136"/>
      <c r="WZM13" s="4136"/>
      <c r="WZN13" s="4136"/>
      <c r="WZO13" s="4136"/>
      <c r="WZP13" s="4136"/>
      <c r="WZQ13" s="4136"/>
      <c r="WZR13" s="4136"/>
      <c r="WZS13" s="4136"/>
      <c r="WZT13" s="4136"/>
      <c r="WZU13" s="4136"/>
      <c r="WZV13" s="4136"/>
      <c r="WZW13" s="4136"/>
      <c r="WZX13" s="4136"/>
      <c r="WZY13" s="4136"/>
      <c r="WZZ13" s="4136"/>
      <c r="XAA13" s="4136"/>
      <c r="XAB13" s="4136"/>
      <c r="XAC13" s="4136"/>
      <c r="XAD13" s="4136"/>
      <c r="XAE13" s="4136"/>
      <c r="XAF13" s="4136"/>
      <c r="XAG13" s="4136"/>
      <c r="XAH13" s="4136"/>
      <c r="XAI13" s="4136"/>
      <c r="XAJ13" s="4136"/>
      <c r="XAK13" s="4136"/>
      <c r="XAL13" s="4136"/>
      <c r="XAM13" s="4136"/>
      <c r="XAN13" s="4136"/>
      <c r="XAO13" s="4136"/>
      <c r="XAP13" s="4136"/>
      <c r="XAQ13" s="4136"/>
      <c r="XAR13" s="4136"/>
      <c r="XAS13" s="4136"/>
      <c r="XAT13" s="4136"/>
      <c r="XAU13" s="4136"/>
      <c r="XAV13" s="4136"/>
      <c r="XAW13" s="4136"/>
      <c r="XAX13" s="4136"/>
      <c r="XAY13" s="4136"/>
      <c r="XAZ13" s="4136"/>
      <c r="XBA13" s="4136"/>
      <c r="XBB13" s="4136"/>
      <c r="XBC13" s="4136"/>
      <c r="XBD13" s="4136"/>
      <c r="XBE13" s="4136"/>
      <c r="XBF13" s="4136"/>
      <c r="XBG13" s="4136"/>
      <c r="XBH13" s="4136"/>
      <c r="XBI13" s="4136"/>
      <c r="XBJ13" s="4136"/>
      <c r="XBK13" s="4136"/>
      <c r="XBL13" s="4136"/>
      <c r="XBM13" s="4136"/>
      <c r="XBN13" s="4136"/>
      <c r="XBO13" s="4136"/>
      <c r="XBP13" s="4136"/>
      <c r="XBQ13" s="4136"/>
      <c r="XBR13" s="4136"/>
      <c r="XBS13" s="4136"/>
      <c r="XBT13" s="4136"/>
      <c r="XBU13" s="4136"/>
      <c r="XBV13" s="4136"/>
      <c r="XBW13" s="4136"/>
      <c r="XBX13" s="4136"/>
      <c r="XBY13" s="4136"/>
      <c r="XBZ13" s="4136"/>
      <c r="XCA13" s="4136"/>
      <c r="XCB13" s="4136"/>
      <c r="XCC13" s="4136"/>
      <c r="XCD13" s="4136"/>
      <c r="XCE13" s="4136"/>
      <c r="XCF13" s="4136"/>
      <c r="XCG13" s="4136"/>
      <c r="XCH13" s="4136"/>
      <c r="XCI13" s="4136"/>
      <c r="XCJ13" s="4136"/>
      <c r="XCK13" s="4136"/>
      <c r="XCL13" s="4136"/>
      <c r="XCM13" s="4136"/>
      <c r="XCN13" s="4136"/>
      <c r="XCO13" s="4136"/>
      <c r="XCP13" s="4136"/>
      <c r="XCQ13" s="4136"/>
      <c r="XCR13" s="4136"/>
      <c r="XCS13" s="4136"/>
      <c r="XCT13" s="4136"/>
      <c r="XCU13" s="4136"/>
      <c r="XCV13" s="4136"/>
      <c r="XCW13" s="4136"/>
      <c r="XCX13" s="4136"/>
      <c r="XCY13" s="4136"/>
      <c r="XCZ13" s="4136"/>
      <c r="XDA13" s="4136"/>
      <c r="XDB13" s="4136"/>
      <c r="XDC13" s="4136"/>
      <c r="XDD13" s="4136"/>
      <c r="XDE13" s="4136"/>
      <c r="XDF13" s="4136"/>
      <c r="XDG13" s="4136"/>
      <c r="XDH13" s="4136"/>
      <c r="XDI13" s="4136"/>
      <c r="XDJ13" s="4136"/>
      <c r="XDK13" s="4136"/>
      <c r="XDL13" s="4136"/>
      <c r="XDM13" s="4136"/>
      <c r="XDN13" s="4136"/>
      <c r="XDO13" s="4136"/>
      <c r="XDP13" s="4136"/>
      <c r="XDQ13" s="4136"/>
      <c r="XDR13" s="4136"/>
      <c r="XDS13" s="4136"/>
      <c r="XDT13" s="4136"/>
      <c r="XDU13" s="4136"/>
      <c r="XDV13" s="4136"/>
      <c r="XDW13" s="4137"/>
      <c r="XDX13" s="4137"/>
      <c r="XDY13" s="4137"/>
      <c r="XDZ13" s="4137"/>
      <c r="XEA13" s="4137"/>
      <c r="XEB13" s="4137"/>
      <c r="XEC13" s="4137"/>
      <c r="XED13" s="4137"/>
      <c r="XEE13" s="4137"/>
      <c r="XEF13" s="4137"/>
    </row>
  </sheetData>
  <mergeCells count="34">
    <mergeCell ref="AH1:AH2"/>
    <mergeCell ref="AI1:AW1"/>
    <mergeCell ref="AX1:AX2"/>
    <mergeCell ref="AY1:AZ1"/>
    <mergeCell ref="AB1:AB2"/>
    <mergeCell ref="AC1:AC2"/>
    <mergeCell ref="AD1:AD2"/>
    <mergeCell ref="AE1:AE2"/>
    <mergeCell ref="AF1:AF2"/>
    <mergeCell ref="AG1:AG2"/>
    <mergeCell ref="T1:T2"/>
    <mergeCell ref="U1:U2"/>
    <mergeCell ref="V1:X1"/>
    <mergeCell ref="Y1:Y2"/>
    <mergeCell ref="Z1:Z2"/>
    <mergeCell ref="AA1:AA2"/>
    <mergeCell ref="N1:N2"/>
    <mergeCell ref="O1:O2"/>
    <mergeCell ref="P1:P2"/>
    <mergeCell ref="Q1:Q2"/>
    <mergeCell ref="R1:R2"/>
    <mergeCell ref="S1:S2"/>
    <mergeCell ref="G1:G2"/>
    <mergeCell ref="H1:H2"/>
    <mergeCell ref="I1:I2"/>
    <mergeCell ref="J1:J2"/>
    <mergeCell ref="K1:L1"/>
    <mergeCell ref="M1:M2"/>
    <mergeCell ref="A1:A2"/>
    <mergeCell ref="B1:B2"/>
    <mergeCell ref="C1:C2"/>
    <mergeCell ref="D1:D2"/>
    <mergeCell ref="E1:E2"/>
    <mergeCell ref="F1:F2"/>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90" zoomScaleNormal="60" zoomScaleSheetLayoutView="90" workbookViewId="0">
      <selection activeCell="D35" sqref="D35"/>
    </sheetView>
  </sheetViews>
  <sheetFormatPr defaultColWidth="12" defaultRowHeight="12"/>
  <cols>
    <col min="1" max="1" width="9.77734375" style="1257" customWidth="1"/>
    <col min="2" max="2" width="24.6640625" style="1346" customWidth="1"/>
    <col min="3" max="4" width="12" style="1258"/>
    <col min="5" max="5" width="14.6640625" style="1258" customWidth="1"/>
    <col min="6" max="8" width="12" style="1258"/>
    <col min="9" max="9" width="12.21875" style="1258" bestFit="1" customWidth="1"/>
    <col min="10" max="10" width="12" style="1258"/>
    <col min="11" max="11" width="9.6640625" style="1255" customWidth="1"/>
    <col min="12" max="12" width="15.77734375" style="1258" customWidth="1"/>
    <col min="13" max="14" width="10.6640625" style="1258" customWidth="1"/>
    <col min="15" max="17" width="12" style="1258"/>
    <col min="18" max="18" width="12" style="1257"/>
    <col min="19" max="22" width="15.44140625" style="1257" customWidth="1"/>
    <col min="23" max="28" width="12" style="1258"/>
    <col min="29" max="29" width="9.33203125" style="1257" customWidth="1"/>
    <col min="30" max="35" width="9.33203125" style="1256" customWidth="1"/>
    <col min="36" max="39" width="9.33203125" style="1257" customWidth="1"/>
    <col min="40" max="41" width="9.33203125" style="1258" customWidth="1"/>
    <col min="42" max="16384" width="12" style="1258"/>
  </cols>
  <sheetData>
    <row r="1" spans="1:39" ht="20.399999999999999">
      <c r="A1" s="1252" t="s">
        <v>1227</v>
      </c>
      <c r="B1" s="1253"/>
      <c r="C1" s="1259" t="s">
        <v>1778</v>
      </c>
      <c r="D1" s="1339">
        <f>SUM(D33:D34,D37:D42)</f>
        <v>543.88</v>
      </c>
      <c r="E1" s="1259" t="s">
        <v>1779</v>
      </c>
      <c r="F1" s="2103">
        <f>'数据-基础表'!A3</f>
        <v>271.94</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6">
      <c r="A2" s="1259" t="s">
        <v>848</v>
      </c>
      <c r="B2" s="989">
        <f>C30</f>
        <v>426</v>
      </c>
      <c r="C2" s="1260" t="s">
        <v>849</v>
      </c>
      <c r="D2" s="1261" t="s">
        <v>850</v>
      </c>
      <c r="E2" s="1262" t="s">
        <v>2736</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Ⅵ-06</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11769</v>
      </c>
      <c r="U2" s="2403"/>
      <c r="V2" s="2413">
        <f>ROUND(T2*U2/10000,0)</f>
        <v>0</v>
      </c>
      <c r="W2" s="1909"/>
      <c r="X2" s="1909"/>
      <c r="Y2" s="1909"/>
      <c r="Z2" s="1909"/>
      <c r="AA2" s="1909"/>
      <c r="AB2" s="1909"/>
      <c r="AC2" s="1910"/>
    </row>
    <row r="3" spans="1:39" ht="15.6">
      <c r="A3" s="1264" t="s">
        <v>1220</v>
      </c>
      <c r="B3" s="989">
        <f>ROUND(B2*10000/D1,0)</f>
        <v>7833</v>
      </c>
      <c r="C3" s="1260" t="s">
        <v>855</v>
      </c>
      <c r="D3" s="1261" t="s">
        <v>856</v>
      </c>
      <c r="E3" s="1265" t="s">
        <v>2476</v>
      </c>
      <c r="F3" s="1266" t="s">
        <v>3331</v>
      </c>
      <c r="G3" s="990">
        <f>IF(F3="宗地容积率",'数据-汇总表'!I4,IF(F3="估价对象容积率",'数据-汇总表'!I6,'数据-汇总表'!I7))</f>
        <v>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9276</v>
      </c>
      <c r="U3" s="2403"/>
      <c r="V3" s="2413">
        <f t="shared" ref="V3:V16" si="1">ROUND(T3*U3/10000,0)</f>
        <v>0</v>
      </c>
      <c r="W3" s="1909"/>
      <c r="X3" s="1909"/>
      <c r="Y3" s="1909"/>
      <c r="Z3" s="1909"/>
      <c r="AA3" s="1909"/>
      <c r="AB3" s="1909"/>
      <c r="AC3" s="1910"/>
    </row>
    <row r="4" spans="1:39" ht="31.2">
      <c r="A4" s="1645" t="s">
        <v>1638</v>
      </c>
      <c r="B4" s="2104">
        <f>ROUND(B2*10000/F1,0)</f>
        <v>15665</v>
      </c>
      <c r="C4" s="1648" t="s">
        <v>1613</v>
      </c>
      <c r="D4" s="1648">
        <f>ROUND(B2/(F1/666.67),0)</f>
        <v>1044</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7840</v>
      </c>
      <c r="U4" s="2403"/>
      <c r="V4" s="2413">
        <f t="shared" si="1"/>
        <v>0</v>
      </c>
      <c r="W4" s="1909"/>
      <c r="X4" s="1909"/>
      <c r="Y4" s="1909"/>
      <c r="Z4" s="1909"/>
      <c r="AA4" s="1909"/>
      <c r="AB4" s="1909"/>
      <c r="AC4" s="1910"/>
    </row>
    <row r="5" spans="1:39" s="1274" customFormat="1" ht="15.6" thickBot="1">
      <c r="A5" s="1442" t="s">
        <v>1352</v>
      </c>
      <c r="B5" s="1268" t="s">
        <v>859</v>
      </c>
      <c r="C5" s="992">
        <f>ROUND(IF(E2="商业",C6*C7*C17+C20,(IF(E2="住宅",C6*C13*C17+C20,IF(E2="办公",C6*C12*C17+C20,C6+C20)))),0)</f>
        <v>7630</v>
      </c>
      <c r="D5" s="2545">
        <f>ROUND(C6*C17+C20,0)</f>
        <v>7630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6915</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6" thickBot="1">
      <c r="A6" s="3516" t="s">
        <v>1395</v>
      </c>
      <c r="B6" s="1275" t="s">
        <v>859</v>
      </c>
      <c r="C6" s="3517">
        <f>SUMIF(L1:L12,G2,M1:M12)</f>
        <v>7630</v>
      </c>
      <c r="D6" s="3518" t="s">
        <v>1228</v>
      </c>
      <c r="E6" s="1275"/>
      <c r="F6" s="1275"/>
      <c r="G6" s="3519"/>
      <c r="H6" s="3519"/>
      <c r="I6" s="3519"/>
      <c r="J6" s="3520"/>
      <c r="K6" s="2975"/>
      <c r="L6" s="1639" t="s">
        <v>1602</v>
      </c>
      <c r="M6" s="1640">
        <f>SUMPRODUCT((区片价!B127:B189=I2)*(区片价!C3:G3=E2)*(区片价!C127:G189))</f>
        <v>7630</v>
      </c>
      <c r="N6" s="1641">
        <f>SUMPRODUCT((因素修正幅度!B127:B189=I2)*(因素修正幅度!C3:G3=E2)*(因素修正幅度!C127:G189))</f>
        <v>0.13</v>
      </c>
      <c r="O6" s="2975"/>
      <c r="P6" s="2978"/>
      <c r="Q6" s="1909"/>
      <c r="R6" s="2413">
        <v>5</v>
      </c>
      <c r="S6" s="2413">
        <f>ROUND(SUMPRODUCT((B107:B111=R6)*(C106:N106=G2)*(C107:N111)),4)</f>
        <v>0.84799999999999998</v>
      </c>
      <c r="T6" s="2413">
        <f t="shared" si="0"/>
        <v>6645</v>
      </c>
      <c r="U6" s="2403"/>
      <c r="V6" s="2413">
        <f t="shared" si="1"/>
        <v>0</v>
      </c>
      <c r="W6" s="1909"/>
      <c r="X6" s="1909"/>
      <c r="Y6" s="1909"/>
      <c r="Z6" s="1909"/>
      <c r="AA6" s="1909"/>
      <c r="AB6" s="1909"/>
      <c r="AC6" s="1911"/>
      <c r="AD6" s="1272"/>
      <c r="AE6" s="1272"/>
      <c r="AF6" s="1272"/>
      <c r="AG6" s="1272"/>
      <c r="AH6" s="1272"/>
      <c r="AI6" s="1272"/>
      <c r="AJ6" s="1273"/>
    </row>
    <row r="7" spans="1:39" ht="24.6" thickBot="1">
      <c r="A7" s="3521" t="s">
        <v>3191</v>
      </c>
      <c r="B7" s="1276" t="s">
        <v>860</v>
      </c>
      <c r="C7" s="3522" t="e">
        <f>IF(C8="不临65条商业街",1,ROUND(1+(1.6*E8+1.2*E9+0.8*E10+0.4*E11)*C9,4))</f>
        <v>#DIV/0!</v>
      </c>
      <c r="D7" s="3523" t="s">
        <v>861</v>
      </c>
      <c r="E7" s="3524"/>
      <c r="F7" s="3525"/>
      <c r="G7" s="3525"/>
      <c r="H7" s="3525"/>
      <c r="I7" s="3525"/>
      <c r="J7" s="3526"/>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2</v>
      </c>
      <c r="AA7" s="1912"/>
      <c r="AB7" s="1912"/>
      <c r="AC7" s="1913"/>
      <c r="AD7" s="2406"/>
      <c r="AE7" s="2406"/>
      <c r="AF7" s="2406"/>
      <c r="AG7" s="2406"/>
      <c r="AH7" s="2406"/>
      <c r="AI7" s="2406"/>
      <c r="AJ7" s="2407"/>
    </row>
    <row r="8" spans="1:39" ht="15">
      <c r="A8" s="3527"/>
      <c r="B8" s="1267" t="s">
        <v>862</v>
      </c>
      <c r="C8" s="3528"/>
      <c r="D8" s="3529" t="s">
        <v>863</v>
      </c>
      <c r="E8" s="3530" t="e">
        <f>ROUND(C11/E7,4)</f>
        <v>#DIV/0!</v>
      </c>
      <c r="F8" s="3531" t="s">
        <v>864</v>
      </c>
      <c r="G8" s="3532"/>
      <c r="H8" s="3532"/>
      <c r="I8" s="3532"/>
      <c r="J8" s="3533"/>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3956" t="s">
        <v>2060</v>
      </c>
      <c r="X8" s="395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7"/>
      <c r="B9" s="1267" t="s">
        <v>865</v>
      </c>
      <c r="C9" s="3534">
        <f>SUMIF(修正!C73:C141,C8,修正!E73:E141)</f>
        <v>0</v>
      </c>
      <c r="D9" s="3535" t="s">
        <v>866</v>
      </c>
      <c r="E9" s="3535" t="e">
        <f>ROUND(C11/E7,4)</f>
        <v>#DIV/0!</v>
      </c>
      <c r="F9" s="3531" t="s">
        <v>867</v>
      </c>
      <c r="G9" s="3532"/>
      <c r="H9" s="3532"/>
      <c r="I9" s="3532"/>
      <c r="J9" s="3533"/>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3955"/>
      <c r="X9" s="2408" t="s">
        <v>3214</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7" t="s">
        <v>868</v>
      </c>
      <c r="C10" s="3535">
        <f>SUMIF(修正!C73:C141,C8,修正!F73:F141)</f>
        <v>0</v>
      </c>
      <c r="D10" s="3535" t="s">
        <v>869</v>
      </c>
      <c r="E10" s="3535" t="e">
        <f>ROUND(C11/E7,4)</f>
        <v>#DIV/0!</v>
      </c>
      <c r="F10" s="3531" t="s">
        <v>870</v>
      </c>
      <c r="G10" s="3532"/>
      <c r="H10" s="3532"/>
      <c r="I10" s="3532"/>
      <c r="J10" s="3533"/>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3955"/>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80" t="s">
        <v>871</v>
      </c>
      <c r="C11" s="3536">
        <f>C10/4</f>
        <v>0</v>
      </c>
      <c r="D11" s="3536" t="s">
        <v>872</v>
      </c>
      <c r="E11" s="3536" t="e">
        <f>ROUND(C11/E7,4)</f>
        <v>#DIV/0!</v>
      </c>
      <c r="F11" s="3537" t="s">
        <v>873</v>
      </c>
      <c r="G11" s="3538"/>
      <c r="H11" s="3538"/>
      <c r="I11" s="3538"/>
      <c r="J11" s="3539"/>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8" thickBot="1">
      <c r="A12" s="3521" t="s">
        <v>3192</v>
      </c>
      <c r="B12" s="3502" t="s">
        <v>3193</v>
      </c>
      <c r="C12" s="3508">
        <v>1</v>
      </c>
      <c r="D12" s="3503" t="s">
        <v>3194</v>
      </c>
      <c r="E12" s="3504" t="s">
        <v>3195</v>
      </c>
      <c r="F12" s="3505"/>
      <c r="G12" s="3506"/>
      <c r="H12" s="3506"/>
      <c r="I12" s="3506"/>
      <c r="J12" s="3507"/>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24.6" thickBot="1">
      <c r="A13" s="3521" t="s">
        <v>3196</v>
      </c>
      <c r="B13" s="1281" t="s">
        <v>874</v>
      </c>
      <c r="C13" s="3522">
        <f>ROUND(C16*D16*E16*F16*G16*H16*I16*J16,4)</f>
        <v>1</v>
      </c>
      <c r="D13" s="3540" t="s">
        <v>3197</v>
      </c>
      <c r="E13" s="3541"/>
      <c r="F13" s="3541"/>
      <c r="G13" s="3541"/>
      <c r="H13" s="3541"/>
      <c r="I13" s="3541"/>
      <c r="J13" s="3542"/>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3"/>
      <c r="B14" s="1285" t="s">
        <v>1229</v>
      </c>
      <c r="C14" s="3456" t="s">
        <v>1230</v>
      </c>
      <c r="D14" s="1287" t="s">
        <v>1231</v>
      </c>
      <c r="E14" s="779" t="s">
        <v>3198</v>
      </c>
      <c r="F14" s="3544" t="s">
        <v>1178</v>
      </c>
      <c r="G14" s="3544" t="s">
        <v>1178</v>
      </c>
      <c r="H14" s="3545" t="s">
        <v>1178</v>
      </c>
      <c r="I14" s="3546" t="s">
        <v>1178</v>
      </c>
      <c r="J14" s="3546"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3"/>
      <c r="B15" s="1287"/>
      <c r="C15" s="3547"/>
      <c r="D15" s="3548"/>
      <c r="E15" s="3549"/>
      <c r="F15" s="3549"/>
      <c r="G15" s="3511" t="s">
        <v>3199</v>
      </c>
      <c r="H15" s="3512"/>
      <c r="I15" s="3513"/>
      <c r="J15" s="3514"/>
      <c r="K15" s="3515"/>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3"/>
      <c r="B16" s="2598" t="s">
        <v>1232</v>
      </c>
      <c r="C16" s="3509">
        <v>1</v>
      </c>
      <c r="D16" s="3509">
        <v>1</v>
      </c>
      <c r="E16" s="3509">
        <v>1</v>
      </c>
      <c r="F16" s="3509">
        <v>1</v>
      </c>
      <c r="G16" s="3509">
        <v>1</v>
      </c>
      <c r="H16" s="3509">
        <v>1</v>
      </c>
      <c r="I16" s="3509">
        <v>1</v>
      </c>
      <c r="J16" s="3510">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4">
      <c r="A18" s="3543"/>
      <c r="B18" s="3419"/>
      <c r="C18" s="3558"/>
      <c r="D18" s="3554" t="s">
        <v>3203</v>
      </c>
      <c r="E18" s="3559"/>
      <c r="F18" s="3556" t="s">
        <v>3206</v>
      </c>
      <c r="G18" s="3558">
        <f>ROUND(1-(1/(POWER(1+G24,E18))),4)</f>
        <v>0</v>
      </c>
      <c r="H18" s="3556" t="s">
        <v>3208</v>
      </c>
      <c r="I18" s="3558">
        <f>ROUND(1-(1/(POWER(1+G24,J24))),4)</f>
        <v>0.91279999999999994</v>
      </c>
      <c r="J18" s="3642"/>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4">
      <c r="A20" s="3949" t="s">
        <v>1370</v>
      </c>
      <c r="B20" s="1276" t="s">
        <v>875</v>
      </c>
      <c r="C20" s="996">
        <f>ROUND(IF(F21="与级别开发程度一致",0,(G21-E21)/C21),0)</f>
        <v>0</v>
      </c>
      <c r="D20" s="3961" t="s">
        <v>879</v>
      </c>
      <c r="E20" s="3962"/>
      <c r="F20" s="3961" t="s">
        <v>876</v>
      </c>
      <c r="G20" s="3962"/>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6" thickBot="1">
      <c r="A21" s="3950"/>
      <c r="B21" s="2604" t="s">
        <v>878</v>
      </c>
      <c r="C21" s="2605">
        <f>IF(E3="M4科研用地",SUMPRODUCT((修正!A2:A7=E3)*(修正!B1:M1=G2)*(修正!B2:M7)),SUMPRODUCT((修正!A2:A7=E2)*(修正!B1:M1=G2)*(修正!B2:M7)))</f>
        <v>2</v>
      </c>
      <c r="D21" s="2606" t="str">
        <f>IF(OR(G2="八级",G2="九级",G2="十级",G2="十一级",G2="十二级"),"五通一平","七通一平")</f>
        <v>七通一平</v>
      </c>
      <c r="E21" s="2596">
        <f>SUMPRODUCT((修正!B1:M1=G2)*(修正!B17:M17))</f>
        <v>315</v>
      </c>
      <c r="F21" s="2597" t="s">
        <v>3332</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 thickBot="1">
      <c r="A22" s="2257" t="s">
        <v>1358</v>
      </c>
      <c r="B22" s="2599" t="s">
        <v>880</v>
      </c>
      <c r="C22" s="2600">
        <f>SUMIF(修正!C20:C53,E3,修正!E20:E53)</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9.4" thickBot="1">
      <c r="A23" s="1443" t="s">
        <v>1364</v>
      </c>
      <c r="B23" s="1292" t="s">
        <v>881</v>
      </c>
      <c r="C23" s="9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1295" t="s">
        <v>882</v>
      </c>
      <c r="E23" s="998">
        <v>44197</v>
      </c>
      <c r="F23" s="1295" t="s">
        <v>883</v>
      </c>
      <c r="G23" s="999">
        <f>'数据-取费表'!B2</f>
        <v>45839</v>
      </c>
      <c r="H23" s="1296" t="s">
        <v>2247</v>
      </c>
      <c r="I23" s="2263" t="str">
        <f>IF(H23="季度增幅（自定义）",SUMIF(N25:N28,E2,O25:O28),"")</f>
        <v/>
      </c>
      <c r="J23" s="3562" t="s">
        <v>3333</v>
      </c>
      <c r="K23" s="2974"/>
      <c r="L23" s="2508" t="s">
        <v>2116</v>
      </c>
      <c r="M23" s="2509">
        <f>ROUND(SUMIF(地价!B2:F2,E2,地价!B41:F41),0)</f>
        <v>0</v>
      </c>
      <c r="N23" s="2265" t="s">
        <v>1211</v>
      </c>
      <c r="O23" s="2264">
        <f>ROUNDDOWN(DATEDIF(E23,G23,"M")/3,0)</f>
        <v>18</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9.4" thickBot="1">
      <c r="A24" s="2257" t="s">
        <v>1365</v>
      </c>
      <c r="B24" s="2258" t="s">
        <v>896</v>
      </c>
      <c r="C24" s="2259">
        <f>ROUND(POWER(1+G24,J24-I24)*(POWER(1+G24,I24)-1)/(POWER(1+G24,J24)-1),4)</f>
        <v>1</v>
      </c>
      <c r="D24" s="2260" t="s">
        <v>897</v>
      </c>
      <c r="E24" s="2537">
        <f>存贷款利率!E28/100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4">
      <c r="A25" s="1445" t="s">
        <v>1366</v>
      </c>
      <c r="B25" s="1301" t="s">
        <v>2275</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4">
      <c r="A26" s="1446" t="s">
        <v>1395</v>
      </c>
      <c r="B26" s="1304" t="s">
        <v>901</v>
      </c>
      <c r="C26" s="3563" t="s">
        <v>3209</v>
      </c>
      <c r="D26" s="1000">
        <f>IF(E26=G26,F26,IF(G3&lt;10,ROUND(F26+(H26-F26)*(G3-E26)/(G26-E26),4),"——"))</f>
        <v>1</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3" t="s">
        <v>3210</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 thickBot="1">
      <c r="A28" s="1444" t="s">
        <v>1397</v>
      </c>
      <c r="B28" s="1268" t="s">
        <v>904</v>
      </c>
      <c r="C28" s="1002">
        <f>SUMIF(A47:A101,E2,B47:B101)</f>
        <v>1.0303</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4.4">
      <c r="A30" s="1309"/>
      <c r="B30" s="1304" t="s">
        <v>910</v>
      </c>
      <c r="C30" s="2757">
        <f>IF(B25="容积率修正",E33+SUM(E37:E42),SUM(V2:V16)+SUM(E37:E42))</f>
        <v>426</v>
      </c>
      <c r="D30" s="1310"/>
      <c r="E30" s="1288"/>
      <c r="F30" s="1311"/>
      <c r="G30" s="1288"/>
      <c r="H30" s="1288"/>
      <c r="I30" s="1288"/>
      <c r="J30" s="1312"/>
      <c r="K30" s="2975"/>
      <c r="L30" s="1405" t="s">
        <v>833</v>
      </c>
      <c r="M30" s="1277" t="s">
        <v>907</v>
      </c>
      <c r="N30" s="1277" t="s">
        <v>908</v>
      </c>
      <c r="O30" s="1277" t="s">
        <v>835</v>
      </c>
      <c r="P30" s="1297" t="s">
        <v>909</v>
      </c>
      <c r="Q30" s="1297" t="s">
        <v>3236</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5" thickBot="1">
      <c r="A31" s="1309"/>
      <c r="B31" s="1313" t="s">
        <v>912</v>
      </c>
      <c r="C31" s="1004">
        <f>E34+SUM(I37:I42)</f>
        <v>0</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3.2">
      <c r="A33" s="1322"/>
      <c r="B33" s="1323" t="s">
        <v>917</v>
      </c>
      <c r="C33" s="1003">
        <f>ROUND(C5*C22*C23*C24*C25*C28,0)</f>
        <v>7836</v>
      </c>
      <c r="D33" s="1324">
        <v>543.88</v>
      </c>
      <c r="E33" s="1633">
        <f>ROUND(C33*D33/10000,0)</f>
        <v>426</v>
      </c>
      <c r="F33" s="3564" t="s">
        <v>3211</v>
      </c>
      <c r="G33" s="1325"/>
      <c r="H33" s="1325"/>
      <c r="I33" s="1325"/>
      <c r="J33" s="1326"/>
      <c r="K33" s="2982"/>
      <c r="L33" s="3634" t="s">
        <v>3237</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6" thickBot="1">
      <c r="A34" s="1327"/>
      <c r="B34" s="1328" t="s">
        <v>918</v>
      </c>
      <c r="C34" s="995">
        <f>ROUND(IF(E2="工业",C33*M42,IF(B25="楼层修正",SUM(V2:V16)*M41*10000/D34,C33*M41)),0)</f>
        <v>1959</v>
      </c>
      <c r="D34" s="1329"/>
      <c r="E34" s="1633">
        <f>ROUND(IF(B25="楼层修正",SUM(V2:V16)*#REF!,C34*D34/10000),0)</f>
        <v>0</v>
      </c>
      <c r="F34" s="3565" t="s">
        <v>3212</v>
      </c>
      <c r="G34" s="1330"/>
      <c r="H34" s="1330"/>
      <c r="I34" s="1330"/>
      <c r="J34" s="1331"/>
      <c r="K34" s="2975"/>
      <c r="L34" s="3634" t="s">
        <v>3238</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36.6" thickBot="1">
      <c r="A36" s="1322"/>
      <c r="B36" s="1336"/>
      <c r="C36" s="1337" t="s">
        <v>914</v>
      </c>
      <c r="D36" s="1338" t="s">
        <v>915</v>
      </c>
      <c r="E36" s="1338" t="s">
        <v>916</v>
      </c>
      <c r="F36" s="1339" t="s">
        <v>922</v>
      </c>
      <c r="G36" s="1300" t="s">
        <v>914</v>
      </c>
      <c r="H36" s="1300" t="s">
        <v>915</v>
      </c>
      <c r="I36" s="1300" t="s">
        <v>916</v>
      </c>
      <c r="J36" s="1340"/>
      <c r="K36" s="3636" t="s">
        <v>3239</v>
      </c>
      <c r="L36" s="3638">
        <f ca="1">'数据-取费表'!B40</f>
        <v>0.03</v>
      </c>
      <c r="M36" s="3639">
        <f ca="1">ROUND($L$36*(1+M31),3)</f>
        <v>3.7999999999999999E-2</v>
      </c>
      <c r="N36" s="3639">
        <f ca="1">ROUND($L$36*(1+N31),3)</f>
        <v>3.5999999999999997E-2</v>
      </c>
      <c r="O36" s="3639">
        <f ca="1">ROUND($L$36*(1+O31),3)</f>
        <v>3.5000000000000003E-2</v>
      </c>
      <c r="P36" s="3639">
        <f ca="1">ROUND($L$36*(1+P31),3)</f>
        <v>3.3000000000000002E-2</v>
      </c>
      <c r="Q36" s="3639">
        <f ca="1">ROUND($L$36*(1+Q31),3)</f>
        <v>3.5000000000000003E-2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24.6" thickBot="1">
      <c r="A37" s="3953"/>
      <c r="B37" s="1342" t="s">
        <v>923</v>
      </c>
      <c r="C37" s="1003">
        <f>ROUND(D5*C22*C23*C24*C28*F37,0)</f>
        <v>4702</v>
      </c>
      <c r="D37" s="1354"/>
      <c r="E37" s="994">
        <f>ROUND(C37*D37/10000,0)</f>
        <v>0</v>
      </c>
      <c r="F37" s="994">
        <f>SUMIF(修正!A59:A70,G2,修正!B59:B70)</f>
        <v>0.6</v>
      </c>
      <c r="G37" s="994">
        <f>ROUND(IF(E2="工业",C37*$M$42,C37*$M$41),0)</f>
        <v>1176</v>
      </c>
      <c r="H37" s="994">
        <f>D37</f>
        <v>0</v>
      </c>
      <c r="I37" s="994">
        <f>ROUND(G37*H37/10000,0)</f>
        <v>0</v>
      </c>
      <c r="J37" s="3953"/>
      <c r="K37" s="3637" t="s">
        <v>3240</v>
      </c>
      <c r="L37" s="3638">
        <f ca="1">L36+K38</f>
        <v>3.4999999999999996E-2</v>
      </c>
      <c r="M37" s="3639">
        <f ca="1">ROUND($L$37*(1+M31),3)</f>
        <v>4.3999999999999997E-2</v>
      </c>
      <c r="N37" s="3639">
        <f t="shared" ref="N37:Q37" ca="1" si="3">ROUND($L$37*(1+N31),3)</f>
        <v>4.2000000000000003E-2</v>
      </c>
      <c r="O37" s="3639">
        <f t="shared" ca="1" si="3"/>
        <v>0.04</v>
      </c>
      <c r="P37" s="3639">
        <f t="shared" ca="1" si="3"/>
        <v>3.9E-2</v>
      </c>
      <c r="Q37" s="3639">
        <f t="shared" ca="1" si="3"/>
        <v>0.04</v>
      </c>
      <c r="R37" s="1910"/>
      <c r="S37" s="1910"/>
      <c r="T37" s="1910"/>
      <c r="U37" s="1910"/>
      <c r="V37" s="1910"/>
      <c r="W37" s="1909"/>
      <c r="X37" s="1909"/>
      <c r="Y37" s="1909"/>
      <c r="Z37" s="1909"/>
      <c r="AA37" s="1909"/>
      <c r="AB37" s="1909"/>
      <c r="AC37" s="1910"/>
    </row>
    <row r="38" spans="1:44" ht="13.2">
      <c r="A38" s="3954"/>
      <c r="B38" s="1286" t="s">
        <v>924</v>
      </c>
      <c r="C38" s="1003">
        <f>ROUND(D5*C22*C23*C24*C28*F38,0)</f>
        <v>2351</v>
      </c>
      <c r="D38" s="1354"/>
      <c r="E38" s="994">
        <f t="shared" ref="E38:E42" si="4">ROUND(C38*D38/10000,0)</f>
        <v>0</v>
      </c>
      <c r="F38" s="994">
        <f>SUMIF(修正!A59:A70,G2,修正!C59:C70)</f>
        <v>0.3</v>
      </c>
      <c r="G38" s="994">
        <f>ROUND(IF(E2="工业",C38*$M$42,C38*$M$41),0)</f>
        <v>588</v>
      </c>
      <c r="H38" s="994">
        <f t="shared" ref="H38:H42" si="5">D38</f>
        <v>0</v>
      </c>
      <c r="I38" s="994">
        <f t="shared" ref="I38:I42" si="6">ROUND(G38*H38/10000,0)</f>
        <v>0</v>
      </c>
      <c r="J38" s="3954"/>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8" thickBot="1">
      <c r="A39" s="3954"/>
      <c r="B39" s="3566" t="s">
        <v>3213</v>
      </c>
      <c r="C39" s="1003">
        <f>ROUND(D5*C22*C23*C24*C28*F39,0)</f>
        <v>1959</v>
      </c>
      <c r="D39" s="1354"/>
      <c r="E39" s="994">
        <f t="shared" si="4"/>
        <v>0</v>
      </c>
      <c r="F39" s="994">
        <f>SUMIF(修正!A59:A70,G2,修正!D59:D70)</f>
        <v>0.25</v>
      </c>
      <c r="G39" s="994">
        <f>ROUND(IF(E2="工业",C39*$M$42,C39*$M$41),0)</f>
        <v>490</v>
      </c>
      <c r="H39" s="994">
        <f t="shared" si="5"/>
        <v>0</v>
      </c>
      <c r="I39" s="994">
        <f t="shared" si="6"/>
        <v>0</v>
      </c>
      <c r="J39" s="3954"/>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3.2">
      <c r="A40" s="1341"/>
      <c r="B40" s="1286" t="s">
        <v>925</v>
      </c>
      <c r="C40" s="994">
        <f>ROUND(D5*C22*C23*C24*C28*F40,0)</f>
        <v>1959</v>
      </c>
      <c r="D40" s="1354"/>
      <c r="E40" s="994">
        <f t="shared" si="4"/>
        <v>0</v>
      </c>
      <c r="F40" s="1003">
        <f>SUMIF(修正!A59:A70,G2,修正!E59:E70)</f>
        <v>0.25</v>
      </c>
      <c r="G40" s="994">
        <f>ROUND(IF(E2="工业",C40*$M$42,C40*$M$41),0)</f>
        <v>490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3.2">
      <c r="A41" s="1341"/>
      <c r="B41" s="1286" t="s">
        <v>926</v>
      </c>
      <c r="C41" s="994">
        <f>ROUND(D5*C22*C23*C44*C28*F41,0)</f>
        <v>0</v>
      </c>
      <c r="D41" s="1354"/>
      <c r="E41" s="994">
        <f t="shared" si="4"/>
        <v>0</v>
      </c>
      <c r="F41" s="1003">
        <f>SUMIF(修正!A59:A70,G2,修正!F59:F70)</f>
        <v>0.25</v>
      </c>
      <c r="G41" s="994">
        <f>ROUND(IF(E2="工业",C41*$M$42,C41*$M$41),0)</f>
        <v>0</v>
      </c>
      <c r="H41" s="994">
        <f t="shared" si="5"/>
        <v>0</v>
      </c>
      <c r="I41" s="994">
        <f t="shared" si="6"/>
        <v>0</v>
      </c>
      <c r="J41" s="1343"/>
      <c r="K41" s="1909"/>
      <c r="L41" s="3640" t="s">
        <v>3241</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8" thickBot="1">
      <c r="A42" s="1327"/>
      <c r="B42" s="1344" t="s">
        <v>927</v>
      </c>
      <c r="C42" s="995">
        <f>ROUND(D5*C22*C23*C44*C28*F42,0)</f>
        <v>0</v>
      </c>
      <c r="D42" s="1355"/>
      <c r="E42" s="995">
        <f t="shared" si="4"/>
        <v>0</v>
      </c>
      <c r="F42" s="1005">
        <f>SUMIF(修正!A59:A70,G2,修正!G59:G70)</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24">
      <c r="A44" s="1256"/>
      <c r="B44" s="2585" t="s">
        <v>2243</v>
      </c>
      <c r="C44" s="802">
        <f>ROUND(POWER(1+E44,H44-G44)*(POWER(1+E44,G44)-1)/(POWER(1+E44,H44)-1),4)</f>
        <v>0</v>
      </c>
      <c r="D44" s="365" t="s">
        <v>2241</v>
      </c>
      <c r="E44" s="2584">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4.4" hidden="1">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hidden="1">
      <c r="A49" s="3585" t="s">
        <v>930</v>
      </c>
      <c r="B49" s="3586" t="s">
        <v>931</v>
      </c>
      <c r="C49" s="3587" t="s">
        <v>932</v>
      </c>
      <c r="D49" s="3588" t="s">
        <v>933</v>
      </c>
      <c r="E49" s="3589" t="s">
        <v>935</v>
      </c>
      <c r="F49" s="3458" t="s">
        <v>1609</v>
      </c>
      <c r="G49" s="3588" t="s">
        <v>936</v>
      </c>
      <c r="H49" s="3590" t="s">
        <v>1772</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36" hidden="1">
      <c r="A50" s="3585" t="s">
        <v>942</v>
      </c>
      <c r="B50" s="3592" t="str">
        <f>估价对象房地状况!C16</f>
        <v>估价对象位于XX商圈，周边商业氛围成熟，人流量大，商业繁华度好</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48" hidden="1">
      <c r="A51" s="3585" t="s">
        <v>943</v>
      </c>
      <c r="B51" s="3586" t="str">
        <f>估价对象房地状况!C18</f>
        <v>估价对象周边道路状况、公共交通通达情况、停车便捷程度，综合评价交通便捷度较好</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48" hidden="1">
      <c r="A52" s="3567" t="s">
        <v>3215</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hidden="1">
      <c r="A53" s="3585" t="s">
        <v>945</v>
      </c>
      <c r="B53" s="3601" t="s">
        <v>2200</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hidden="1">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36" hidden="1">
      <c r="A55" s="3585" t="s">
        <v>947</v>
      </c>
      <c r="B55" s="3602" t="s">
        <v>2199</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hidden="1">
      <c r="A56" s="3603" t="s">
        <v>948</v>
      </c>
      <c r="B56" s="3604" t="str">
        <f>估价对象房地状况!C21</f>
        <v>估价对象所在区域公共配套设施齐备情况</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hidden="1">
      <c r="A57" s="3603" t="s">
        <v>949</v>
      </c>
      <c r="B57" s="3586" t="str">
        <f>估价对象房地状况!C22</f>
        <v>估价对象所在区域基础设施水平</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36.6" hidden="1" thickBot="1">
      <c r="A58" s="3605" t="s">
        <v>950</v>
      </c>
      <c r="B58" s="3606" t="str">
        <f>估价对象房地状况!C20</f>
        <v>区域自然环境：；人文环境；综合评价环境状况一般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4.4" hidden="1">
      <c r="A59" s="3580" t="s">
        <v>951</v>
      </c>
      <c r="B59" s="3644">
        <f>1+E61</f>
        <v>1</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hidden="1">
      <c r="A60" s="3585" t="s">
        <v>930</v>
      </c>
      <c r="B60" s="3586"/>
      <c r="C60" s="3587" t="s">
        <v>932</v>
      </c>
      <c r="D60" s="3588" t="s">
        <v>933</v>
      </c>
      <c r="E60" s="3589" t="s">
        <v>935</v>
      </c>
      <c r="F60" s="3458" t="s">
        <v>1610</v>
      </c>
      <c r="G60" s="3588" t="s">
        <v>936</v>
      </c>
      <c r="H60" s="3590" t="s">
        <v>1772</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36" hidden="1">
      <c r="A61" s="3585" t="s">
        <v>952</v>
      </c>
      <c r="B61" s="3592" t="str">
        <f>估价对象房地状况!C17</f>
        <v>估价对象位于XX商圈，周边办公楼项目较多，入驻率高，办公集聚程度较好</v>
      </c>
      <c r="C61" s="3593"/>
      <c r="D61" s="3594">
        <f t="shared" ref="D61:D69" si="12">SUMIF($J$60:$N$60,C61,J61:N61)</f>
        <v>0</v>
      </c>
      <c r="E61" s="3595">
        <f>ROUND(SUM(D61:D69),4)</f>
        <v>0</v>
      </c>
      <c r="F61" s="3596" t="str">
        <f>IF(E2="办公",SUMIF(L1:L12,G2,N1:N12),"——")</f>
        <v>——</v>
      </c>
      <c r="G61" s="3597"/>
      <c r="H61" s="3598" t="str">
        <f>IFERROR(ROUNDDOWN($F$61*I61/2,4),"——")</f>
        <v>——</v>
      </c>
      <c r="I61" s="3572">
        <v>0.25</v>
      </c>
      <c r="J61" s="3599">
        <f t="shared" ref="J61:J69" si="13">K61+$G61</f>
        <v>0</v>
      </c>
      <c r="K61" s="3599">
        <f t="shared" ref="K61:K69" si="14">$L61+$G61</f>
        <v>0</v>
      </c>
      <c r="L61" s="3599">
        <v>0</v>
      </c>
      <c r="M61" s="3599">
        <f t="shared" ref="M61:N69" si="15">L61-$G61</f>
        <v>0</v>
      </c>
      <c r="N61" s="3599">
        <f t="shared" si="15"/>
        <v>0</v>
      </c>
      <c r="P61" s="1918"/>
      <c r="Q61" s="1918"/>
      <c r="R61" s="1918"/>
      <c r="S61" s="1918"/>
      <c r="T61" s="1918"/>
      <c r="U61" s="1918"/>
      <c r="V61" s="1918"/>
      <c r="W61" s="1918"/>
      <c r="X61" s="1918"/>
      <c r="Y61" s="1918"/>
      <c r="Z61" s="1918"/>
      <c r="AA61" s="1918"/>
      <c r="AB61" s="1918"/>
      <c r="AC61" s="1918"/>
      <c r="AD61" s="1918"/>
    </row>
    <row r="62" spans="1:30" s="3579" customFormat="1" ht="48" hidden="1">
      <c r="A62" s="3585" t="s">
        <v>943</v>
      </c>
      <c r="B62" s="3586" t="str">
        <f>估价对象房地状况!C18</f>
        <v>估价对象周边道路状况、公共交通通达情况、停车便捷程度，综合评价交通便捷度较好</v>
      </c>
      <c r="C62" s="3593"/>
      <c r="D62" s="3594">
        <f t="shared" si="12"/>
        <v>0</v>
      </c>
      <c r="E62" s="3600"/>
      <c r="F62" s="3596"/>
      <c r="G62" s="3597"/>
      <c r="H62" s="3598" t="str">
        <f t="shared" ref="H62:H69" si="16">IFERROR(ROUNDDOWN($F$61*I62/2,4),"——")</f>
        <v>——</v>
      </c>
      <c r="I62" s="3572">
        <v>0.26</v>
      </c>
      <c r="J62" s="3599">
        <f t="shared" si="13"/>
        <v>0</v>
      </c>
      <c r="K62" s="3599">
        <f t="shared" si="14"/>
        <v>0</v>
      </c>
      <c r="L62" s="3599">
        <v>0</v>
      </c>
      <c r="M62" s="3599">
        <f t="shared" si="15"/>
        <v>0</v>
      </c>
      <c r="N62" s="3599">
        <f t="shared" si="15"/>
        <v>0</v>
      </c>
      <c r="P62" s="1918"/>
      <c r="Q62" s="1918"/>
      <c r="R62" s="1918"/>
      <c r="S62" s="1918"/>
      <c r="T62" s="1918"/>
      <c r="U62" s="1918"/>
      <c r="V62" s="1918"/>
      <c r="W62" s="1918"/>
      <c r="X62" s="1918"/>
      <c r="Y62" s="1918"/>
      <c r="Z62" s="1918"/>
      <c r="AA62" s="1918"/>
      <c r="AB62" s="1918"/>
      <c r="AC62" s="1918"/>
      <c r="AD62" s="1918"/>
    </row>
    <row r="63" spans="1:30" s="3579" customFormat="1" ht="48" hidden="1">
      <c r="A63" s="3567" t="s">
        <v>3215</v>
      </c>
      <c r="B63" s="3586">
        <f>估价对象房地状况!C19</f>
        <v>0</v>
      </c>
      <c r="C63" s="3593"/>
      <c r="D63" s="3594">
        <f t="shared" si="12"/>
        <v>0</v>
      </c>
      <c r="E63" s="3600"/>
      <c r="F63" s="3596"/>
      <c r="G63" s="3597"/>
      <c r="H63" s="3598" t="str">
        <f t="shared" si="16"/>
        <v>——</v>
      </c>
      <c r="I63" s="3572">
        <v>0.11</v>
      </c>
      <c r="J63" s="3599">
        <f t="shared" si="13"/>
        <v>0</v>
      </c>
      <c r="K63" s="3599">
        <f t="shared" si="14"/>
        <v>0</v>
      </c>
      <c r="L63" s="3599">
        <v>0</v>
      </c>
      <c r="M63" s="3599">
        <f t="shared" si="15"/>
        <v>0</v>
      </c>
      <c r="N63" s="3599">
        <f t="shared" si="15"/>
        <v>0</v>
      </c>
      <c r="P63" s="1918"/>
      <c r="Q63" s="1918"/>
      <c r="R63" s="1918"/>
      <c r="S63" s="1918"/>
      <c r="T63" s="1918"/>
      <c r="U63" s="1918"/>
      <c r="V63" s="1918"/>
      <c r="W63" s="1918"/>
      <c r="X63" s="1918"/>
      <c r="Y63" s="1918"/>
      <c r="Z63" s="1918"/>
      <c r="AA63" s="1918"/>
      <c r="AB63" s="1918"/>
      <c r="AC63" s="1918"/>
      <c r="AD63" s="1918"/>
    </row>
    <row r="64" spans="1:30" s="3579" customFormat="1" ht="36" hidden="1">
      <c r="A64" s="3585" t="s">
        <v>945</v>
      </c>
      <c r="B64" s="3601" t="s">
        <v>2201</v>
      </c>
      <c r="C64" s="3593"/>
      <c r="D64" s="3594">
        <f t="shared" si="12"/>
        <v>0</v>
      </c>
      <c r="E64" s="3600"/>
      <c r="F64" s="3596"/>
      <c r="G64" s="3597"/>
      <c r="H64" s="3598" t="str">
        <f t="shared" si="16"/>
        <v>——</v>
      </c>
      <c r="I64" s="3572">
        <v>0.05</v>
      </c>
      <c r="J64" s="3599">
        <f t="shared" si="13"/>
        <v>0</v>
      </c>
      <c r="K64" s="3599">
        <f t="shared" si="14"/>
        <v>0</v>
      </c>
      <c r="L64" s="3599">
        <v>0</v>
      </c>
      <c r="M64" s="3599">
        <f t="shared" si="15"/>
        <v>0</v>
      </c>
      <c r="N64" s="3599">
        <f t="shared" si="15"/>
        <v>0</v>
      </c>
      <c r="P64" s="1918"/>
      <c r="Q64" s="1918"/>
      <c r="R64" s="1918"/>
      <c r="S64" s="1918"/>
      <c r="T64" s="1918"/>
      <c r="U64" s="1918"/>
      <c r="V64" s="1918"/>
      <c r="W64" s="1918"/>
      <c r="X64" s="1918"/>
      <c r="Y64" s="1918"/>
      <c r="Z64" s="1918"/>
      <c r="AA64" s="1918"/>
      <c r="AB64" s="1918"/>
      <c r="AC64" s="1918"/>
      <c r="AD64" s="1918"/>
    </row>
    <row r="65" spans="1:36" s="3579" customFormat="1" ht="24" hidden="1">
      <c r="A65" s="3585" t="s">
        <v>946</v>
      </c>
      <c r="B65" s="3586">
        <f>估价对象房地状况!C24</f>
        <v>0</v>
      </c>
      <c r="C65" s="3593"/>
      <c r="D65" s="3594">
        <f t="shared" si="12"/>
        <v>0</v>
      </c>
      <c r="E65" s="3600"/>
      <c r="F65" s="3596"/>
      <c r="G65" s="3597"/>
      <c r="H65" s="3598" t="str">
        <f t="shared" si="16"/>
        <v>——</v>
      </c>
      <c r="I65" s="3572">
        <v>0.05</v>
      </c>
      <c r="J65" s="3599">
        <f t="shared" si="13"/>
        <v>0</v>
      </c>
      <c r="K65" s="3599">
        <f t="shared" si="14"/>
        <v>0</v>
      </c>
      <c r="L65" s="3599">
        <v>0</v>
      </c>
      <c r="M65" s="3599">
        <f t="shared" si="15"/>
        <v>0</v>
      </c>
      <c r="N65" s="3599">
        <f t="shared" si="15"/>
        <v>0</v>
      </c>
      <c r="P65" s="1918"/>
      <c r="Q65" s="1918"/>
      <c r="R65" s="1918"/>
      <c r="S65" s="1918"/>
      <c r="T65" s="1918"/>
      <c r="U65" s="1918"/>
      <c r="V65" s="1918"/>
      <c r="W65" s="1918"/>
      <c r="X65" s="1918"/>
      <c r="Y65" s="1918"/>
      <c r="Z65" s="1918"/>
      <c r="AA65" s="1918"/>
      <c r="AB65" s="1918"/>
      <c r="AC65" s="1918"/>
      <c r="AD65" s="1918"/>
    </row>
    <row r="66" spans="1:36" s="3579" customFormat="1" ht="36" hidden="1">
      <c r="A66" s="3585" t="s">
        <v>947</v>
      </c>
      <c r="B66" s="3602" t="s">
        <v>2199</v>
      </c>
      <c r="C66" s="3593"/>
      <c r="D66" s="3594">
        <f t="shared" si="12"/>
        <v>0</v>
      </c>
      <c r="E66" s="3600"/>
      <c r="F66" s="3596"/>
      <c r="G66" s="3597"/>
      <c r="H66" s="3598" t="str">
        <f t="shared" si="16"/>
        <v>——</v>
      </c>
      <c r="I66" s="3572">
        <v>0.06</v>
      </c>
      <c r="J66" s="3599">
        <f t="shared" si="13"/>
        <v>0</v>
      </c>
      <c r="K66" s="3599">
        <f t="shared" si="14"/>
        <v>0</v>
      </c>
      <c r="L66" s="3599">
        <v>0</v>
      </c>
      <c r="M66" s="3599">
        <f t="shared" si="15"/>
        <v>0</v>
      </c>
      <c r="N66" s="3599">
        <f t="shared" si="15"/>
        <v>0</v>
      </c>
      <c r="P66" s="1918"/>
      <c r="Q66" s="1918"/>
      <c r="R66" s="1918"/>
      <c r="S66" s="1918"/>
      <c r="T66" s="1918"/>
      <c r="U66" s="1918"/>
      <c r="V66" s="1918"/>
      <c r="W66" s="1918"/>
      <c r="X66" s="1918"/>
      <c r="Y66" s="1918"/>
      <c r="Z66" s="1918"/>
      <c r="AA66" s="1918"/>
      <c r="AB66" s="1918"/>
      <c r="AC66" s="1918"/>
      <c r="AD66" s="1918"/>
    </row>
    <row r="67" spans="1:36" s="3579" customFormat="1" ht="24" hidden="1">
      <c r="A67" s="3585" t="s">
        <v>948</v>
      </c>
      <c r="B67" s="3604" t="str">
        <f>估价对象房地状况!C21</f>
        <v>估价对象所在区域公共配套设施齐备情况</v>
      </c>
      <c r="C67" s="3593"/>
      <c r="D67" s="3594">
        <f t="shared" si="12"/>
        <v>0</v>
      </c>
      <c r="E67" s="3600"/>
      <c r="F67" s="3596"/>
      <c r="G67" s="3597"/>
      <c r="H67" s="3598" t="str">
        <f t="shared" si="16"/>
        <v>——</v>
      </c>
      <c r="I67" s="3572">
        <v>0.06</v>
      </c>
      <c r="J67" s="3599">
        <f t="shared" si="13"/>
        <v>0</v>
      </c>
      <c r="K67" s="3599">
        <f t="shared" si="14"/>
        <v>0</v>
      </c>
      <c r="L67" s="3599">
        <v>0</v>
      </c>
      <c r="M67" s="3599">
        <f t="shared" si="15"/>
        <v>0</v>
      </c>
      <c r="N67" s="3599">
        <f t="shared" si="15"/>
        <v>0</v>
      </c>
      <c r="P67" s="1918"/>
      <c r="Q67" s="1918"/>
      <c r="R67" s="1918"/>
      <c r="S67" s="1918"/>
      <c r="T67" s="1918"/>
      <c r="U67" s="1918"/>
      <c r="V67" s="1918"/>
      <c r="W67" s="1918"/>
      <c r="X67" s="1918"/>
      <c r="Y67" s="1918"/>
      <c r="Z67" s="1918"/>
      <c r="AA67" s="1918"/>
      <c r="AB67" s="1918"/>
      <c r="AC67" s="1918"/>
      <c r="AD67" s="1918"/>
    </row>
    <row r="68" spans="1:36" s="3579" customFormat="1" ht="24" hidden="1">
      <c r="A68" s="3585" t="s">
        <v>949</v>
      </c>
      <c r="B68" s="3604" t="str">
        <f>估价对象房地状况!C22</f>
        <v>估价对象所在区域基础设施水平</v>
      </c>
      <c r="C68" s="3593"/>
      <c r="D68" s="3594">
        <f t="shared" si="12"/>
        <v>0</v>
      </c>
      <c r="E68" s="3600"/>
      <c r="F68" s="3596"/>
      <c r="G68" s="3597"/>
      <c r="H68" s="3598" t="str">
        <f t="shared" si="16"/>
        <v>——</v>
      </c>
      <c r="I68" s="3572">
        <v>0.09</v>
      </c>
      <c r="J68" s="3599">
        <f t="shared" si="13"/>
        <v>0</v>
      </c>
      <c r="K68" s="3599">
        <f t="shared" si="14"/>
        <v>0</v>
      </c>
      <c r="L68" s="3599">
        <v>0</v>
      </c>
      <c r="M68" s="3599">
        <f t="shared" si="15"/>
        <v>0</v>
      </c>
      <c r="N68" s="3599">
        <f t="shared" si="15"/>
        <v>0</v>
      </c>
      <c r="P68" s="1918"/>
      <c r="Q68" s="1918"/>
      <c r="R68" s="1918"/>
      <c r="S68" s="1918"/>
      <c r="T68" s="1918"/>
      <c r="U68" s="1918"/>
      <c r="V68" s="1918"/>
      <c r="W68" s="1918"/>
      <c r="X68" s="1918"/>
      <c r="Y68" s="1918"/>
      <c r="Z68" s="1918"/>
      <c r="AA68" s="1918"/>
      <c r="AB68" s="1918"/>
      <c r="AC68" s="1918"/>
      <c r="AD68" s="1918"/>
    </row>
    <row r="69" spans="1:36" s="3579" customFormat="1" ht="36.6" hidden="1" thickBot="1">
      <c r="A69" s="3605" t="s">
        <v>950</v>
      </c>
      <c r="B69" s="3609" t="str">
        <f>估价对象房地状况!C20</f>
        <v>区域自然环境：；人文环境；综合评价环境状况一般</v>
      </c>
      <c r="C69" s="3593"/>
      <c r="D69" s="3594">
        <f t="shared" si="12"/>
        <v>0</v>
      </c>
      <c r="E69" s="3607"/>
      <c r="F69" s="3596"/>
      <c r="G69" s="3597"/>
      <c r="H69" s="3598" t="str">
        <f t="shared" si="16"/>
        <v>——</v>
      </c>
      <c r="I69" s="3574">
        <v>7.0000000000000007E-2</v>
      </c>
      <c r="J69" s="3599">
        <f t="shared" si="13"/>
        <v>0</v>
      </c>
      <c r="K69" s="3599">
        <f t="shared" si="14"/>
        <v>0</v>
      </c>
      <c r="L69" s="3599">
        <v>0</v>
      </c>
      <c r="M69" s="3599">
        <f t="shared" si="15"/>
        <v>0</v>
      </c>
      <c r="N69" s="3599">
        <f t="shared" si="15"/>
        <v>0</v>
      </c>
      <c r="P69" s="1918"/>
      <c r="Q69" s="1918"/>
      <c r="R69" s="1918"/>
      <c r="S69" s="1918"/>
      <c r="T69" s="1918"/>
      <c r="U69" s="1918"/>
      <c r="V69" s="1918"/>
      <c r="W69" s="1918"/>
      <c r="X69" s="1918"/>
      <c r="Y69" s="1918"/>
      <c r="Z69" s="1918"/>
      <c r="AA69" s="1918"/>
      <c r="AB69" s="1918"/>
      <c r="AC69" s="1918"/>
      <c r="AD69" s="1918"/>
    </row>
    <row r="70" spans="1:36" s="3579" customFormat="1" ht="14.4" hidden="1">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hidden="1">
      <c r="A71" s="3585" t="s">
        <v>930</v>
      </c>
      <c r="B71" s="3586"/>
      <c r="C71" s="3587" t="s">
        <v>932</v>
      </c>
      <c r="D71" s="3588" t="s">
        <v>933</v>
      </c>
      <c r="E71" s="3589" t="s">
        <v>935</v>
      </c>
      <c r="F71" s="3458" t="s">
        <v>1611</v>
      </c>
      <c r="G71" s="3588" t="s">
        <v>936</v>
      </c>
      <c r="H71" s="3590" t="s">
        <v>1772</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48" hidden="1">
      <c r="A72" s="3585" t="s">
        <v>954</v>
      </c>
      <c r="B72" s="3586" t="str">
        <f>估价对象房地状况!C15</f>
        <v>估价对象周边居住用地比例、居住小区规模和社区发展完善程度，综合评价居住社区成熟度一般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48" hidden="1">
      <c r="A73" s="3585" t="s">
        <v>955</v>
      </c>
      <c r="B73" s="3586" t="str">
        <f>估价对象房地状况!C18</f>
        <v>估价对象周边道路状况、公共交通通达情况、停车便捷程度，综合评价交通便捷度较好</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48" hidden="1">
      <c r="A74" s="3567" t="s">
        <v>3215</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6" customFormat="1" ht="13.8" hidden="1">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6" customFormat="1" ht="24" hidden="1">
      <c r="A76" s="3585" t="s">
        <v>948</v>
      </c>
      <c r="B76" s="3604" t="str">
        <f>估价对象房地状况!C21</f>
        <v>估价对象所在区域公共配套设施齐备情况</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6" customFormat="1" ht="24" hidden="1">
      <c r="A77" s="3585" t="s">
        <v>949</v>
      </c>
      <c r="B77" s="3604" t="str">
        <f>估价对象房地状况!C22</f>
        <v>估价对象所在区域基础设施水平</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6" customFormat="1" ht="36" hidden="1">
      <c r="A78" s="3585" t="s">
        <v>947</v>
      </c>
      <c r="B78" s="3602" t="s">
        <v>2199</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6" customFormat="1" ht="36" hidden="1">
      <c r="A79" s="3585" t="s">
        <v>950</v>
      </c>
      <c r="B79" s="3592" t="str">
        <f>估价对象房地状况!C20</f>
        <v>区域自然环境：；人文环境；综合评价环境状况一般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6" customFormat="1" ht="36.6" hidden="1"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6" customFormat="1" ht="14.4" hidden="1">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6" customFormat="1" ht="24" hidden="1">
      <c r="A82" s="3585" t="s">
        <v>930</v>
      </c>
      <c r="B82" s="3586"/>
      <c r="C82" s="3587" t="s">
        <v>932</v>
      </c>
      <c r="D82" s="3588" t="s">
        <v>933</v>
      </c>
      <c r="E82" s="3589" t="s">
        <v>935</v>
      </c>
      <c r="F82" s="3458" t="s">
        <v>1612</v>
      </c>
      <c r="G82" s="3588" t="s">
        <v>936</v>
      </c>
      <c r="H82" s="3590" t="s">
        <v>1772</v>
      </c>
      <c r="I82" s="3588" t="s">
        <v>934</v>
      </c>
      <c r="J82" s="3591" t="s">
        <v>937</v>
      </c>
      <c r="K82" s="3591" t="s">
        <v>938</v>
      </c>
      <c r="L82" s="3591" t="s">
        <v>939</v>
      </c>
      <c r="M82" s="3591" t="s">
        <v>940</v>
      </c>
      <c r="N82" s="3591" t="s">
        <v>941</v>
      </c>
      <c r="AE82" s="3579"/>
      <c r="AF82" s="3579"/>
      <c r="AG82" s="3579"/>
      <c r="AH82" s="3579"/>
      <c r="AI82" s="3579"/>
      <c r="AJ82" s="3579"/>
    </row>
    <row r="83" spans="1:36" s="1346" customFormat="1" ht="36" hidden="1">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6" customFormat="1" ht="48" hidden="1">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6" customFormat="1" ht="24" hidden="1">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6" customFormat="1" ht="13.8" hidden="1">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6" customFormat="1" ht="24" hidden="1">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6" customFormat="1" ht="24" hidden="1">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6" customFormat="1" ht="36" hidden="1">
      <c r="A89" s="3585" t="s">
        <v>947</v>
      </c>
      <c r="B89" s="3602" t="s">
        <v>2199</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6" customFormat="1" ht="36.6" hidden="1"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6" customFormat="1" ht="14.4">
      <c r="A91" s="3568" t="s">
        <v>3224</v>
      </c>
      <c r="B91" s="3644">
        <f>1+E93</f>
        <v>1.0303</v>
      </c>
      <c r="C91" s="3617"/>
      <c r="D91" s="3617"/>
      <c r="E91" s="3618"/>
      <c r="F91" s="3596"/>
      <c r="G91" s="3619"/>
      <c r="H91" s="3620"/>
      <c r="I91" s="3621"/>
      <c r="J91" s="3622"/>
      <c r="K91" s="3622"/>
      <c r="L91" s="3622"/>
      <c r="M91" s="3622"/>
      <c r="N91" s="3622"/>
      <c r="AE91" s="3579"/>
      <c r="AF91" s="3579"/>
      <c r="AG91" s="3579"/>
      <c r="AH91" s="3579"/>
      <c r="AI91" s="3579"/>
      <c r="AJ91" s="3579"/>
    </row>
    <row r="92" spans="1:36" s="1346" customFormat="1" ht="24">
      <c r="A92" s="3569" t="s">
        <v>3225</v>
      </c>
      <c r="B92" s="3569"/>
      <c r="C92" s="3569" t="s">
        <v>3230</v>
      </c>
      <c r="D92" s="3569" t="s">
        <v>3217</v>
      </c>
      <c r="E92" s="3626" t="s">
        <v>3218</v>
      </c>
      <c r="F92" s="3625" t="s">
        <v>1609</v>
      </c>
      <c r="G92" s="3588" t="s">
        <v>936</v>
      </c>
      <c r="H92" s="3590" t="s">
        <v>1772</v>
      </c>
      <c r="I92" s="3588" t="s">
        <v>934</v>
      </c>
      <c r="J92" s="3591" t="s">
        <v>937</v>
      </c>
      <c r="K92" s="3591" t="s">
        <v>938</v>
      </c>
      <c r="L92" s="3591" t="s">
        <v>939</v>
      </c>
      <c r="M92" s="3591" t="s">
        <v>940</v>
      </c>
      <c r="N92" s="3591" t="s">
        <v>941</v>
      </c>
      <c r="AE92" s="3579"/>
      <c r="AF92" s="3579"/>
      <c r="AG92" s="3579"/>
      <c r="AH92" s="3579"/>
      <c r="AI92" s="3579"/>
      <c r="AJ92" s="3579"/>
    </row>
    <row r="93" spans="1:36" s="1346" customFormat="1" ht="24">
      <c r="A93" s="3624" t="s">
        <v>3226</v>
      </c>
      <c r="B93" s="3571"/>
      <c r="C93" s="3593" t="s">
        <v>3336</v>
      </c>
      <c r="D93" s="3594">
        <f>SUMIF($J$92:$N$92,C93,J93:N93)</f>
        <v>0</v>
      </c>
      <c r="E93" s="3627">
        <f>ROUND(SUM(D93:D101),4)</f>
        <v>3.0300000000000001E-2</v>
      </c>
      <c r="F93" s="3596">
        <f>IF(E2="公共服务",SUMIF(L1:L12,G2,N1:N12),"——")</f>
        <v>0.13</v>
      </c>
      <c r="G93" s="3611">
        <v>1.6199999999999999E-2</v>
      </c>
      <c r="H93" s="3598">
        <f>IFERROR(ROUNDDOWN($F$93*I93/2,4),"——")</f>
        <v>1.6199999999999999E-2</v>
      </c>
      <c r="I93" s="3572">
        <v>0.25</v>
      </c>
      <c r="J93" s="3623">
        <f>K93+$G93</f>
        <v>3.2399999999999998E-2</v>
      </c>
      <c r="K93" s="3623">
        <f t="shared" ref="K93:K101" si="27">$L93+$G93</f>
        <v>1.6199999999999999E-2</v>
      </c>
      <c r="L93" s="3623">
        <v>0</v>
      </c>
      <c r="M93" s="3623">
        <f t="shared" ref="M93:N93" si="28">L93-$G93</f>
        <v>-1.6199999999999999E-2</v>
      </c>
      <c r="N93" s="3623">
        <f t="shared" si="28"/>
        <v>-3.2399999999999998E-2</v>
      </c>
      <c r="AE93" s="3579"/>
      <c r="AF93" s="3579"/>
      <c r="AG93" s="3579"/>
      <c r="AH93" s="3579"/>
      <c r="AI93" s="3579"/>
      <c r="AJ93" s="3579"/>
    </row>
    <row r="94" spans="1:36" s="1346" customFormat="1" ht="48">
      <c r="A94" s="3569" t="s">
        <v>3227</v>
      </c>
      <c r="B94" s="3586" t="str">
        <f>估价对象房地状况!G16</f>
        <v>估价对象周边道路状况、公共交通通达情况、停车便捷程度，综合评价交通便捷度较好</v>
      </c>
      <c r="C94" s="3593" t="s">
        <v>3336</v>
      </c>
      <c r="D94" s="3594">
        <f t="shared" ref="D94:D101" si="29">SUMIF($J$92:$N$92,C94,J94:N94)</f>
        <v>0</v>
      </c>
      <c r="E94" s="3618"/>
      <c r="F94" s="3596"/>
      <c r="G94" s="3611">
        <v>1.6899999999999998E-2</v>
      </c>
      <c r="H94" s="3598">
        <f t="shared" ref="H94:H101" si="30">IFERROR(ROUNDDOWN($F$93*I94/2,4),"——")</f>
        <v>1.6899999999999998E-2</v>
      </c>
      <c r="I94" s="3572">
        <v>0.26</v>
      </c>
      <c r="J94" s="3623">
        <f>K94+$G94</f>
        <v>3.3799999999999997E-2</v>
      </c>
      <c r="K94" s="3623">
        <f t="shared" si="27"/>
        <v>1.6899999999999998E-2</v>
      </c>
      <c r="L94" s="3623">
        <v>0</v>
      </c>
      <c r="M94" s="3623">
        <f t="shared" ref="M94:M101" si="31">L94-$G94</f>
        <v>-1.6899999999999998E-2</v>
      </c>
      <c r="N94" s="3623">
        <f t="shared" ref="N94:N101" si="32">M94-$G94</f>
        <v>-3.3799999999999997E-2</v>
      </c>
      <c r="AE94" s="3579"/>
      <c r="AF94" s="3579"/>
      <c r="AG94" s="3579"/>
      <c r="AH94" s="3579"/>
      <c r="AI94" s="3579"/>
      <c r="AJ94" s="3579"/>
    </row>
    <row r="95" spans="1:36" s="1346" customFormat="1" ht="48">
      <c r="A95" s="3624" t="s">
        <v>3215</v>
      </c>
      <c r="B95" s="3586">
        <f>估价对象房地状况!G17</f>
        <v>0</v>
      </c>
      <c r="C95" s="3593" t="s">
        <v>3336</v>
      </c>
      <c r="D95" s="3594">
        <f t="shared" si="29"/>
        <v>0</v>
      </c>
      <c r="E95" s="3618"/>
      <c r="F95" s="3596"/>
      <c r="G95" s="3611">
        <v>7.1000000000000004E-3</v>
      </c>
      <c r="H95" s="3598">
        <f t="shared" si="30"/>
        <v>7.1000000000000004E-3</v>
      </c>
      <c r="I95" s="3572">
        <v>0.11</v>
      </c>
      <c r="J95" s="3623">
        <f t="shared" ref="J95:J101" si="33">K95+$G95</f>
        <v>1.4200000000000001E-2</v>
      </c>
      <c r="K95" s="3623">
        <f t="shared" si="27"/>
        <v>7.1000000000000004E-3</v>
      </c>
      <c r="L95" s="3623">
        <v>0</v>
      </c>
      <c r="M95" s="3623">
        <f t="shared" si="31"/>
        <v>-7.1000000000000004E-3</v>
      </c>
      <c r="N95" s="3623">
        <f t="shared" si="32"/>
        <v>-1.4200000000000001E-2</v>
      </c>
      <c r="AE95" s="3579"/>
      <c r="AF95" s="3579"/>
      <c r="AG95" s="3579"/>
      <c r="AH95" s="3579"/>
      <c r="AI95" s="3579"/>
      <c r="AJ95" s="3579"/>
    </row>
    <row r="96" spans="1:36" s="1346" customFormat="1" ht="37.200000000000003">
      <c r="A96" s="3569" t="s">
        <v>3219</v>
      </c>
      <c r="B96" s="3573" t="s">
        <v>3220</v>
      </c>
      <c r="C96" s="3593" t="s">
        <v>3337</v>
      </c>
      <c r="D96" s="3594">
        <f t="shared" si="29"/>
        <v>3.2000000000000002E-3</v>
      </c>
      <c r="E96" s="3618"/>
      <c r="F96" s="3596"/>
      <c r="G96" s="3611">
        <v>3.2000000000000002E-3</v>
      </c>
      <c r="H96" s="3598">
        <f t="shared" si="30"/>
        <v>3.2000000000000002E-3</v>
      </c>
      <c r="I96" s="3572">
        <v>0.05</v>
      </c>
      <c r="J96" s="3623">
        <f t="shared" si="33"/>
        <v>6.4000000000000003E-3</v>
      </c>
      <c r="K96" s="3623">
        <f t="shared" si="27"/>
        <v>3.2000000000000002E-3</v>
      </c>
      <c r="L96" s="3623">
        <v>0</v>
      </c>
      <c r="M96" s="3623">
        <f>L96-$G96</f>
        <v>-3.2000000000000002E-3</v>
      </c>
      <c r="N96" s="3623">
        <f t="shared" si="32"/>
        <v>-6.4000000000000003E-3</v>
      </c>
      <c r="AE96" s="3579"/>
      <c r="AF96" s="3579"/>
      <c r="AG96" s="3579"/>
      <c r="AH96" s="3579"/>
      <c r="AI96" s="3579"/>
      <c r="AJ96" s="3579"/>
    </row>
    <row r="97" spans="1:36" s="1346" customFormat="1" ht="24">
      <c r="A97" s="3569" t="s">
        <v>3221</v>
      </c>
      <c r="B97" s="3586">
        <f>估价对象房地状况!G22</f>
        <v>0</v>
      </c>
      <c r="C97" s="3593" t="s">
        <v>3337</v>
      </c>
      <c r="D97" s="3594">
        <f t="shared" si="29"/>
        <v>3.2000000000000002E-3</v>
      </c>
      <c r="E97" s="3618"/>
      <c r="F97" s="3596"/>
      <c r="G97" s="3611">
        <v>3.2000000000000002E-3</v>
      </c>
      <c r="H97" s="3598">
        <f t="shared" si="30"/>
        <v>3.2000000000000002E-3</v>
      </c>
      <c r="I97" s="3572">
        <v>0.05</v>
      </c>
      <c r="J97" s="3623">
        <f t="shared" si="33"/>
        <v>6.4000000000000003E-3</v>
      </c>
      <c r="K97" s="3623">
        <f t="shared" si="27"/>
        <v>3.2000000000000002E-3</v>
      </c>
      <c r="L97" s="3623">
        <v>0</v>
      </c>
      <c r="M97" s="3623">
        <f t="shared" si="31"/>
        <v>-3.2000000000000002E-3</v>
      </c>
      <c r="N97" s="3623">
        <f t="shared" si="32"/>
        <v>-6.4000000000000003E-3</v>
      </c>
      <c r="AE97" s="3579"/>
      <c r="AF97" s="3579"/>
      <c r="AG97" s="3579"/>
      <c r="AH97" s="3579"/>
      <c r="AI97" s="3579"/>
      <c r="AJ97" s="3579"/>
    </row>
    <row r="98" spans="1:36" s="1346" customFormat="1" ht="36">
      <c r="A98" s="3569" t="s">
        <v>3228</v>
      </c>
      <c r="B98" s="3601" t="s">
        <v>2199</v>
      </c>
      <c r="C98" s="3593" t="s">
        <v>3337</v>
      </c>
      <c r="D98" s="3594">
        <f t="shared" si="29"/>
        <v>3.8999999999999998E-3</v>
      </c>
      <c r="E98" s="3618"/>
      <c r="F98" s="3596"/>
      <c r="G98" s="3611">
        <v>3.8999999999999998E-3</v>
      </c>
      <c r="H98" s="3598">
        <f t="shared" si="30"/>
        <v>3.8999999999999998E-3</v>
      </c>
      <c r="I98" s="3572">
        <v>0.06</v>
      </c>
      <c r="J98" s="3623">
        <f t="shared" si="33"/>
        <v>7.7999999999999996E-3</v>
      </c>
      <c r="K98" s="3623">
        <f t="shared" si="27"/>
        <v>3.8999999999999998E-3</v>
      </c>
      <c r="L98" s="3623">
        <v>0</v>
      </c>
      <c r="M98" s="3623">
        <f t="shared" si="31"/>
        <v>-3.8999999999999998E-3</v>
      </c>
      <c r="N98" s="3623">
        <f t="shared" si="32"/>
        <v>-7.7999999999999996E-3</v>
      </c>
      <c r="AE98" s="3579"/>
      <c r="AF98" s="3579"/>
      <c r="AG98" s="3579"/>
      <c r="AH98" s="3579"/>
      <c r="AI98" s="3579"/>
      <c r="AJ98" s="3579"/>
    </row>
    <row r="99" spans="1:36" s="1346" customFormat="1" ht="24">
      <c r="A99" s="3569" t="s">
        <v>3229</v>
      </c>
      <c r="B99" s="3586" t="str">
        <f>估价对象房地状况!C21</f>
        <v>估价对象所在区域公共配套设施齐备情况</v>
      </c>
      <c r="C99" s="3593" t="s">
        <v>3337</v>
      </c>
      <c r="D99" s="3594">
        <f t="shared" si="29"/>
        <v>3.8999999999999998E-3</v>
      </c>
      <c r="E99" s="3618"/>
      <c r="F99" s="3596"/>
      <c r="G99" s="3611">
        <v>3.8999999999999998E-3</v>
      </c>
      <c r="H99" s="3598">
        <f t="shared" si="30"/>
        <v>3.8999999999999998E-3</v>
      </c>
      <c r="I99" s="3572">
        <v>0.06</v>
      </c>
      <c r="J99" s="3623">
        <f t="shared" si="33"/>
        <v>7.7999999999999996E-3</v>
      </c>
      <c r="K99" s="3623">
        <f t="shared" si="27"/>
        <v>3.8999999999999998E-3</v>
      </c>
      <c r="L99" s="3623">
        <v>0</v>
      </c>
      <c r="M99" s="3623">
        <f t="shared" si="31"/>
        <v>-3.8999999999999998E-3</v>
      </c>
      <c r="N99" s="3623">
        <f t="shared" si="32"/>
        <v>-7.7999999999999996E-3</v>
      </c>
      <c r="AE99" s="3579"/>
      <c r="AF99" s="3579"/>
      <c r="AG99" s="3579"/>
      <c r="AH99" s="3579"/>
      <c r="AI99" s="3579"/>
      <c r="AJ99" s="3579"/>
    </row>
    <row r="100" spans="1:36" s="1346" customFormat="1" ht="24">
      <c r="A100" s="3569" t="s">
        <v>3222</v>
      </c>
      <c r="B100" s="3586" t="str">
        <f>估价对象房地状况!C22</f>
        <v>估价对象所在区域基础设施水平</v>
      </c>
      <c r="C100" s="3593" t="s">
        <v>3338</v>
      </c>
      <c r="D100" s="3594">
        <f t="shared" si="29"/>
        <v>1.1599999999999999E-2</v>
      </c>
      <c r="E100" s="3618"/>
      <c r="F100" s="3596"/>
      <c r="G100" s="3611">
        <v>5.7999999999999996E-3</v>
      </c>
      <c r="H100" s="3598">
        <f t="shared" si="30"/>
        <v>5.7999999999999996E-3</v>
      </c>
      <c r="I100" s="3572">
        <v>0.09</v>
      </c>
      <c r="J100" s="3623">
        <f t="shared" si="33"/>
        <v>1.1599999999999999E-2</v>
      </c>
      <c r="K100" s="3623">
        <f t="shared" si="27"/>
        <v>5.7999999999999996E-3</v>
      </c>
      <c r="L100" s="3623">
        <v>0</v>
      </c>
      <c r="M100" s="3623">
        <f t="shared" si="31"/>
        <v>-5.7999999999999996E-3</v>
      </c>
      <c r="N100" s="3623">
        <f t="shared" si="32"/>
        <v>-1.1599999999999999E-2</v>
      </c>
      <c r="AE100" s="3579"/>
      <c r="AF100" s="3579"/>
      <c r="AG100" s="3579"/>
      <c r="AH100" s="3579"/>
      <c r="AI100" s="3579"/>
      <c r="AJ100" s="3579"/>
    </row>
    <row r="101" spans="1:36" s="1346" customFormat="1" ht="36.6" thickBot="1">
      <c r="A101" s="3569" t="s">
        <v>3223</v>
      </c>
      <c r="B101" s="3592" t="str">
        <f>估价对象房地状况!C20</f>
        <v>区域自然环境：；人文环境；综合评价环境状况一般</v>
      </c>
      <c r="C101" s="3593" t="s">
        <v>3337</v>
      </c>
      <c r="D101" s="3594">
        <f t="shared" si="29"/>
        <v>4.4999999999999997E-3</v>
      </c>
      <c r="E101" s="3618"/>
      <c r="F101" s="3596"/>
      <c r="G101" s="3611">
        <v>4.4999999999999997E-3</v>
      </c>
      <c r="H101" s="3598">
        <f t="shared" si="30"/>
        <v>4.4999999999999997E-3</v>
      </c>
      <c r="I101" s="3574">
        <v>7.0000000000000007E-2</v>
      </c>
      <c r="J101" s="3623">
        <f t="shared" si="33"/>
        <v>8.9999999999999993E-3</v>
      </c>
      <c r="K101" s="3623">
        <f t="shared" si="27"/>
        <v>4.4999999999999997E-3</v>
      </c>
      <c r="L101" s="3623">
        <v>0</v>
      </c>
      <c r="M101" s="3623">
        <f t="shared" si="31"/>
        <v>-4.4999999999999997E-3</v>
      </c>
      <c r="N101" s="3623">
        <f t="shared" si="32"/>
        <v>-8.9999999999999993E-3</v>
      </c>
      <c r="AE101" s="3579"/>
      <c r="AF101" s="3579"/>
      <c r="AG101" s="3579"/>
      <c r="AH101" s="3579"/>
      <c r="AI101" s="3579"/>
      <c r="AJ101" s="3579"/>
    </row>
    <row r="102" spans="1:36" s="1346" customFormat="1" ht="13.8">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6" customFormat="1">
      <c r="K103" s="3579"/>
      <c r="AD103" s="3579"/>
      <c r="AE103" s="3579"/>
      <c r="AF103" s="3579"/>
      <c r="AG103" s="3579"/>
      <c r="AH103" s="3579"/>
      <c r="AI103" s="3579"/>
    </row>
    <row r="104" spans="1:36">
      <c r="A104" s="3951" t="s">
        <v>1172</v>
      </c>
      <c r="B104" s="3951"/>
      <c r="C104" s="3951"/>
      <c r="D104" s="3951"/>
      <c r="E104" s="3951"/>
      <c r="F104" s="3951"/>
      <c r="G104" s="3951"/>
      <c r="H104" s="3951"/>
      <c r="I104" s="3951"/>
      <c r="J104" s="3951"/>
      <c r="K104" s="2101"/>
      <c r="L104" s="2101"/>
      <c r="M104" s="2101"/>
      <c r="N104" s="2101"/>
    </row>
    <row r="105" spans="1:36">
      <c r="A105" s="3952" t="s">
        <v>1161</v>
      </c>
      <c r="B105" s="3952" t="s">
        <v>1173</v>
      </c>
      <c r="C105" s="1039" t="s">
        <v>1174</v>
      </c>
      <c r="D105" s="1040"/>
      <c r="E105" s="1040"/>
      <c r="F105" s="1040"/>
      <c r="G105" s="1040"/>
      <c r="H105" s="1040"/>
      <c r="I105" s="1040"/>
      <c r="J105" s="1041"/>
      <c r="K105" s="1033"/>
      <c r="L105" s="1033"/>
      <c r="M105" s="1033"/>
      <c r="N105" s="1033"/>
    </row>
    <row r="106" spans="1:36">
      <c r="A106" s="3952"/>
      <c r="B106" s="3952"/>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5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5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5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5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5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59"/>
      <c r="B112" s="1042" t="s">
        <v>3231</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6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48" t="s">
        <v>1175</v>
      </c>
      <c r="B114" s="3948"/>
      <c r="C114" s="3948"/>
      <c r="D114" s="3948"/>
      <c r="E114" s="3948"/>
      <c r="F114" s="3948"/>
      <c r="G114" s="3948"/>
      <c r="H114" s="3948"/>
      <c r="I114" s="3948"/>
      <c r="J114" s="3948"/>
      <c r="K114" s="2099"/>
      <c r="L114" s="2099"/>
      <c r="M114" s="2099"/>
      <c r="N114" s="2099"/>
    </row>
    <row r="116" spans="1:14" ht="12.6" thickBot="1"/>
    <row r="117" spans="1:14" ht="25.8" thickBot="1">
      <c r="A117" s="974" t="s">
        <v>831</v>
      </c>
      <c r="B117" s="2102">
        <f>G3</f>
        <v>2</v>
      </c>
      <c r="C117" s="975" t="s">
        <v>832</v>
      </c>
      <c r="D117" s="976" t="e">
        <f>SUMPRODUCT((A118:A122=F116)*(B117:M117=H116)*B118:M122)</f>
        <v>#VALUE!</v>
      </c>
      <c r="E117" s="977" t="s">
        <v>833</v>
      </c>
      <c r="F117" s="978" t="str">
        <f>E2</f>
        <v>公共服务</v>
      </c>
      <c r="G117" s="977" t="s">
        <v>834</v>
      </c>
      <c r="H117" s="978" t="str">
        <f>G2</f>
        <v>六级</v>
      </c>
      <c r="I117" s="977"/>
      <c r="J117" s="969"/>
      <c r="K117" s="969"/>
      <c r="L117" s="969"/>
      <c r="M117" s="969"/>
    </row>
    <row r="118" spans="1:14" ht="13.2">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3.2">
      <c r="A119" s="3628" t="s">
        <v>3232</v>
      </c>
      <c r="B119" s="3570">
        <f>ROUND(0.9968-0.011*B117,4)</f>
        <v>0.9748</v>
      </c>
      <c r="C119" s="3570">
        <f>B119</f>
        <v>0.9748</v>
      </c>
      <c r="D119" s="3570">
        <f>ROUND(0.949-0.014*B117,4)</f>
        <v>0.92100000000000004</v>
      </c>
      <c r="E119" s="3570">
        <f>D119</f>
        <v>0.92100000000000004</v>
      </c>
      <c r="F119" s="3570">
        <f>E119</f>
        <v>0.92100000000000004</v>
      </c>
      <c r="G119" s="3570">
        <f>F119</f>
        <v>0.92100000000000004</v>
      </c>
      <c r="H119" s="3570">
        <f>G119</f>
        <v>0.92100000000000004</v>
      </c>
      <c r="I119" s="3570">
        <f>ROUND(0.8486-0.018*B117,4)</f>
        <v>0.81259999999999999</v>
      </c>
      <c r="J119" s="3570">
        <f t="shared" ref="J119:M123" si="35">I119</f>
        <v>0.81259999999999999</v>
      </c>
      <c r="K119" s="3570">
        <f t="shared" si="35"/>
        <v>0.81259999999999999</v>
      </c>
      <c r="L119" s="3570">
        <f t="shared" si="35"/>
        <v>0.81259999999999999</v>
      </c>
      <c r="M119" s="3631">
        <f t="shared" si="35"/>
        <v>0.81259999999999999</v>
      </c>
    </row>
    <row r="120" spans="1:14" ht="13.2">
      <c r="A120" s="3628" t="s">
        <v>3233</v>
      </c>
      <c r="B120" s="3570">
        <f>ROUND(0.993-0.0112*B117,4)</f>
        <v>0.97060000000000002</v>
      </c>
      <c r="C120" s="3570">
        <f>B120</f>
        <v>0.97060000000000002</v>
      </c>
      <c r="D120" s="3570">
        <f>ROUND(0.9415-0.0142*B117,4)</f>
        <v>0.91310000000000002</v>
      </c>
      <c r="E120" s="3570">
        <f t="shared" ref="E120:H121" si="36">D120</f>
        <v>0.91310000000000002</v>
      </c>
      <c r="F120" s="3570">
        <f t="shared" si="36"/>
        <v>0.91310000000000002</v>
      </c>
      <c r="G120" s="3570">
        <f t="shared" si="36"/>
        <v>0.91310000000000002</v>
      </c>
      <c r="H120" s="3570">
        <f t="shared" si="36"/>
        <v>0.91310000000000002</v>
      </c>
      <c r="I120" s="3570">
        <f>ROUND(0.838-0.0182*B117,4)</f>
        <v>0.80159999999999998</v>
      </c>
      <c r="J120" s="3570">
        <f t="shared" si="35"/>
        <v>0.80159999999999998</v>
      </c>
      <c r="K120" s="3570">
        <f t="shared" si="35"/>
        <v>0.80159999999999998</v>
      </c>
      <c r="L120" s="3570">
        <f t="shared" si="35"/>
        <v>0.80159999999999998</v>
      </c>
      <c r="M120" s="3631">
        <f t="shared" si="35"/>
        <v>0.80159999999999998</v>
      </c>
    </row>
    <row r="121" spans="1:14" ht="13.2">
      <c r="A121" s="3628" t="s">
        <v>3234</v>
      </c>
      <c r="B121" s="3570">
        <f>ROUND(0.9448-0.0115*B117,4)</f>
        <v>0.92179999999999995</v>
      </c>
      <c r="C121" s="3570">
        <f>B121</f>
        <v>0.92179999999999995</v>
      </c>
      <c r="D121" s="3570">
        <f>ROUND(0.937-0.0145*B117,4)</f>
        <v>0.90800000000000003</v>
      </c>
      <c r="E121" s="3570">
        <f t="shared" si="36"/>
        <v>0.90800000000000003</v>
      </c>
      <c r="F121" s="3570">
        <f t="shared" si="36"/>
        <v>0.90800000000000003</v>
      </c>
      <c r="G121" s="3570">
        <f t="shared" si="36"/>
        <v>0.90800000000000003</v>
      </c>
      <c r="H121" s="3570">
        <f t="shared" si="36"/>
        <v>0.90800000000000003</v>
      </c>
      <c r="I121" s="3570">
        <f>ROUND(0.7965-0.0185*B117,4)</f>
        <v>0.75949999999999995</v>
      </c>
      <c r="J121" s="3570">
        <f t="shared" si="35"/>
        <v>0.75949999999999995</v>
      </c>
      <c r="K121" s="3570">
        <f t="shared" si="35"/>
        <v>0.75949999999999995</v>
      </c>
      <c r="L121" s="3570">
        <f t="shared" si="35"/>
        <v>0.75949999999999995</v>
      </c>
      <c r="M121" s="3631">
        <f t="shared" si="35"/>
        <v>0.75949999999999995</v>
      </c>
    </row>
    <row r="122" spans="1:14" ht="13.8" thickBot="1">
      <c r="A122" s="3629" t="s">
        <v>3235</v>
      </c>
      <c r="B122" s="3632">
        <f>ROUND(0.7836-0.012*B117,4)</f>
        <v>0.75960000000000005</v>
      </c>
      <c r="C122" s="3632">
        <f>B122</f>
        <v>0.75960000000000005</v>
      </c>
      <c r="D122" s="3632">
        <f>ROUND(0.753-0.015*B117,4)</f>
        <v>0.72299999999999998</v>
      </c>
      <c r="E122" s="3632">
        <f>D122</f>
        <v>0.72299999999999998</v>
      </c>
      <c r="F122" s="3632">
        <f>E122</f>
        <v>0.72299999999999998</v>
      </c>
      <c r="G122" s="3632">
        <f>ROUND(0.6612-0.018*B117,4)</f>
        <v>0.62519999999999998</v>
      </c>
      <c r="H122" s="3632">
        <f>G122</f>
        <v>0.62519999999999998</v>
      </c>
      <c r="I122" s="3632">
        <f>ROUND(0.5905-0.019*B117,4)</f>
        <v>0.55249999999999999</v>
      </c>
      <c r="J122" s="3632">
        <f t="shared" si="35"/>
        <v>0.55249999999999999</v>
      </c>
      <c r="K122" s="3632">
        <f t="shared" si="35"/>
        <v>0.55249999999999999</v>
      </c>
      <c r="L122" s="3632">
        <f t="shared" si="35"/>
        <v>0.55249999999999999</v>
      </c>
      <c r="M122" s="3633">
        <f t="shared" si="35"/>
        <v>0.55249999999999999</v>
      </c>
    </row>
    <row r="123" spans="1:14" ht="13.2">
      <c r="A123" s="3630" t="s">
        <v>3216</v>
      </c>
      <c r="B123" s="3570">
        <f>ROUND(0.9404-0.0106*B117,4)</f>
        <v>0.91920000000000002</v>
      </c>
      <c r="C123" s="3570">
        <f>B123</f>
        <v>0.91920000000000002</v>
      </c>
      <c r="D123" s="3570">
        <f>ROUND(0.8955-0.0135*B117,4)</f>
        <v>0.86850000000000005</v>
      </c>
      <c r="E123" s="3570">
        <f t="shared" ref="E123:H123" si="37">D123</f>
        <v>0.86850000000000005</v>
      </c>
      <c r="F123" s="3570">
        <f t="shared" si="37"/>
        <v>0.86850000000000005</v>
      </c>
      <c r="G123" s="3570">
        <f t="shared" si="37"/>
        <v>0.86850000000000005</v>
      </c>
      <c r="H123" s="3570">
        <f t="shared" si="37"/>
        <v>0.86850000000000005</v>
      </c>
      <c r="I123" s="3570">
        <f>ROUND(0.7632-0.0166*B117,4)</f>
        <v>0.73</v>
      </c>
      <c r="J123" s="3570">
        <f t="shared" si="35"/>
        <v>0.73</v>
      </c>
      <c r="K123" s="3570">
        <f t="shared" si="35"/>
        <v>0.73</v>
      </c>
      <c r="L123" s="3570">
        <f t="shared" si="35"/>
        <v>0.73</v>
      </c>
      <c r="M123" s="3631">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49" sqref="S49"/>
    </sheetView>
  </sheetViews>
  <sheetFormatPr defaultRowHeight="14.4"/>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6"/>
    <col min="2" max="9" width="13.88671875" style="1023"/>
    <col min="10" max="16384" width="13.88671875" style="1006"/>
  </cols>
  <sheetData>
    <row r="1" spans="1:13" ht="1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30" t="s">
        <v>2738</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2764</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2736</v>
      </c>
      <c r="B7" s="3244">
        <v>2.5</v>
      </c>
      <c r="C7" s="3244">
        <v>2.5</v>
      </c>
      <c r="D7" s="3244">
        <v>2</v>
      </c>
      <c r="E7" s="3244">
        <v>2</v>
      </c>
      <c r="F7" s="3244">
        <v>2</v>
      </c>
      <c r="G7" s="3244">
        <v>2</v>
      </c>
      <c r="H7" s="3244">
        <v>2</v>
      </c>
      <c r="I7" s="3245">
        <v>1.5</v>
      </c>
      <c r="J7" s="3245">
        <v>1.5</v>
      </c>
      <c r="K7" s="3245">
        <v>1.5</v>
      </c>
      <c r="L7" s="3245">
        <v>1.5</v>
      </c>
      <c r="M7" s="3246">
        <v>1.5</v>
      </c>
    </row>
    <row r="8" spans="1:13">
      <c r="A8" s="1025" t="s">
        <v>2765</v>
      </c>
      <c r="B8" s="3247">
        <v>80</v>
      </c>
      <c r="C8" s="3247">
        <v>80</v>
      </c>
      <c r="D8" s="3247">
        <v>70</v>
      </c>
      <c r="E8" s="3247">
        <v>70</v>
      </c>
      <c r="F8" s="3247">
        <v>70</v>
      </c>
      <c r="G8" s="3247">
        <v>70</v>
      </c>
      <c r="H8" s="3247">
        <v>70</v>
      </c>
      <c r="I8" s="3247">
        <v>60</v>
      </c>
      <c r="J8" s="3247">
        <v>60</v>
      </c>
      <c r="K8" s="3247">
        <v>60</v>
      </c>
      <c r="L8" s="3247">
        <v>60</v>
      </c>
      <c r="M8" s="3248">
        <v>60</v>
      </c>
    </row>
    <row r="9" spans="1:13">
      <c r="A9" s="1007" t="s">
        <v>2766</v>
      </c>
      <c r="B9" s="3249">
        <v>70</v>
      </c>
      <c r="C9" s="3249">
        <v>70</v>
      </c>
      <c r="D9" s="3249">
        <v>60</v>
      </c>
      <c r="E9" s="3249">
        <v>60</v>
      </c>
      <c r="F9" s="3249">
        <v>60</v>
      </c>
      <c r="G9" s="3249">
        <v>60</v>
      </c>
      <c r="H9" s="3249">
        <v>60</v>
      </c>
      <c r="I9" s="3249">
        <v>50</v>
      </c>
      <c r="J9" s="3249">
        <v>50</v>
      </c>
      <c r="K9" s="3249">
        <v>50</v>
      </c>
      <c r="L9" s="3249">
        <v>50</v>
      </c>
      <c r="M9" s="3250">
        <v>50</v>
      </c>
    </row>
    <row r="10" spans="1:13">
      <c r="A10" s="1007" t="s">
        <v>2767</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2768</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2769</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2770</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2771</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2772</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2773</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5" thickBot="1">
      <c r="A19" s="3251" t="s">
        <v>2455</v>
      </c>
      <c r="B19" s="3253" t="s">
        <v>2456</v>
      </c>
      <c r="C19" s="3253" t="s">
        <v>2457</v>
      </c>
      <c r="D19" s="3680"/>
      <c r="E19" s="3251" t="s">
        <v>2458</v>
      </c>
      <c r="F19" s="1031"/>
      <c r="G19" s="1031"/>
    </row>
    <row r="20" spans="1:13" s="1406" customFormat="1">
      <c r="A20" s="3967" t="s">
        <v>2449</v>
      </c>
      <c r="B20" s="3972" t="s">
        <v>2459</v>
      </c>
      <c r="C20" s="3684" t="s">
        <v>2460</v>
      </c>
      <c r="D20" s="3684"/>
      <c r="E20" s="3257">
        <v>1</v>
      </c>
      <c r="F20" s="3258" t="s">
        <v>2461</v>
      </c>
      <c r="G20" s="1033"/>
      <c r="H20" s="1023"/>
      <c r="I20" s="1023"/>
    </row>
    <row r="21" spans="1:13" s="1406" customFormat="1">
      <c r="A21" s="3968"/>
      <c r="B21" s="3963"/>
      <c r="C21" s="3677" t="s">
        <v>2462</v>
      </c>
      <c r="D21" s="3677"/>
      <c r="E21" s="3261">
        <v>1</v>
      </c>
      <c r="F21" s="3258" t="s">
        <v>2463</v>
      </c>
      <c r="G21" s="1033"/>
      <c r="H21" s="1023"/>
      <c r="I21" s="1023"/>
    </row>
    <row r="22" spans="1:13" s="1406" customFormat="1">
      <c r="A22" s="3968"/>
      <c r="B22" s="3963"/>
      <c r="C22" s="3677" t="s">
        <v>2464</v>
      </c>
      <c r="D22" s="3677"/>
      <c r="E22" s="3261">
        <v>0.9</v>
      </c>
      <c r="F22" s="3258" t="s">
        <v>2465</v>
      </c>
      <c r="G22" s="1033"/>
      <c r="H22" s="1023"/>
      <c r="I22" s="1023"/>
    </row>
    <row r="23" spans="1:13" s="1406" customFormat="1">
      <c r="A23" s="3968"/>
      <c r="B23" s="3963"/>
      <c r="C23" s="3677" t="s">
        <v>2466</v>
      </c>
      <c r="D23" s="3677"/>
      <c r="E23" s="3261">
        <v>0.9</v>
      </c>
      <c r="F23" s="3258" t="s">
        <v>2467</v>
      </c>
      <c r="G23" s="1033"/>
      <c r="H23" s="1023"/>
      <c r="I23" s="1023"/>
    </row>
    <row r="24" spans="1:13" s="1406" customFormat="1">
      <c r="A24" s="3968"/>
      <c r="B24" s="3963"/>
      <c r="C24" s="3677" t="s">
        <v>2468</v>
      </c>
      <c r="D24" s="3677"/>
      <c r="E24" s="3261">
        <v>0.8</v>
      </c>
      <c r="F24" s="3258" t="s">
        <v>2469</v>
      </c>
      <c r="G24" s="1033"/>
      <c r="H24" s="1023"/>
      <c r="I24" s="1023"/>
    </row>
    <row r="25" spans="1:13" s="1406" customFormat="1">
      <c r="A25" s="3968"/>
      <c r="B25" s="3963"/>
      <c r="C25" s="3677" t="s">
        <v>2470</v>
      </c>
      <c r="D25" s="3677"/>
      <c r="E25" s="3261">
        <v>0.8</v>
      </c>
      <c r="F25" s="3258"/>
      <c r="G25" s="1033"/>
      <c r="H25" s="1023"/>
      <c r="I25" s="1023"/>
    </row>
    <row r="26" spans="1:13" s="1406" customFormat="1">
      <c r="A26" s="3968"/>
      <c r="B26" s="3963"/>
      <c r="C26" s="3677" t="s">
        <v>3317</v>
      </c>
      <c r="D26" s="3677"/>
      <c r="E26" s="3261">
        <v>0.43</v>
      </c>
      <c r="F26" s="3258"/>
      <c r="G26" s="1033"/>
      <c r="H26" s="1023"/>
      <c r="I26" s="1023"/>
    </row>
    <row r="27" spans="1:13" s="1406" customFormat="1" ht="15" thickBot="1">
      <c r="A27" s="3969"/>
      <c r="B27" s="3973"/>
      <c r="C27" s="3685" t="s">
        <v>3319</v>
      </c>
      <c r="D27" s="3685"/>
      <c r="E27" s="3264">
        <f>E26*0.9</f>
        <v>0.38700000000000001</v>
      </c>
      <c r="F27" s="3258" t="s">
        <v>2471</v>
      </c>
      <c r="G27" s="1033"/>
      <c r="H27" s="1023"/>
      <c r="I27" s="1023"/>
    </row>
    <row r="28" spans="1:13" s="1406" customFormat="1" ht="15" thickBot="1">
      <c r="A28" s="3679" t="s">
        <v>2450</v>
      </c>
      <c r="B28" s="3678" t="s">
        <v>2459</v>
      </c>
      <c r="C28" s="3681" t="s">
        <v>2472</v>
      </c>
      <c r="D28" s="3682"/>
      <c r="E28" s="3683">
        <v>1</v>
      </c>
      <c r="F28" s="3258" t="s">
        <v>2473</v>
      </c>
      <c r="G28" s="1033"/>
      <c r="H28" s="1023"/>
      <c r="I28" s="1023"/>
    </row>
    <row r="29" spans="1:13" s="1406" customFormat="1">
      <c r="A29" s="3974" t="s">
        <v>2454</v>
      </c>
      <c r="B29" s="3970" t="s">
        <v>2454</v>
      </c>
      <c r="C29" s="3255" t="s">
        <v>2474</v>
      </c>
      <c r="D29" s="3256"/>
      <c r="E29" s="3257">
        <v>1</v>
      </c>
      <c r="F29" s="3258" t="s">
        <v>2475</v>
      </c>
      <c r="G29" s="1033"/>
      <c r="H29" s="1023"/>
      <c r="I29" s="1023"/>
    </row>
    <row r="30" spans="1:13" s="1406" customFormat="1">
      <c r="A30" s="3975"/>
      <c r="B30" s="3966"/>
      <c r="C30" s="3259" t="s">
        <v>2476</v>
      </c>
      <c r="D30" s="3260"/>
      <c r="E30" s="3261">
        <v>1</v>
      </c>
      <c r="F30" s="3258" t="s">
        <v>2477</v>
      </c>
      <c r="G30" s="1033"/>
      <c r="H30" s="1023"/>
      <c r="I30" s="1023"/>
    </row>
    <row r="31" spans="1:13" s="1406" customFormat="1">
      <c r="A31" s="3975"/>
      <c r="B31" s="3966"/>
      <c r="C31" s="3259" t="s">
        <v>2478</v>
      </c>
      <c r="D31" s="3260"/>
      <c r="E31" s="3261">
        <v>0.8</v>
      </c>
      <c r="F31" s="3258" t="s">
        <v>2479</v>
      </c>
      <c r="G31" s="1033"/>
      <c r="H31" s="1023"/>
      <c r="I31" s="1023"/>
    </row>
    <row r="32" spans="1:13" s="1406" customFormat="1">
      <c r="A32" s="3975"/>
      <c r="B32" s="3966"/>
      <c r="C32" s="3259" t="s">
        <v>2480</v>
      </c>
      <c r="D32" s="3260"/>
      <c r="E32" s="3261">
        <v>0.8</v>
      </c>
      <c r="F32" s="3258" t="s">
        <v>2481</v>
      </c>
      <c r="G32" s="1033"/>
      <c r="H32" s="1023"/>
      <c r="I32" s="1023"/>
    </row>
    <row r="33" spans="1:9" s="1406" customFormat="1">
      <c r="A33" s="3975"/>
      <c r="B33" s="3966"/>
      <c r="C33" s="3259" t="s">
        <v>2482</v>
      </c>
      <c r="D33" s="3260"/>
      <c r="E33" s="3261">
        <v>0.8</v>
      </c>
      <c r="F33" s="3258" t="s">
        <v>2483</v>
      </c>
      <c r="G33" s="1033"/>
      <c r="H33" s="1023"/>
      <c r="I33" s="1023"/>
    </row>
    <row r="34" spans="1:9" s="1406" customFormat="1">
      <c r="A34" s="3975"/>
      <c r="B34" s="3966"/>
      <c r="C34" s="3259" t="s">
        <v>2484</v>
      </c>
      <c r="D34" s="3260"/>
      <c r="E34" s="3261">
        <v>0.7</v>
      </c>
      <c r="F34" s="3258" t="s">
        <v>2485</v>
      </c>
      <c r="G34" s="1033"/>
      <c r="H34" s="1023"/>
      <c r="I34" s="1023"/>
    </row>
    <row r="35" spans="1:9" s="1406" customFormat="1">
      <c r="A35" s="3975"/>
      <c r="B35" s="3966"/>
      <c r="C35" s="3259" t="s">
        <v>2486</v>
      </c>
      <c r="D35" s="3260"/>
      <c r="E35" s="3261">
        <v>0.8</v>
      </c>
      <c r="F35" s="3258" t="s">
        <v>2487</v>
      </c>
      <c r="G35" s="1033"/>
      <c r="H35" s="1023"/>
      <c r="I35" s="1023"/>
    </row>
    <row r="36" spans="1:9" s="1406" customFormat="1">
      <c r="A36" s="3975"/>
      <c r="B36" s="3966"/>
      <c r="C36" s="3259" t="s">
        <v>2488</v>
      </c>
      <c r="D36" s="3260"/>
      <c r="E36" s="3261">
        <v>0.6</v>
      </c>
      <c r="F36" s="3258" t="s">
        <v>2489</v>
      </c>
      <c r="G36" s="1033"/>
      <c r="H36" s="1023"/>
      <c r="I36" s="1023"/>
    </row>
    <row r="37" spans="1:9" s="1406" customFormat="1">
      <c r="A37" s="3975"/>
      <c r="B37" s="3966"/>
      <c r="C37" s="3259" t="s">
        <v>2490</v>
      </c>
      <c r="D37" s="3260"/>
      <c r="E37" s="3261">
        <v>0.2</v>
      </c>
      <c r="F37" s="3258" t="s">
        <v>2491</v>
      </c>
      <c r="G37" s="1033"/>
      <c r="H37" s="1023"/>
      <c r="I37" s="1023"/>
    </row>
    <row r="38" spans="1:9" s="1406" customFormat="1">
      <c r="A38" s="3975"/>
      <c r="B38" s="3966"/>
      <c r="C38" s="3259" t="s">
        <v>2492</v>
      </c>
      <c r="D38" s="3260"/>
      <c r="E38" s="3261">
        <v>0.2</v>
      </c>
      <c r="F38" s="3258" t="s">
        <v>2493</v>
      </c>
      <c r="G38" s="1033"/>
      <c r="H38" s="1023"/>
      <c r="I38" s="1023"/>
    </row>
    <row r="39" spans="1:9" s="1406" customFormat="1">
      <c r="A39" s="3975"/>
      <c r="B39" s="3964" t="s">
        <v>2494</v>
      </c>
      <c r="C39" s="3259" t="s">
        <v>2495</v>
      </c>
      <c r="D39" s="3260"/>
      <c r="E39" s="3261">
        <v>0.6</v>
      </c>
      <c r="F39" s="3258" t="s">
        <v>2496</v>
      </c>
      <c r="G39" s="1033"/>
      <c r="H39" s="1023"/>
      <c r="I39" s="1023"/>
    </row>
    <row r="40" spans="1:9" s="1406" customFormat="1">
      <c r="A40" s="3975"/>
      <c r="B40" s="3966"/>
      <c r="C40" s="3259" t="s">
        <v>2497</v>
      </c>
      <c r="D40" s="3260"/>
      <c r="E40" s="3261">
        <v>0.6</v>
      </c>
      <c r="F40" s="3258" t="s">
        <v>2498</v>
      </c>
      <c r="G40" s="1033"/>
      <c r="H40" s="1023"/>
      <c r="I40" s="1023"/>
    </row>
    <row r="41" spans="1:9" s="1406" customFormat="1" ht="15" thickBot="1">
      <c r="A41" s="3976"/>
      <c r="B41" s="3971"/>
      <c r="C41" s="3262" t="s">
        <v>2499</v>
      </c>
      <c r="D41" s="3263"/>
      <c r="E41" s="3264">
        <v>0.6</v>
      </c>
      <c r="F41" s="3258" t="s">
        <v>2500</v>
      </c>
      <c r="G41" s="1033"/>
      <c r="H41" s="1023"/>
      <c r="I41" s="1023"/>
    </row>
    <row r="42" spans="1:9" s="1406" customFormat="1" ht="15" thickBot="1">
      <c r="A42" s="3265" t="s">
        <v>2451</v>
      </c>
      <c r="B42" s="3266" t="s">
        <v>2451</v>
      </c>
      <c r="C42" s="3267" t="s">
        <v>2501</v>
      </c>
      <c r="D42" s="3268"/>
      <c r="E42" s="3269">
        <v>1</v>
      </c>
      <c r="F42" s="3258" t="s">
        <v>2502</v>
      </c>
      <c r="G42" s="1033"/>
      <c r="H42" s="1023"/>
      <c r="I42" s="1023"/>
    </row>
    <row r="43" spans="1:9" s="1406" customFormat="1">
      <c r="A43" s="3967" t="s">
        <v>2452</v>
      </c>
      <c r="B43" s="3970" t="s">
        <v>2503</v>
      </c>
      <c r="C43" s="3255" t="s">
        <v>2504</v>
      </c>
      <c r="D43" s="3256"/>
      <c r="E43" s="3257">
        <v>1</v>
      </c>
      <c r="F43" s="3258" t="s">
        <v>2505</v>
      </c>
      <c r="G43" s="1033"/>
      <c r="H43" s="1023"/>
      <c r="I43" s="1023"/>
    </row>
    <row r="44" spans="1:9" s="1406" customFormat="1">
      <c r="A44" s="3968"/>
      <c r="B44" s="3966"/>
      <c r="C44" s="3259" t="s">
        <v>2506</v>
      </c>
      <c r="D44" s="3260"/>
      <c r="E44" s="3261">
        <v>1</v>
      </c>
      <c r="F44" s="3258" t="s">
        <v>2507</v>
      </c>
      <c r="G44" s="1033"/>
      <c r="H44" s="1023"/>
      <c r="I44" s="1023"/>
    </row>
    <row r="45" spans="1:9" s="1406" customFormat="1">
      <c r="A45" s="3968"/>
      <c r="B45" s="3965"/>
      <c r="C45" s="3259" t="s">
        <v>2508</v>
      </c>
      <c r="D45" s="3260"/>
      <c r="E45" s="3261">
        <v>1.5</v>
      </c>
      <c r="F45" s="3258" t="s">
        <v>2509</v>
      </c>
      <c r="G45" s="1033"/>
      <c r="H45" s="1023"/>
      <c r="I45" s="1023"/>
    </row>
    <row r="46" spans="1:9" s="1406" customFormat="1">
      <c r="A46" s="3968"/>
      <c r="B46" s="3270" t="s">
        <v>2454</v>
      </c>
      <c r="C46" s="3259" t="s">
        <v>2453</v>
      </c>
      <c r="D46" s="3260"/>
      <c r="E46" s="3261">
        <v>2</v>
      </c>
      <c r="F46" s="3258" t="s">
        <v>2510</v>
      </c>
      <c r="G46" s="1033"/>
      <c r="H46" s="1023"/>
      <c r="I46" s="1023"/>
    </row>
    <row r="47" spans="1:9" s="1406" customFormat="1">
      <c r="A47" s="3968"/>
      <c r="B47" s="3964" t="s">
        <v>2511</v>
      </c>
      <c r="C47" s="3259" t="s">
        <v>2512</v>
      </c>
      <c r="D47" s="3260"/>
      <c r="E47" s="3261">
        <v>1</v>
      </c>
      <c r="F47" s="3258" t="s">
        <v>2513</v>
      </c>
      <c r="G47" s="1033"/>
      <c r="H47" s="1023"/>
      <c r="I47" s="1023"/>
    </row>
    <row r="48" spans="1:9" s="1406" customFormat="1">
      <c r="A48" s="3968"/>
      <c r="B48" s="3966"/>
      <c r="C48" s="3259" t="s">
        <v>2514</v>
      </c>
      <c r="D48" s="3260"/>
      <c r="E48" s="3261">
        <v>1</v>
      </c>
      <c r="F48" s="3258" t="s">
        <v>2515</v>
      </c>
      <c r="G48" s="1033"/>
      <c r="H48" s="1023"/>
      <c r="I48" s="1023"/>
    </row>
    <row r="49" spans="1:9" s="1406" customFormat="1">
      <c r="A49" s="3968"/>
      <c r="B49" s="3966"/>
      <c r="C49" s="3259" t="s">
        <v>2516</v>
      </c>
      <c r="D49" s="3260"/>
      <c r="E49" s="3261">
        <v>1</v>
      </c>
      <c r="F49" s="3258" t="s">
        <v>2517</v>
      </c>
      <c r="G49" s="1033"/>
      <c r="H49" s="1023"/>
      <c r="I49" s="1023"/>
    </row>
    <row r="50" spans="1:9" s="1406" customFormat="1">
      <c r="A50" s="3968"/>
      <c r="B50" s="3966"/>
      <c r="C50" s="3259" t="s">
        <v>2518</v>
      </c>
      <c r="D50" s="3260"/>
      <c r="E50" s="3261">
        <v>1</v>
      </c>
      <c r="F50" s="3258" t="s">
        <v>2519</v>
      </c>
      <c r="G50" s="1033"/>
      <c r="H50" s="1023"/>
      <c r="I50" s="1023"/>
    </row>
    <row r="51" spans="1:9" s="1406" customFormat="1">
      <c r="A51" s="3968"/>
      <c r="B51" s="3966"/>
      <c r="C51" s="3259" t="s">
        <v>2520</v>
      </c>
      <c r="D51" s="3260"/>
      <c r="E51" s="3261">
        <v>1</v>
      </c>
      <c r="F51" s="3258" t="s">
        <v>2521</v>
      </c>
      <c r="G51" s="1033"/>
      <c r="H51" s="1023"/>
      <c r="I51" s="1023"/>
    </row>
    <row r="52" spans="1:9" s="1406" customFormat="1">
      <c r="A52" s="3968"/>
      <c r="B52" s="3966"/>
      <c r="C52" s="3259" t="s">
        <v>2522</v>
      </c>
      <c r="D52" s="3260"/>
      <c r="E52" s="3261">
        <v>1</v>
      </c>
      <c r="F52" s="3258" t="s">
        <v>2523</v>
      </c>
      <c r="G52" s="1033"/>
      <c r="H52" s="1023"/>
      <c r="I52" s="1023"/>
    </row>
    <row r="53" spans="1:9" s="1406" customFormat="1" ht="15" thickBot="1">
      <c r="A53" s="3969"/>
      <c r="B53" s="3971"/>
      <c r="C53" s="3262" t="s">
        <v>2524</v>
      </c>
      <c r="D53" s="3263"/>
      <c r="E53" s="3264">
        <v>1</v>
      </c>
      <c r="F53" s="3258" t="s">
        <v>2525</v>
      </c>
      <c r="G53" s="1033"/>
      <c r="H53" s="1023"/>
      <c r="I53" s="1023"/>
    </row>
    <row r="54" spans="1:9" s="1406" customFormat="1">
      <c r="A54" s="1407"/>
      <c r="B54" s="1407"/>
      <c r="C54" s="1407"/>
      <c r="D54" s="1407"/>
      <c r="E54" s="1407"/>
      <c r="F54" s="1032"/>
      <c r="G54" s="1032"/>
      <c r="H54" s="1023"/>
      <c r="I54" s="1023"/>
    </row>
    <row r="56" spans="1:9">
      <c r="A56" s="1034"/>
      <c r="B56" s="1008" t="s">
        <v>1162</v>
      </c>
      <c r="C56" s="1008" t="s">
        <v>1162</v>
      </c>
      <c r="D56" s="1008" t="s">
        <v>1162</v>
      </c>
      <c r="E56" s="1050" t="s">
        <v>1162</v>
      </c>
      <c r="F56" s="1050" t="s">
        <v>1163</v>
      </c>
      <c r="G56" s="1050" t="s">
        <v>1162</v>
      </c>
      <c r="I56" s="1006"/>
    </row>
    <row r="57" spans="1:9">
      <c r="A57" s="1035"/>
      <c r="B57" s="1050" t="s">
        <v>929</v>
      </c>
      <c r="C57" s="1050" t="s">
        <v>929</v>
      </c>
      <c r="D57" s="1050" t="s">
        <v>929</v>
      </c>
      <c r="E57" s="1008" t="s">
        <v>951</v>
      </c>
      <c r="F57" s="1008" t="s">
        <v>1158</v>
      </c>
      <c r="G57" s="1008" t="s">
        <v>1164</v>
      </c>
      <c r="I57" s="1006"/>
    </row>
    <row r="58" spans="1:9">
      <c r="A58" s="1036"/>
      <c r="B58" s="1008">
        <v>1</v>
      </c>
      <c r="C58" s="1008">
        <v>2</v>
      </c>
      <c r="D58" s="1008">
        <v>3</v>
      </c>
      <c r="E58" s="1030" t="s">
        <v>2774</v>
      </c>
      <c r="F58" s="1030" t="s">
        <v>2774</v>
      </c>
      <c r="G58" s="1030" t="s">
        <v>2774</v>
      </c>
      <c r="I58" s="1006"/>
    </row>
    <row r="59" spans="1:9">
      <c r="A59" s="1049" t="s">
        <v>836</v>
      </c>
      <c r="B59" s="3249">
        <v>0.7</v>
      </c>
      <c r="C59" s="3249">
        <v>0.4</v>
      </c>
      <c r="D59" s="3249">
        <v>0.3</v>
      </c>
      <c r="E59" s="3254">
        <v>0.3</v>
      </c>
      <c r="F59" s="3249">
        <v>0.3</v>
      </c>
      <c r="G59" s="3249">
        <v>0.2</v>
      </c>
      <c r="I59" s="1006"/>
    </row>
    <row r="60" spans="1:9">
      <c r="A60" s="1049" t="s">
        <v>837</v>
      </c>
      <c r="B60" s="3249">
        <v>0.7</v>
      </c>
      <c r="C60" s="3249">
        <v>0.4</v>
      </c>
      <c r="D60" s="3249">
        <v>0.3</v>
      </c>
      <c r="E60" s="3249">
        <v>0.3</v>
      </c>
      <c r="F60" s="3249">
        <v>0.3</v>
      </c>
      <c r="G60" s="3249">
        <v>0.2</v>
      </c>
      <c r="I60" s="1006"/>
    </row>
    <row r="61" spans="1:9">
      <c r="A61" s="1049" t="s">
        <v>838</v>
      </c>
      <c r="B61" s="3249">
        <v>0.6</v>
      </c>
      <c r="C61" s="3249">
        <v>0.3</v>
      </c>
      <c r="D61" s="3249">
        <v>0.25</v>
      </c>
      <c r="E61" s="3249">
        <v>0.25</v>
      </c>
      <c r="F61" s="3249">
        <v>0.25</v>
      </c>
      <c r="G61" s="3249">
        <v>0.15</v>
      </c>
      <c r="I61" s="1006"/>
    </row>
    <row r="62" spans="1:9">
      <c r="A62" s="1049" t="s">
        <v>839</v>
      </c>
      <c r="B62" s="3249">
        <v>0.6</v>
      </c>
      <c r="C62" s="3249">
        <v>0.3</v>
      </c>
      <c r="D62" s="3249">
        <v>0.25</v>
      </c>
      <c r="E62" s="3249">
        <v>0.25</v>
      </c>
      <c r="F62" s="3249">
        <v>0.25</v>
      </c>
      <c r="G62" s="3249">
        <v>0.15</v>
      </c>
      <c r="I62" s="1006"/>
    </row>
    <row r="63" spans="1:9" s="1023" customFormat="1">
      <c r="A63" s="1049" t="s">
        <v>840</v>
      </c>
      <c r="B63" s="3249">
        <v>0.6</v>
      </c>
      <c r="C63" s="3249">
        <v>0.3</v>
      </c>
      <c r="D63" s="3249">
        <v>0.25</v>
      </c>
      <c r="E63" s="3249">
        <v>0.25</v>
      </c>
      <c r="F63" s="3249">
        <v>0.25</v>
      </c>
      <c r="G63" s="3249">
        <v>0.15</v>
      </c>
    </row>
    <row r="64" spans="1:9" s="1023" customFormat="1">
      <c r="A64" s="1049" t="s">
        <v>841</v>
      </c>
      <c r="B64" s="3249">
        <v>0.6</v>
      </c>
      <c r="C64" s="3249">
        <v>0.3</v>
      </c>
      <c r="D64" s="3249">
        <v>0.25</v>
      </c>
      <c r="E64" s="3249">
        <v>0.25</v>
      </c>
      <c r="F64" s="3249">
        <v>0.25</v>
      </c>
      <c r="G64" s="3249">
        <v>0.15</v>
      </c>
    </row>
    <row r="65" spans="1:8" s="1023" customFormat="1">
      <c r="A65" s="1049" t="s">
        <v>842</v>
      </c>
      <c r="B65" s="3249">
        <v>0.6</v>
      </c>
      <c r="C65" s="3249">
        <v>0.3</v>
      </c>
      <c r="D65" s="3249">
        <v>0.25</v>
      </c>
      <c r="E65" s="3249">
        <v>0.25</v>
      </c>
      <c r="F65" s="3249">
        <v>0.25</v>
      </c>
      <c r="G65" s="3249">
        <v>0.15</v>
      </c>
    </row>
    <row r="66" spans="1:8" s="1023" customFormat="1">
      <c r="A66" s="1049" t="s">
        <v>843</v>
      </c>
      <c r="B66" s="3249">
        <v>0.5</v>
      </c>
      <c r="C66" s="3249">
        <v>0.2</v>
      </c>
      <c r="D66" s="3249">
        <v>0.2</v>
      </c>
      <c r="E66" s="3249">
        <v>0.2</v>
      </c>
      <c r="F66" s="3249">
        <v>0.2</v>
      </c>
      <c r="G66" s="3249">
        <v>0.1</v>
      </c>
    </row>
    <row r="67" spans="1:8" s="1023" customFormat="1">
      <c r="A67" s="1049" t="s">
        <v>844</v>
      </c>
      <c r="B67" s="3249">
        <v>0.5</v>
      </c>
      <c r="C67" s="3249">
        <v>0.2</v>
      </c>
      <c r="D67" s="3249">
        <v>0.2</v>
      </c>
      <c r="E67" s="3249">
        <v>0.2</v>
      </c>
      <c r="F67" s="3249">
        <v>0.2</v>
      </c>
      <c r="G67" s="3249">
        <v>0.1</v>
      </c>
    </row>
    <row r="68" spans="1:8" s="1023" customFormat="1">
      <c r="A68" s="1049" t="s">
        <v>845</v>
      </c>
      <c r="B68" s="3249">
        <v>0.5</v>
      </c>
      <c r="C68" s="3249">
        <v>0.2</v>
      </c>
      <c r="D68" s="3249">
        <v>0.2</v>
      </c>
      <c r="E68" s="3249">
        <v>0.2</v>
      </c>
      <c r="F68" s="3249">
        <v>0.2</v>
      </c>
      <c r="G68" s="3249">
        <v>0.1</v>
      </c>
    </row>
    <row r="69" spans="1:8" s="1023" customFormat="1">
      <c r="A69" s="1049" t="s">
        <v>846</v>
      </c>
      <c r="B69" s="3249">
        <v>0.5</v>
      </c>
      <c r="C69" s="3249">
        <v>0.2</v>
      </c>
      <c r="D69" s="3249">
        <v>0.2</v>
      </c>
      <c r="E69" s="3249">
        <v>0.2</v>
      </c>
      <c r="F69" s="3249">
        <v>0.2</v>
      </c>
      <c r="G69" s="3249">
        <v>0.1</v>
      </c>
    </row>
    <row r="70" spans="1:8" s="1023" customFormat="1">
      <c r="A70" s="1049" t="s">
        <v>847</v>
      </c>
      <c r="B70" s="3249">
        <v>0.5</v>
      </c>
      <c r="C70" s="3249">
        <v>0.2</v>
      </c>
      <c r="D70" s="3249">
        <v>0.2</v>
      </c>
      <c r="E70" s="3249">
        <v>0.2</v>
      </c>
      <c r="F70" s="3249">
        <v>0.2</v>
      </c>
      <c r="G70" s="3249">
        <v>0.1</v>
      </c>
    </row>
    <row r="72" spans="1:8" s="1023" customFormat="1">
      <c r="A72" s="1037"/>
      <c r="B72" s="1028"/>
      <c r="C72" s="1028"/>
      <c r="D72" s="1028" t="s">
        <v>1165</v>
      </c>
      <c r="E72" s="1028"/>
      <c r="F72" s="1028"/>
    </row>
    <row r="73" spans="1:8" s="1023" customFormat="1">
      <c r="A73" s="1051" t="s">
        <v>1166</v>
      </c>
      <c r="B73" s="1051" t="s">
        <v>1167</v>
      </c>
      <c r="C73" s="1051" t="s">
        <v>1168</v>
      </c>
      <c r="D73" s="1051" t="s">
        <v>1169</v>
      </c>
      <c r="E73" s="1051" t="s">
        <v>1170</v>
      </c>
      <c r="F73" s="1051" t="s">
        <v>1171</v>
      </c>
    </row>
    <row r="74" spans="1:8" s="1023" customFormat="1">
      <c r="A74" s="1051"/>
      <c r="B74" s="1051"/>
      <c r="C74" s="1051" t="s">
        <v>2526</v>
      </c>
      <c r="D74" s="1051"/>
      <c r="E74" s="1038" t="s">
        <v>1159</v>
      </c>
      <c r="F74" s="1051" t="s">
        <v>1159</v>
      </c>
    </row>
    <row r="75" spans="1:8" s="1023" customFormat="1" ht="24">
      <c r="A75" s="3270">
        <v>1</v>
      </c>
      <c r="B75" s="3964" t="s">
        <v>2527</v>
      </c>
      <c r="C75" s="3249" t="s">
        <v>2528</v>
      </c>
      <c r="D75" s="3249" t="s">
        <v>2529</v>
      </c>
      <c r="E75" s="3271">
        <v>0.2</v>
      </c>
      <c r="F75" s="3270">
        <v>25</v>
      </c>
      <c r="H75" s="1023">
        <f>SUMIF(C73:C141,基准地价!C8,E73:E141)</f>
        <v>0</v>
      </c>
    </row>
    <row r="76" spans="1:8" s="1023" customFormat="1" ht="36">
      <c r="A76" s="3270">
        <v>2</v>
      </c>
      <c r="B76" s="3966"/>
      <c r="C76" s="3249" t="s">
        <v>2530</v>
      </c>
      <c r="D76" s="3249" t="s">
        <v>2531</v>
      </c>
      <c r="E76" s="3271">
        <v>0.2</v>
      </c>
      <c r="F76" s="3270">
        <v>25</v>
      </c>
    </row>
    <row r="77" spans="1:8" s="1023" customFormat="1" ht="24">
      <c r="A77" s="3270">
        <v>3</v>
      </c>
      <c r="B77" s="3966"/>
      <c r="C77" s="3249" t="s">
        <v>2532</v>
      </c>
      <c r="D77" s="3249" t="s">
        <v>2533</v>
      </c>
      <c r="E77" s="3271">
        <v>0.2</v>
      </c>
      <c r="F77" s="3270">
        <v>25</v>
      </c>
    </row>
    <row r="78" spans="1:8" s="1023" customFormat="1" ht="24">
      <c r="A78" s="3270">
        <v>4</v>
      </c>
      <c r="B78" s="3966"/>
      <c r="C78" s="3249" t="s">
        <v>2534</v>
      </c>
      <c r="D78" s="3249" t="s">
        <v>2535</v>
      </c>
      <c r="E78" s="3271">
        <v>0.15</v>
      </c>
      <c r="F78" s="3270">
        <v>20</v>
      </c>
    </row>
    <row r="79" spans="1:8" s="1023" customFormat="1" ht="24">
      <c r="A79" s="3270">
        <v>5</v>
      </c>
      <c r="B79" s="3966"/>
      <c r="C79" s="3249" t="s">
        <v>2536</v>
      </c>
      <c r="D79" s="3249" t="s">
        <v>2537</v>
      </c>
      <c r="E79" s="3271">
        <v>0.15</v>
      </c>
      <c r="F79" s="3270">
        <v>20</v>
      </c>
    </row>
    <row r="80" spans="1:8" s="1023" customFormat="1" ht="24">
      <c r="A80" s="3270">
        <v>6</v>
      </c>
      <c r="B80" s="3966"/>
      <c r="C80" s="3249" t="s">
        <v>2538</v>
      </c>
      <c r="D80" s="3249" t="s">
        <v>2539</v>
      </c>
      <c r="E80" s="3271">
        <v>0.15</v>
      </c>
      <c r="F80" s="3270">
        <v>20</v>
      </c>
    </row>
    <row r="81" spans="1:6" s="1023" customFormat="1" ht="36">
      <c r="A81" s="3270">
        <v>7</v>
      </c>
      <c r="B81" s="3966"/>
      <c r="C81" s="3249" t="s">
        <v>2540</v>
      </c>
      <c r="D81" s="3249" t="s">
        <v>2541</v>
      </c>
      <c r="E81" s="3271">
        <v>0.15</v>
      </c>
      <c r="F81" s="3270">
        <v>20</v>
      </c>
    </row>
    <row r="82" spans="1:6" s="1023" customFormat="1" ht="24">
      <c r="A82" s="3270">
        <v>8</v>
      </c>
      <c r="B82" s="3966"/>
      <c r="C82" s="3249" t="s">
        <v>2542</v>
      </c>
      <c r="D82" s="3249" t="s">
        <v>2543</v>
      </c>
      <c r="E82" s="3271">
        <v>0.1</v>
      </c>
      <c r="F82" s="3270">
        <v>15</v>
      </c>
    </row>
    <row r="83" spans="1:6" s="1023" customFormat="1" ht="24">
      <c r="A83" s="3270">
        <v>9</v>
      </c>
      <c r="B83" s="3966"/>
      <c r="C83" s="3249" t="s">
        <v>2544</v>
      </c>
      <c r="D83" s="3249" t="s">
        <v>2545</v>
      </c>
      <c r="E83" s="3271">
        <v>0.1</v>
      </c>
      <c r="F83" s="3270">
        <v>15</v>
      </c>
    </row>
    <row r="84" spans="1:6" s="1023" customFormat="1" ht="24">
      <c r="A84" s="3270">
        <v>10</v>
      </c>
      <c r="B84" s="3966"/>
      <c r="C84" s="3249" t="s">
        <v>2546</v>
      </c>
      <c r="D84" s="3249" t="s">
        <v>2547</v>
      </c>
      <c r="E84" s="3271">
        <v>0.1</v>
      </c>
      <c r="F84" s="3270">
        <v>15</v>
      </c>
    </row>
    <row r="85" spans="1:6" s="1023" customFormat="1" ht="36">
      <c r="A85" s="3270">
        <v>11</v>
      </c>
      <c r="B85" s="3966"/>
      <c r="C85" s="3249" t="s">
        <v>2548</v>
      </c>
      <c r="D85" s="3249" t="s">
        <v>2549</v>
      </c>
      <c r="E85" s="3271">
        <v>0.1</v>
      </c>
      <c r="F85" s="3270">
        <v>15</v>
      </c>
    </row>
    <row r="86" spans="1:6" s="1023" customFormat="1" ht="36">
      <c r="A86" s="3270">
        <v>12</v>
      </c>
      <c r="B86" s="3966"/>
      <c r="C86" s="3249" t="s">
        <v>2550</v>
      </c>
      <c r="D86" s="3249" t="s">
        <v>2551</v>
      </c>
      <c r="E86" s="3271">
        <v>0.1</v>
      </c>
      <c r="F86" s="3270">
        <v>15</v>
      </c>
    </row>
    <row r="87" spans="1:6" s="1023" customFormat="1" ht="24">
      <c r="A87" s="3270">
        <v>13</v>
      </c>
      <c r="B87" s="3966"/>
      <c r="C87" s="3249" t="s">
        <v>2552</v>
      </c>
      <c r="D87" s="3249" t="s">
        <v>2553</v>
      </c>
      <c r="E87" s="3271">
        <v>0.1</v>
      </c>
      <c r="F87" s="3270">
        <v>15</v>
      </c>
    </row>
    <row r="88" spans="1:6" s="1023" customFormat="1" ht="24">
      <c r="A88" s="3270">
        <v>14</v>
      </c>
      <c r="B88" s="3966"/>
      <c r="C88" s="3249" t="s">
        <v>2554</v>
      </c>
      <c r="D88" s="3249" t="s">
        <v>2555</v>
      </c>
      <c r="E88" s="3271">
        <v>0.1</v>
      </c>
      <c r="F88" s="3270">
        <v>15</v>
      </c>
    </row>
    <row r="89" spans="1:6" s="1023" customFormat="1" ht="24">
      <c r="A89" s="3270">
        <v>15</v>
      </c>
      <c r="B89" s="3966"/>
      <c r="C89" s="3249" t="s">
        <v>2556</v>
      </c>
      <c r="D89" s="3249" t="s">
        <v>2557</v>
      </c>
      <c r="E89" s="3271">
        <v>0.1</v>
      </c>
      <c r="F89" s="3270">
        <v>15</v>
      </c>
    </row>
    <row r="90" spans="1:6" s="1023" customFormat="1" ht="24">
      <c r="A90" s="3270">
        <v>16</v>
      </c>
      <c r="B90" s="3966"/>
      <c r="C90" s="3249" t="s">
        <v>2558</v>
      </c>
      <c r="D90" s="3249" t="s">
        <v>2559</v>
      </c>
      <c r="E90" s="3271">
        <v>0.1</v>
      </c>
      <c r="F90" s="3270">
        <v>15</v>
      </c>
    </row>
    <row r="91" spans="1:6" s="1023" customFormat="1" ht="36">
      <c r="A91" s="3270">
        <v>17</v>
      </c>
      <c r="B91" s="3965"/>
      <c r="C91" s="3249" t="s">
        <v>2560</v>
      </c>
      <c r="D91" s="3249" t="s">
        <v>2561</v>
      </c>
      <c r="E91" s="3271">
        <v>0.1</v>
      </c>
      <c r="F91" s="3270">
        <v>15</v>
      </c>
    </row>
    <row r="92" spans="1:6" s="1023" customFormat="1" ht="24">
      <c r="A92" s="3270">
        <v>18</v>
      </c>
      <c r="B92" s="3964" t="s">
        <v>2562</v>
      </c>
      <c r="C92" s="3249" t="s">
        <v>2563</v>
      </c>
      <c r="D92" s="3249" t="s">
        <v>2564</v>
      </c>
      <c r="E92" s="3271">
        <v>0.2</v>
      </c>
      <c r="F92" s="3270">
        <v>25</v>
      </c>
    </row>
    <row r="93" spans="1:6" s="1023" customFormat="1" ht="36">
      <c r="A93" s="3270">
        <v>19</v>
      </c>
      <c r="B93" s="3966"/>
      <c r="C93" s="3249" t="s">
        <v>2565</v>
      </c>
      <c r="D93" s="3249" t="s">
        <v>2566</v>
      </c>
      <c r="E93" s="3271">
        <v>0.2</v>
      </c>
      <c r="F93" s="3270">
        <v>25</v>
      </c>
    </row>
    <row r="94" spans="1:6" s="1023" customFormat="1" ht="24">
      <c r="A94" s="3270">
        <v>20</v>
      </c>
      <c r="B94" s="3966"/>
      <c r="C94" s="3249" t="s">
        <v>2567</v>
      </c>
      <c r="D94" s="3249" t="s">
        <v>2568</v>
      </c>
      <c r="E94" s="3271">
        <v>0.15</v>
      </c>
      <c r="F94" s="3270">
        <v>20</v>
      </c>
    </row>
    <row r="95" spans="1:6" s="1023" customFormat="1" ht="24">
      <c r="A95" s="3270">
        <v>21</v>
      </c>
      <c r="B95" s="3966"/>
      <c r="C95" s="3249" t="s">
        <v>2569</v>
      </c>
      <c r="D95" s="3249" t="s">
        <v>2570</v>
      </c>
      <c r="E95" s="3271">
        <v>0.15</v>
      </c>
      <c r="F95" s="3270">
        <v>20</v>
      </c>
    </row>
    <row r="96" spans="1:6" s="1023" customFormat="1" ht="24">
      <c r="A96" s="3270">
        <v>22</v>
      </c>
      <c r="B96" s="3966"/>
      <c r="C96" s="3249" t="s">
        <v>2571</v>
      </c>
      <c r="D96" s="3249" t="s">
        <v>2572</v>
      </c>
      <c r="E96" s="3271">
        <v>0.15</v>
      </c>
      <c r="F96" s="3270">
        <v>20</v>
      </c>
    </row>
    <row r="97" spans="1:6" s="1023" customFormat="1" ht="48">
      <c r="A97" s="3270">
        <v>23</v>
      </c>
      <c r="B97" s="3966"/>
      <c r="C97" s="3249" t="s">
        <v>2573</v>
      </c>
      <c r="D97" s="3249" t="s">
        <v>2574</v>
      </c>
      <c r="E97" s="3271">
        <v>0.15</v>
      </c>
      <c r="F97" s="3270">
        <v>20</v>
      </c>
    </row>
    <row r="98" spans="1:6" s="1023" customFormat="1" ht="24">
      <c r="A98" s="3270">
        <v>24</v>
      </c>
      <c r="B98" s="3966"/>
      <c r="C98" s="3249" t="s">
        <v>2575</v>
      </c>
      <c r="D98" s="3249" t="s">
        <v>2576</v>
      </c>
      <c r="E98" s="3271">
        <v>0.1</v>
      </c>
      <c r="F98" s="3270">
        <v>15</v>
      </c>
    </row>
    <row r="99" spans="1:6" s="1023" customFormat="1" ht="24">
      <c r="A99" s="3270">
        <v>25</v>
      </c>
      <c r="B99" s="3966"/>
      <c r="C99" s="3249" t="s">
        <v>2577</v>
      </c>
      <c r="D99" s="3249" t="s">
        <v>2578</v>
      </c>
      <c r="E99" s="3271">
        <v>0.1</v>
      </c>
      <c r="F99" s="3270">
        <v>15</v>
      </c>
    </row>
    <row r="100" spans="1:6" s="1023" customFormat="1" ht="36">
      <c r="A100" s="3270">
        <v>26</v>
      </c>
      <c r="B100" s="3966"/>
      <c r="C100" s="3249" t="s">
        <v>2579</v>
      </c>
      <c r="D100" s="3249" t="s">
        <v>2580</v>
      </c>
      <c r="E100" s="3271">
        <v>0.1</v>
      </c>
      <c r="F100" s="3270">
        <v>15</v>
      </c>
    </row>
    <row r="101" spans="1:6" s="1023" customFormat="1" ht="24">
      <c r="A101" s="3270">
        <v>27</v>
      </c>
      <c r="B101" s="3966"/>
      <c r="C101" s="3249" t="s">
        <v>2581</v>
      </c>
      <c r="D101" s="3249" t="s">
        <v>2582</v>
      </c>
      <c r="E101" s="3271">
        <v>0.1</v>
      </c>
      <c r="F101" s="3270">
        <v>15</v>
      </c>
    </row>
    <row r="102" spans="1:6" s="1023" customFormat="1" ht="24">
      <c r="A102" s="3270">
        <v>28</v>
      </c>
      <c r="B102" s="3966"/>
      <c r="C102" s="3249" t="s">
        <v>2583</v>
      </c>
      <c r="D102" s="3249" t="s">
        <v>2584</v>
      </c>
      <c r="E102" s="3271">
        <v>0.1</v>
      </c>
      <c r="F102" s="3270">
        <v>15</v>
      </c>
    </row>
    <row r="103" spans="1:6" s="1023" customFormat="1" ht="24">
      <c r="A103" s="3270">
        <v>29</v>
      </c>
      <c r="B103" s="3966"/>
      <c r="C103" s="3249" t="s">
        <v>2585</v>
      </c>
      <c r="D103" s="3249" t="s">
        <v>2586</v>
      </c>
      <c r="E103" s="3271">
        <v>0.1</v>
      </c>
      <c r="F103" s="3270">
        <v>15</v>
      </c>
    </row>
    <row r="104" spans="1:6" s="1023" customFormat="1" ht="24">
      <c r="A104" s="3270">
        <v>30</v>
      </c>
      <c r="B104" s="3966"/>
      <c r="C104" s="3249" t="s">
        <v>2587</v>
      </c>
      <c r="D104" s="3249" t="s">
        <v>2588</v>
      </c>
      <c r="E104" s="3271">
        <v>0.1</v>
      </c>
      <c r="F104" s="3270">
        <v>15</v>
      </c>
    </row>
    <row r="105" spans="1:6" s="1023" customFormat="1" ht="24">
      <c r="A105" s="3270">
        <v>31</v>
      </c>
      <c r="B105" s="3966"/>
      <c r="C105" s="3249" t="s">
        <v>2589</v>
      </c>
      <c r="D105" s="3249" t="s">
        <v>2590</v>
      </c>
      <c r="E105" s="3271">
        <v>0.1</v>
      </c>
      <c r="F105" s="3270">
        <v>15</v>
      </c>
    </row>
    <row r="106" spans="1:6" s="1023" customFormat="1" ht="36">
      <c r="A106" s="3270">
        <v>32</v>
      </c>
      <c r="B106" s="3966"/>
      <c r="C106" s="3249" t="s">
        <v>2591</v>
      </c>
      <c r="D106" s="3249" t="s">
        <v>2592</v>
      </c>
      <c r="E106" s="3271">
        <v>0.1</v>
      </c>
      <c r="F106" s="3270">
        <v>15</v>
      </c>
    </row>
    <row r="107" spans="1:6" s="1023" customFormat="1" ht="36">
      <c r="A107" s="3270">
        <v>33</v>
      </c>
      <c r="B107" s="3966"/>
      <c r="C107" s="3249" t="s">
        <v>2593</v>
      </c>
      <c r="D107" s="3249" t="s">
        <v>2594</v>
      </c>
      <c r="E107" s="3271">
        <v>0.1</v>
      </c>
      <c r="F107" s="3270">
        <v>15</v>
      </c>
    </row>
    <row r="108" spans="1:6" s="1023" customFormat="1" ht="24">
      <c r="A108" s="3270">
        <v>34</v>
      </c>
      <c r="B108" s="3965"/>
      <c r="C108" s="3249" t="s">
        <v>2595</v>
      </c>
      <c r="D108" s="3249" t="s">
        <v>2596</v>
      </c>
      <c r="E108" s="3271">
        <v>0.1</v>
      </c>
      <c r="F108" s="3270">
        <v>15</v>
      </c>
    </row>
    <row r="109" spans="1:6" s="1023" customFormat="1" ht="36">
      <c r="A109" s="3270">
        <v>35</v>
      </c>
      <c r="B109" s="3964" t="s">
        <v>2597</v>
      </c>
      <c r="C109" s="3270" t="s">
        <v>2598</v>
      </c>
      <c r="D109" s="3249" t="s">
        <v>2599</v>
      </c>
      <c r="E109" s="3271">
        <v>0.15</v>
      </c>
      <c r="F109" s="3270">
        <v>20</v>
      </c>
    </row>
    <row r="110" spans="1:6" s="1023" customFormat="1" ht="24">
      <c r="A110" s="3270">
        <v>36</v>
      </c>
      <c r="B110" s="3966"/>
      <c r="C110" s="3270" t="s">
        <v>2600</v>
      </c>
      <c r="D110" s="3249" t="s">
        <v>2601</v>
      </c>
      <c r="E110" s="3271">
        <v>0.15</v>
      </c>
      <c r="F110" s="3270">
        <v>20</v>
      </c>
    </row>
    <row r="111" spans="1:6" s="1023" customFormat="1" ht="24">
      <c r="A111" s="3270">
        <v>37</v>
      </c>
      <c r="B111" s="3966"/>
      <c r="C111" s="3270" t="s">
        <v>2602</v>
      </c>
      <c r="D111" s="3249" t="s">
        <v>2603</v>
      </c>
      <c r="E111" s="3271">
        <v>0.15</v>
      </c>
      <c r="F111" s="3270">
        <v>20</v>
      </c>
    </row>
    <row r="112" spans="1:6" s="1023" customFormat="1" ht="24">
      <c r="A112" s="3270">
        <v>38</v>
      </c>
      <c r="B112" s="3966"/>
      <c r="C112" s="3270" t="s">
        <v>2604</v>
      </c>
      <c r="D112" s="3249" t="s">
        <v>2605</v>
      </c>
      <c r="E112" s="3271">
        <v>0.1</v>
      </c>
      <c r="F112" s="3270">
        <v>15</v>
      </c>
    </row>
    <row r="113" spans="1:6" s="1023" customFormat="1" ht="24">
      <c r="A113" s="3270">
        <v>39</v>
      </c>
      <c r="B113" s="3966"/>
      <c r="C113" s="3270" t="s">
        <v>2606</v>
      </c>
      <c r="D113" s="3249" t="s">
        <v>2607</v>
      </c>
      <c r="E113" s="3271">
        <v>0.1</v>
      </c>
      <c r="F113" s="3270">
        <v>15</v>
      </c>
    </row>
    <row r="114" spans="1:6" s="1023" customFormat="1" ht="24">
      <c r="A114" s="3270">
        <v>40</v>
      </c>
      <c r="B114" s="3965"/>
      <c r="C114" s="3270" t="s">
        <v>2608</v>
      </c>
      <c r="D114" s="3249" t="s">
        <v>2609</v>
      </c>
      <c r="E114" s="3271">
        <v>0.1</v>
      </c>
      <c r="F114" s="3270">
        <v>15</v>
      </c>
    </row>
    <row r="115" spans="1:6" s="1023" customFormat="1" ht="24">
      <c r="A115" s="3270">
        <v>41</v>
      </c>
      <c r="B115" s="3963" t="s">
        <v>2610</v>
      </c>
      <c r="C115" s="3270" t="s">
        <v>2611</v>
      </c>
      <c r="D115" s="3249" t="s">
        <v>2612</v>
      </c>
      <c r="E115" s="3271">
        <v>0.1</v>
      </c>
      <c r="F115" s="3270">
        <v>15</v>
      </c>
    </row>
    <row r="116" spans="1:6" s="1023" customFormat="1" ht="24">
      <c r="A116" s="3270">
        <v>42</v>
      </c>
      <c r="B116" s="3963"/>
      <c r="C116" s="3270" t="s">
        <v>2613</v>
      </c>
      <c r="D116" s="3249" t="s">
        <v>2614</v>
      </c>
      <c r="E116" s="3271">
        <v>0.1</v>
      </c>
      <c r="F116" s="3270">
        <v>15</v>
      </c>
    </row>
    <row r="117" spans="1:6" s="1023" customFormat="1" ht="24">
      <c r="A117" s="3270">
        <v>43</v>
      </c>
      <c r="B117" s="3963"/>
      <c r="C117" s="3270" t="s">
        <v>2615</v>
      </c>
      <c r="D117" s="3249" t="s">
        <v>2616</v>
      </c>
      <c r="E117" s="3271">
        <v>0.1</v>
      </c>
      <c r="F117" s="3270">
        <v>15</v>
      </c>
    </row>
    <row r="118" spans="1:6" s="1023" customFormat="1" ht="24">
      <c r="A118" s="3270">
        <v>44</v>
      </c>
      <c r="B118" s="3964" t="s">
        <v>2617</v>
      </c>
      <c r="C118" s="3270" t="s">
        <v>2618</v>
      </c>
      <c r="D118" s="3249" t="s">
        <v>2619</v>
      </c>
      <c r="E118" s="3271">
        <v>0.1</v>
      </c>
      <c r="F118" s="3270">
        <v>15</v>
      </c>
    </row>
    <row r="119" spans="1:6" s="1023" customFormat="1" ht="24">
      <c r="A119" s="3270">
        <v>45</v>
      </c>
      <c r="B119" s="3965"/>
      <c r="C119" s="3249" t="s">
        <v>2620</v>
      </c>
      <c r="D119" s="3249" t="s">
        <v>2621</v>
      </c>
      <c r="E119" s="3271">
        <v>0.1</v>
      </c>
      <c r="F119" s="3270">
        <v>15</v>
      </c>
    </row>
    <row r="120" spans="1:6" s="1023" customFormat="1" ht="24">
      <c r="A120" s="3270">
        <v>46</v>
      </c>
      <c r="B120" s="3964" t="s">
        <v>2622</v>
      </c>
      <c r="C120" s="3270" t="s">
        <v>2623</v>
      </c>
      <c r="D120" s="3249" t="s">
        <v>2624</v>
      </c>
      <c r="E120" s="3271">
        <v>0.1</v>
      </c>
      <c r="F120" s="3270">
        <v>15</v>
      </c>
    </row>
    <row r="121" spans="1:6" s="1023" customFormat="1" ht="24">
      <c r="A121" s="3270">
        <v>47</v>
      </c>
      <c r="B121" s="3965"/>
      <c r="C121" s="3270" t="s">
        <v>2625</v>
      </c>
      <c r="D121" s="3249" t="s">
        <v>2626</v>
      </c>
      <c r="E121" s="3271">
        <v>0.1</v>
      </c>
      <c r="F121" s="3270">
        <v>15</v>
      </c>
    </row>
    <row r="122" spans="1:6" s="1023" customFormat="1" ht="24">
      <c r="A122" s="3270">
        <v>48</v>
      </c>
      <c r="B122" s="3964" t="s">
        <v>2627</v>
      </c>
      <c r="C122" s="3270" t="s">
        <v>2628</v>
      </c>
      <c r="D122" s="3249" t="s">
        <v>2629</v>
      </c>
      <c r="E122" s="3271">
        <v>0.1</v>
      </c>
      <c r="F122" s="3270">
        <v>15</v>
      </c>
    </row>
    <row r="123" spans="1:6" s="1023" customFormat="1" ht="24">
      <c r="A123" s="3270">
        <v>49</v>
      </c>
      <c r="B123" s="3965"/>
      <c r="C123" s="3270" t="s">
        <v>2630</v>
      </c>
      <c r="D123" s="3249" t="s">
        <v>2631</v>
      </c>
      <c r="E123" s="3271">
        <v>0.1</v>
      </c>
      <c r="F123" s="3270">
        <v>15</v>
      </c>
    </row>
    <row r="124" spans="1:6" s="1023" customFormat="1" ht="24">
      <c r="A124" s="3270">
        <v>50</v>
      </c>
      <c r="B124" s="3963" t="s">
        <v>2632</v>
      </c>
      <c r="C124" s="3270" t="s">
        <v>2633</v>
      </c>
      <c r="D124" s="3249" t="s">
        <v>2634</v>
      </c>
      <c r="E124" s="3271">
        <v>0.1</v>
      </c>
      <c r="F124" s="3270">
        <v>15</v>
      </c>
    </row>
    <row r="125" spans="1:6" s="1023" customFormat="1" ht="24">
      <c r="A125" s="3270">
        <v>51</v>
      </c>
      <c r="B125" s="3963"/>
      <c r="C125" s="3270" t="s">
        <v>2635</v>
      </c>
      <c r="D125" s="3249" t="s">
        <v>2636</v>
      </c>
      <c r="E125" s="3271">
        <v>0.1</v>
      </c>
      <c r="F125" s="3270">
        <v>15</v>
      </c>
    </row>
    <row r="126" spans="1:6" s="1023" customFormat="1" ht="24">
      <c r="A126" s="3270">
        <v>52</v>
      </c>
      <c r="B126" s="3963" t="s">
        <v>2637</v>
      </c>
      <c r="C126" s="3270" t="s">
        <v>2638</v>
      </c>
      <c r="D126" s="3249" t="s">
        <v>2639</v>
      </c>
      <c r="E126" s="3271">
        <v>0.1</v>
      </c>
      <c r="F126" s="3270">
        <v>15</v>
      </c>
    </row>
    <row r="127" spans="1:6" s="1023" customFormat="1" ht="24">
      <c r="A127" s="3270">
        <v>53</v>
      </c>
      <c r="B127" s="3963"/>
      <c r="C127" s="3270" t="s">
        <v>2640</v>
      </c>
      <c r="D127" s="3249" t="s">
        <v>2641</v>
      </c>
      <c r="E127" s="3271">
        <v>0.1</v>
      </c>
      <c r="F127" s="3270">
        <v>15</v>
      </c>
    </row>
    <row r="128" spans="1:6" ht="24">
      <c r="A128" s="3270">
        <v>54</v>
      </c>
      <c r="B128" s="3270" t="s">
        <v>2642</v>
      </c>
      <c r="C128" s="3270" t="s">
        <v>2643</v>
      </c>
      <c r="D128" s="3249" t="s">
        <v>2644</v>
      </c>
      <c r="E128" s="3271">
        <v>0.1</v>
      </c>
      <c r="F128" s="3270">
        <v>15</v>
      </c>
    </row>
    <row r="129" spans="1:14" ht="24">
      <c r="A129" s="3270">
        <v>55</v>
      </c>
      <c r="B129" s="3963" t="s">
        <v>2645</v>
      </c>
      <c r="C129" s="3270" t="s">
        <v>2646</v>
      </c>
      <c r="D129" s="3249" t="s">
        <v>2647</v>
      </c>
      <c r="E129" s="3271">
        <v>0.1</v>
      </c>
      <c r="F129" s="3270">
        <v>15</v>
      </c>
    </row>
    <row r="130" spans="1:14" ht="24">
      <c r="A130" s="3270">
        <v>56</v>
      </c>
      <c r="B130" s="3963"/>
      <c r="C130" s="3270" t="s">
        <v>2648</v>
      </c>
      <c r="D130" s="3249" t="s">
        <v>2649</v>
      </c>
      <c r="E130" s="3271">
        <v>0.1</v>
      </c>
      <c r="F130" s="3270">
        <v>15</v>
      </c>
    </row>
    <row r="131" spans="1:14" ht="24">
      <c r="A131" s="3270">
        <v>57</v>
      </c>
      <c r="B131" s="3963"/>
      <c r="C131" s="3270" t="s">
        <v>2650</v>
      </c>
      <c r="D131" s="3249" t="s">
        <v>2651</v>
      </c>
      <c r="E131" s="3271">
        <v>0.1</v>
      </c>
      <c r="F131" s="3270">
        <v>15</v>
      </c>
    </row>
    <row r="132" spans="1:14" ht="24">
      <c r="A132" s="3270">
        <v>58</v>
      </c>
      <c r="B132" s="3963" t="s">
        <v>2652</v>
      </c>
      <c r="C132" s="3270" t="s">
        <v>2653</v>
      </c>
      <c r="D132" s="3249" t="s">
        <v>2654</v>
      </c>
      <c r="E132" s="3271">
        <v>0.1</v>
      </c>
      <c r="F132" s="3270">
        <v>15</v>
      </c>
    </row>
    <row r="133" spans="1:14" ht="24">
      <c r="A133" s="3270">
        <v>59</v>
      </c>
      <c r="B133" s="3963"/>
      <c r="C133" s="3270" t="s">
        <v>2655</v>
      </c>
      <c r="D133" s="3249" t="s">
        <v>2656</v>
      </c>
      <c r="E133" s="3271">
        <v>0.1</v>
      </c>
      <c r="F133" s="3270">
        <v>15</v>
      </c>
    </row>
    <row r="134" spans="1:14" ht="24">
      <c r="A134" s="3270">
        <v>60</v>
      </c>
      <c r="B134" s="3964" t="s">
        <v>2657</v>
      </c>
      <c r="C134" s="3270" t="s">
        <v>2658</v>
      </c>
      <c r="D134" s="3249" t="s">
        <v>2659</v>
      </c>
      <c r="E134" s="3271">
        <v>0.1</v>
      </c>
      <c r="F134" s="3270">
        <v>15</v>
      </c>
    </row>
    <row r="135" spans="1:14" ht="24">
      <c r="A135" s="3270">
        <v>61</v>
      </c>
      <c r="B135" s="3965"/>
      <c r="C135" s="3270" t="s">
        <v>2660</v>
      </c>
      <c r="D135" s="3249" t="s">
        <v>2661</v>
      </c>
      <c r="E135" s="3271">
        <v>0.1</v>
      </c>
      <c r="F135" s="3270">
        <v>15</v>
      </c>
    </row>
    <row r="136" spans="1:14" ht="24">
      <c r="A136" s="3270">
        <v>62</v>
      </c>
      <c r="B136" s="3270" t="s">
        <v>2662</v>
      </c>
      <c r="C136" s="3270" t="s">
        <v>2663</v>
      </c>
      <c r="D136" s="3249" t="s">
        <v>2664</v>
      </c>
      <c r="E136" s="3271">
        <v>0.1</v>
      </c>
      <c r="F136" s="3270">
        <v>15</v>
      </c>
    </row>
    <row r="137" spans="1:14" ht="24">
      <c r="A137" s="3270">
        <v>63</v>
      </c>
      <c r="B137" s="3963" t="s">
        <v>2665</v>
      </c>
      <c r="C137" s="3270" t="s">
        <v>2666</v>
      </c>
      <c r="D137" s="3249" t="s">
        <v>2667</v>
      </c>
      <c r="E137" s="3271">
        <v>0.1</v>
      </c>
      <c r="F137" s="3270">
        <v>15</v>
      </c>
    </row>
    <row r="138" spans="1:14" ht="24">
      <c r="A138" s="3270">
        <v>64</v>
      </c>
      <c r="B138" s="3963"/>
      <c r="C138" s="3270" t="s">
        <v>2668</v>
      </c>
      <c r="D138" s="3249" t="s">
        <v>2669</v>
      </c>
      <c r="E138" s="3271">
        <v>0.1</v>
      </c>
      <c r="F138" s="3270">
        <v>15</v>
      </c>
    </row>
    <row r="139" spans="1:14" ht="24">
      <c r="A139" s="3270">
        <v>65</v>
      </c>
      <c r="B139" s="3270" t="s">
        <v>2670</v>
      </c>
      <c r="C139" s="3270" t="s">
        <v>2671</v>
      </c>
      <c r="D139" s="3249" t="s">
        <v>2672</v>
      </c>
      <c r="E139" s="3271">
        <v>0.1</v>
      </c>
      <c r="F139" s="3270">
        <v>15</v>
      </c>
    </row>
    <row r="140" spans="1:14">
      <c r="A140" s="1051"/>
      <c r="B140" s="3229"/>
      <c r="C140" s="1051"/>
      <c r="D140" s="1008"/>
      <c r="E140" s="1038"/>
      <c r="F140" s="1051"/>
    </row>
    <row r="141" spans="1:14">
      <c r="A141" s="1051"/>
      <c r="B141" s="1051"/>
      <c r="C141" s="1051"/>
      <c r="D141" s="1051"/>
      <c r="E141" s="1038"/>
      <c r="F141" s="1051"/>
    </row>
    <row r="143" spans="1:14">
      <c r="A143" s="3334"/>
      <c r="B143" s="3334"/>
      <c r="C143" s="3334"/>
      <c r="D143" s="3334"/>
      <c r="E143" s="3334"/>
      <c r="F143" s="3334"/>
      <c r="G143" s="3334"/>
      <c r="H143" s="3334"/>
      <c r="I143" s="3334"/>
      <c r="J143" s="3334"/>
      <c r="K143" s="1052"/>
      <c r="L143" s="1052"/>
      <c r="M143" s="1052"/>
      <c r="N143" s="1052"/>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29" customWidth="1"/>
    <col min="2" max="2" width="15" style="3429" customWidth="1"/>
    <col min="3" max="6" width="10.21875" style="3429" customWidth="1"/>
    <col min="7" max="7" width="9" style="3429"/>
    <col min="8" max="8" width="9" style="1009"/>
    <col min="9" max="9" width="9" style="1006"/>
    <col min="10" max="10" width="17.33203125" style="3455" customWidth="1"/>
    <col min="11" max="21" width="17.33203125" style="3429" customWidth="1"/>
    <col min="22" max="16384" width="9" style="1006"/>
  </cols>
  <sheetData>
    <row r="1" spans="1:21">
      <c r="A1" s="3977" t="s">
        <v>2811</v>
      </c>
      <c r="B1" s="3977"/>
      <c r="C1" s="3977"/>
      <c r="D1" s="3977"/>
      <c r="E1" s="3977"/>
      <c r="F1" s="3977"/>
      <c r="G1" s="3978"/>
      <c r="I1" s="1010"/>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0" customFormat="1" ht="19.5" customHeight="1">
      <c r="A3" s="3979" t="s">
        <v>2814</v>
      </c>
      <c r="B3" s="3411"/>
      <c r="C3" s="3412" t="s">
        <v>2792</v>
      </c>
      <c r="D3" s="3412" t="s">
        <v>2815</v>
      </c>
      <c r="E3" s="3412" t="s">
        <v>2794</v>
      </c>
      <c r="F3" s="3412" t="s">
        <v>2816</v>
      </c>
      <c r="G3" s="3412" t="s">
        <v>2737</v>
      </c>
      <c r="H3" s="1013"/>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0" customFormat="1" ht="19.5" customHeight="1" thickBot="1">
      <c r="A4" s="3980"/>
      <c r="B4" s="3413" t="s">
        <v>2817</v>
      </c>
      <c r="C4" s="3413" t="s">
        <v>2818</v>
      </c>
      <c r="D4" s="3413" t="s">
        <v>2818</v>
      </c>
      <c r="E4" s="3413" t="s">
        <v>2818</v>
      </c>
      <c r="F4" s="3414" t="s">
        <v>2818</v>
      </c>
      <c r="G4" s="3414" t="s">
        <v>2818</v>
      </c>
      <c r="H4" s="1013"/>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4" t="s">
        <v>961</v>
      </c>
      <c r="I5" s="1015">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6" t="s">
        <v>1000</v>
      </c>
      <c r="I6" s="1017">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7" t="s">
        <v>982</v>
      </c>
      <c r="C7" s="3419">
        <v>34850</v>
      </c>
      <c r="D7" s="3419">
        <v>34690</v>
      </c>
      <c r="E7" s="3419">
        <v>34550</v>
      </c>
      <c r="F7" s="3420">
        <v>14360</v>
      </c>
      <c r="G7" s="3420">
        <v>25620</v>
      </c>
      <c r="H7" s="1016" t="s">
        <v>838</v>
      </c>
      <c r="I7" s="1017">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7" t="s">
        <v>3022</v>
      </c>
    </row>
    <row r="8" spans="1:21" ht="14.25" customHeight="1">
      <c r="A8" s="3419" t="s">
        <v>990</v>
      </c>
      <c r="B8" s="3419" t="s">
        <v>991</v>
      </c>
      <c r="C8" s="3419">
        <v>32630</v>
      </c>
      <c r="D8" s="3419">
        <v>32510</v>
      </c>
      <c r="E8" s="3419">
        <v>32420</v>
      </c>
      <c r="F8" s="3420">
        <v>13300</v>
      </c>
      <c r="G8" s="3420">
        <v>24010</v>
      </c>
      <c r="H8" s="1016" t="s">
        <v>839</v>
      </c>
      <c r="I8" s="1017">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6" t="s">
        <v>840</v>
      </c>
      <c r="I9" s="1017">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6" t="s">
        <v>841</v>
      </c>
      <c r="I10" s="1017">
        <f>SUMPRODUCT((B127:B189=基准地价!I2)*(C3:G3=基准地价!E2)*(C127:G189))</f>
        <v>7630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7" t="s">
        <v>973</v>
      </c>
      <c r="C11" s="3419">
        <v>31590</v>
      </c>
      <c r="D11" s="3419">
        <v>29490</v>
      </c>
      <c r="E11" s="3419">
        <v>28700</v>
      </c>
      <c r="F11" s="3425">
        <v>10410</v>
      </c>
      <c r="G11" s="3425">
        <v>21460</v>
      </c>
      <c r="H11" s="1016" t="s">
        <v>842</v>
      </c>
      <c r="I11" s="1017">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7" t="s">
        <v>983</v>
      </c>
      <c r="C12" s="3419">
        <v>29640</v>
      </c>
      <c r="D12" s="3419">
        <v>27550</v>
      </c>
      <c r="E12" s="3419">
        <v>28010</v>
      </c>
      <c r="F12" s="3425">
        <v>8730</v>
      </c>
      <c r="G12" s="3425">
        <v>20050</v>
      </c>
      <c r="H12" s="1016" t="s">
        <v>843</v>
      </c>
      <c r="I12" s="1017">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7" t="s">
        <v>992</v>
      </c>
      <c r="C13" s="3419">
        <v>29680</v>
      </c>
      <c r="D13" s="3419">
        <v>27660</v>
      </c>
      <c r="E13" s="3419">
        <v>28210</v>
      </c>
      <c r="F13" s="3425">
        <v>9590</v>
      </c>
      <c r="G13" s="3425">
        <v>20120</v>
      </c>
      <c r="H13" s="1016" t="s">
        <v>844</v>
      </c>
      <c r="I13" s="1017">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7" t="s">
        <v>1002</v>
      </c>
      <c r="C14" s="3419">
        <v>30520</v>
      </c>
      <c r="D14" s="3419">
        <v>29510</v>
      </c>
      <c r="E14" s="3419">
        <v>29400</v>
      </c>
      <c r="F14" s="3425">
        <v>9630</v>
      </c>
      <c r="G14" s="3425">
        <v>21480</v>
      </c>
      <c r="H14" s="1016" t="s">
        <v>845</v>
      </c>
      <c r="I14" s="1017">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7" t="s">
        <v>1009</v>
      </c>
      <c r="C15" s="3419">
        <v>29090</v>
      </c>
      <c r="D15" s="3419">
        <v>27590</v>
      </c>
      <c r="E15" s="3419">
        <v>28120</v>
      </c>
      <c r="F15" s="3425">
        <v>9110</v>
      </c>
      <c r="G15" s="3425">
        <v>20070</v>
      </c>
      <c r="H15" s="1016" t="s">
        <v>846</v>
      </c>
      <c r="I15" s="1017">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7" t="s">
        <v>1015</v>
      </c>
      <c r="C16" s="3419">
        <v>26790</v>
      </c>
      <c r="D16" s="3419">
        <v>30370</v>
      </c>
      <c r="E16" s="3419">
        <v>30240</v>
      </c>
      <c r="F16" s="3425">
        <v>11590</v>
      </c>
      <c r="G16" s="3425">
        <v>22090</v>
      </c>
      <c r="H16" s="1018" t="s">
        <v>847</v>
      </c>
      <c r="I16" s="1019">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7" t="s">
        <v>1022</v>
      </c>
      <c r="C17" s="3419">
        <v>29180</v>
      </c>
      <c r="D17" s="3419">
        <v>27620</v>
      </c>
      <c r="E17" s="3419">
        <v>28180</v>
      </c>
      <c r="F17" s="3425">
        <v>10790</v>
      </c>
      <c r="G17" s="3426">
        <v>20090</v>
      </c>
      <c r="I17" s="1020"/>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7" t="s">
        <v>1032</v>
      </c>
      <c r="C18" s="3419">
        <v>26840</v>
      </c>
      <c r="D18" s="3419">
        <v>28930</v>
      </c>
      <c r="E18" s="3419">
        <v>28820</v>
      </c>
      <c r="F18" s="3425"/>
      <c r="G18" s="3426">
        <v>21050</v>
      </c>
      <c r="I18" s="1020"/>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7" t="s">
        <v>1041</v>
      </c>
      <c r="C19" s="3419">
        <v>27750</v>
      </c>
      <c r="D19" s="3419">
        <v>26680</v>
      </c>
      <c r="E19" s="3419">
        <v>26590</v>
      </c>
      <c r="F19" s="3425"/>
      <c r="G19" s="3426">
        <v>19420</v>
      </c>
      <c r="I19" s="1020"/>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7"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7"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7"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7"/>
    </row>
    <row r="23" spans="1:20" ht="14.25" customHeight="1">
      <c r="A23" s="3419" t="s">
        <v>1031</v>
      </c>
      <c r="B23" s="1287"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7"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7"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7"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7"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5"/>
      <c r="D28" s="1285">
        <v>31520</v>
      </c>
      <c r="E28" s="1285">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7" t="s">
        <v>2823</v>
      </c>
      <c r="C30" s="1287">
        <v>26890</v>
      </c>
      <c r="D30" s="1287">
        <v>26770</v>
      </c>
      <c r="E30" s="1287">
        <v>25700</v>
      </c>
      <c r="F30" s="3420">
        <v>8180</v>
      </c>
      <c r="G30" s="3420">
        <v>18740</v>
      </c>
      <c r="I30" s="1020"/>
      <c r="M30" s="3428" t="s">
        <v>2835</v>
      </c>
      <c r="N30" s="3419" t="s">
        <v>2842</v>
      </c>
      <c r="O30" s="3419" t="s">
        <v>2859</v>
      </c>
      <c r="P30" s="3419" t="s">
        <v>2906</v>
      </c>
      <c r="Q30" s="3419" t="s">
        <v>2936</v>
      </c>
      <c r="R30" s="3419" t="s">
        <v>2963</v>
      </c>
      <c r="S30" s="3428" t="s">
        <v>3002</v>
      </c>
    </row>
    <row r="31" spans="1:20" ht="14.25" customHeight="1">
      <c r="A31" s="3419" t="s">
        <v>1145</v>
      </c>
      <c r="B31" s="1287" t="s">
        <v>974</v>
      </c>
      <c r="C31" s="3419">
        <v>24550</v>
      </c>
      <c r="D31" s="3419">
        <v>23990</v>
      </c>
      <c r="E31" s="3419">
        <v>22930</v>
      </c>
      <c r="F31" s="3425">
        <v>7470</v>
      </c>
      <c r="G31" s="3425">
        <v>16790</v>
      </c>
      <c r="I31" s="1020"/>
      <c r="M31" s="3428" t="s">
        <v>2836</v>
      </c>
      <c r="N31" s="3419" t="s">
        <v>2843</v>
      </c>
      <c r="O31" s="3419" t="s">
        <v>2860</v>
      </c>
      <c r="P31" s="3419" t="s">
        <v>2907</v>
      </c>
      <c r="Q31" s="3419" t="s">
        <v>2937</v>
      </c>
      <c r="R31" s="3419" t="s">
        <v>2964</v>
      </c>
      <c r="S31" s="3428" t="s">
        <v>3003</v>
      </c>
    </row>
    <row r="32" spans="1:20" ht="14.25" customHeight="1">
      <c r="A32" s="3419" t="s">
        <v>1145</v>
      </c>
      <c r="B32" s="1287" t="s">
        <v>984</v>
      </c>
      <c r="C32" s="3419">
        <v>27210</v>
      </c>
      <c r="D32" s="3419">
        <v>23240</v>
      </c>
      <c r="E32" s="3419">
        <v>23260</v>
      </c>
      <c r="F32" s="3425">
        <v>7130</v>
      </c>
      <c r="G32" s="3425">
        <v>16270</v>
      </c>
      <c r="I32" s="1020"/>
      <c r="M32" s="3428" t="s">
        <v>2837</v>
      </c>
      <c r="N32" s="3419" t="s">
        <v>2844</v>
      </c>
      <c r="O32" s="3419" t="s">
        <v>1149</v>
      </c>
      <c r="P32" s="3419" t="s">
        <v>2908</v>
      </c>
      <c r="Q32" s="3419" t="s">
        <v>1148</v>
      </c>
      <c r="R32" s="3419" t="s">
        <v>2965</v>
      </c>
      <c r="S32" s="3428" t="s">
        <v>3004</v>
      </c>
    </row>
    <row r="33" spans="1:18" ht="14.25" customHeight="1">
      <c r="A33" s="3419" t="s">
        <v>1145</v>
      </c>
      <c r="B33" s="1287" t="s">
        <v>993</v>
      </c>
      <c r="C33" s="3419">
        <v>27300</v>
      </c>
      <c r="D33" s="3419">
        <v>22980</v>
      </c>
      <c r="E33" s="3419">
        <v>24260</v>
      </c>
      <c r="F33" s="3425">
        <v>5860</v>
      </c>
      <c r="G33" s="3425">
        <v>16090</v>
      </c>
      <c r="I33" s="1020"/>
      <c r="M33" s="3428" t="s">
        <v>2838</v>
      </c>
      <c r="N33" s="3419" t="s">
        <v>2845</v>
      </c>
      <c r="O33" s="3419" t="s">
        <v>1150</v>
      </c>
      <c r="P33" s="3419" t="s">
        <v>2909</v>
      </c>
      <c r="Q33" s="3419" t="s">
        <v>2938</v>
      </c>
      <c r="R33" s="3419" t="s">
        <v>2966</v>
      </c>
    </row>
    <row r="34" spans="1:18" ht="14.25" customHeight="1">
      <c r="A34" s="3419" t="s">
        <v>1145</v>
      </c>
      <c r="B34" s="1287" t="s">
        <v>1003</v>
      </c>
      <c r="C34" s="3419">
        <v>23090</v>
      </c>
      <c r="D34" s="3419">
        <v>23390</v>
      </c>
      <c r="E34" s="3419">
        <v>23510</v>
      </c>
      <c r="F34" s="3425">
        <v>6700</v>
      </c>
      <c r="G34" s="3425">
        <v>16370</v>
      </c>
      <c r="I34" s="1020"/>
      <c r="N34" s="3419" t="s">
        <v>2846</v>
      </c>
      <c r="O34" s="3419" t="s">
        <v>1151</v>
      </c>
      <c r="P34" s="3419" t="s">
        <v>2910</v>
      </c>
      <c r="Q34" s="3419" t="s">
        <v>2939</v>
      </c>
      <c r="R34" s="3419" t="s">
        <v>2967</v>
      </c>
    </row>
    <row r="35" spans="1:18" ht="14.25" customHeight="1">
      <c r="A35" s="3419" t="s">
        <v>1145</v>
      </c>
      <c r="B35" s="1287" t="s">
        <v>1010</v>
      </c>
      <c r="C35" s="3419">
        <v>27270</v>
      </c>
      <c r="D35" s="3419">
        <v>24270</v>
      </c>
      <c r="E35" s="3419">
        <v>24950</v>
      </c>
      <c r="F35" s="3425">
        <v>6600</v>
      </c>
      <c r="G35" s="3425">
        <v>16990</v>
      </c>
      <c r="I35" s="1020"/>
      <c r="N35" s="3419" t="s">
        <v>2847</v>
      </c>
      <c r="O35" s="3419" t="s">
        <v>2861</v>
      </c>
      <c r="P35" s="3419" t="s">
        <v>2911</v>
      </c>
      <c r="Q35" s="3419" t="s">
        <v>2940</v>
      </c>
      <c r="R35" s="3419" t="s">
        <v>2968</v>
      </c>
    </row>
    <row r="36" spans="1:18" ht="14.25" customHeight="1">
      <c r="A36" s="3419" t="s">
        <v>1145</v>
      </c>
      <c r="B36" s="1287" t="s">
        <v>1016</v>
      </c>
      <c r="C36" s="3419">
        <v>23490</v>
      </c>
      <c r="D36" s="3419">
        <v>23020</v>
      </c>
      <c r="E36" s="3419">
        <v>25230</v>
      </c>
      <c r="F36" s="3425">
        <v>6780</v>
      </c>
      <c r="G36" s="3425">
        <v>16120</v>
      </c>
      <c r="I36" s="1020"/>
      <c r="N36" s="3428" t="s">
        <v>2848</v>
      </c>
      <c r="O36" s="3456" t="s">
        <v>2862</v>
      </c>
      <c r="P36" s="3419" t="s">
        <v>2912</v>
      </c>
      <c r="Q36" s="3419" t="s">
        <v>2941</v>
      </c>
      <c r="R36" s="3419" t="s">
        <v>2969</v>
      </c>
    </row>
    <row r="37" spans="1:18" ht="14.25" customHeight="1">
      <c r="A37" s="3419" t="s">
        <v>1145</v>
      </c>
      <c r="B37" s="1287" t="s">
        <v>1023</v>
      </c>
      <c r="C37" s="3419">
        <v>24380</v>
      </c>
      <c r="D37" s="3419">
        <v>22240</v>
      </c>
      <c r="E37" s="3419">
        <v>25980</v>
      </c>
      <c r="F37" s="3425">
        <v>8160</v>
      </c>
      <c r="G37" s="3425">
        <v>15570</v>
      </c>
      <c r="I37" s="1021"/>
      <c r="N37" s="3428" t="s">
        <v>2849</v>
      </c>
      <c r="O37" s="3456" t="s">
        <v>2863</v>
      </c>
      <c r="P37" s="3419" t="s">
        <v>2913</v>
      </c>
      <c r="Q37" s="3419" t="s">
        <v>2942</v>
      </c>
      <c r="R37" s="3419" t="s">
        <v>2970</v>
      </c>
    </row>
    <row r="38" spans="1:18" ht="14.25" customHeight="1">
      <c r="A38" s="3419" t="s">
        <v>1145</v>
      </c>
      <c r="B38" s="1287" t="s">
        <v>1033</v>
      </c>
      <c r="C38" s="3419">
        <v>23120</v>
      </c>
      <c r="D38" s="3419">
        <v>24630</v>
      </c>
      <c r="E38" s="3419">
        <v>25030</v>
      </c>
      <c r="F38" s="3425">
        <v>7710</v>
      </c>
      <c r="G38" s="3425">
        <v>17240</v>
      </c>
      <c r="I38" s="1022"/>
      <c r="N38" s="3428" t="s">
        <v>2850</v>
      </c>
      <c r="O38" s="3456" t="s">
        <v>2864</v>
      </c>
      <c r="P38" s="3419" t="s">
        <v>2914</v>
      </c>
      <c r="Q38" s="3419" t="s">
        <v>2943</v>
      </c>
      <c r="R38" s="3419" t="s">
        <v>2971</v>
      </c>
    </row>
    <row r="39" spans="1:18" ht="14.25" customHeight="1">
      <c r="A39" s="3419" t="s">
        <v>1145</v>
      </c>
      <c r="B39" s="1287" t="s">
        <v>1042</v>
      </c>
      <c r="C39" s="3419">
        <v>22330</v>
      </c>
      <c r="D39" s="3419">
        <v>21140</v>
      </c>
      <c r="E39" s="3419">
        <v>23970</v>
      </c>
      <c r="F39" s="3425">
        <v>7940</v>
      </c>
      <c r="G39" s="3425">
        <v>14790</v>
      </c>
      <c r="I39" s="1022"/>
      <c r="N39" s="3428" t="s">
        <v>2851</v>
      </c>
      <c r="O39" s="3456" t="s">
        <v>2865</v>
      </c>
      <c r="P39" s="3419" t="s">
        <v>2915</v>
      </c>
      <c r="Q39" s="3419" t="s">
        <v>2944</v>
      </c>
      <c r="R39" s="3419" t="s">
        <v>2972</v>
      </c>
    </row>
    <row r="40" spans="1:18" ht="14.25" customHeight="1">
      <c r="A40" s="3419" t="s">
        <v>1145</v>
      </c>
      <c r="B40" s="1287" t="s">
        <v>1049</v>
      </c>
      <c r="C40" s="3419">
        <v>24740</v>
      </c>
      <c r="D40" s="3419">
        <v>24690</v>
      </c>
      <c r="E40" s="3419">
        <v>22610</v>
      </c>
      <c r="F40" s="3425"/>
      <c r="G40" s="3425">
        <v>17280</v>
      </c>
      <c r="I40" s="1022"/>
      <c r="N40" s="3428" t="s">
        <v>2852</v>
      </c>
      <c r="O40" s="3456" t="s">
        <v>2866</v>
      </c>
      <c r="P40" s="3419" t="s">
        <v>2916</v>
      </c>
      <c r="Q40" s="3419" t="s">
        <v>2945</v>
      </c>
      <c r="R40" s="3419" t="s">
        <v>2973</v>
      </c>
    </row>
    <row r="41" spans="1:18" ht="14.25" customHeight="1">
      <c r="A41" s="3419" t="s">
        <v>1145</v>
      </c>
      <c r="B41" s="1287" t="s">
        <v>1056</v>
      </c>
      <c r="C41" s="3419">
        <v>21220</v>
      </c>
      <c r="D41" s="3419">
        <v>21120</v>
      </c>
      <c r="E41" s="3419">
        <v>22590</v>
      </c>
      <c r="F41" s="3425"/>
      <c r="G41" s="3425">
        <v>14780</v>
      </c>
      <c r="I41" s="1022"/>
      <c r="N41" s="3428" t="s">
        <v>2853</v>
      </c>
      <c r="O41" s="3457" t="s">
        <v>2867</v>
      </c>
      <c r="P41" s="1287" t="s">
        <v>2917</v>
      </c>
      <c r="Q41" s="3428" t="s">
        <v>2946</v>
      </c>
      <c r="R41" s="1287" t="s">
        <v>2974</v>
      </c>
    </row>
    <row r="42" spans="1:18" ht="14.25" customHeight="1">
      <c r="A42" s="3419" t="s">
        <v>1145</v>
      </c>
      <c r="B42" s="1287" t="s">
        <v>1063</v>
      </c>
      <c r="C42" s="3419">
        <v>24800</v>
      </c>
      <c r="D42" s="3419">
        <v>22280</v>
      </c>
      <c r="E42" s="3419">
        <v>24350</v>
      </c>
      <c r="F42" s="3425"/>
      <c r="G42" s="3425">
        <v>15590</v>
      </c>
      <c r="I42" s="1022"/>
      <c r="O42" s="3419" t="s">
        <v>2868</v>
      </c>
      <c r="P42" s="3419" t="s">
        <v>2918</v>
      </c>
      <c r="Q42" s="3428" t="s">
        <v>2947</v>
      </c>
      <c r="R42" s="3419" t="s">
        <v>2975</v>
      </c>
    </row>
    <row r="43" spans="1:18" ht="14.25" customHeight="1">
      <c r="A43" s="3419" t="s">
        <v>1145</v>
      </c>
      <c r="B43" s="1287" t="s">
        <v>1071</v>
      </c>
      <c r="C43" s="3419">
        <v>21210</v>
      </c>
      <c r="D43" s="3419">
        <v>21160</v>
      </c>
      <c r="E43" s="3419">
        <v>22650</v>
      </c>
      <c r="F43" s="3425"/>
      <c r="G43" s="3425">
        <v>14800</v>
      </c>
      <c r="I43" s="1022"/>
      <c r="O43" s="3419" t="s">
        <v>2869</v>
      </c>
      <c r="P43" s="3419" t="s">
        <v>2919</v>
      </c>
      <c r="Q43" s="3428" t="s">
        <v>2948</v>
      </c>
      <c r="R43" s="3419" t="s">
        <v>2976</v>
      </c>
    </row>
    <row r="44" spans="1:18" ht="14.25" customHeight="1">
      <c r="A44" s="3419" t="s">
        <v>1145</v>
      </c>
      <c r="B44" s="1287" t="s">
        <v>1079</v>
      </c>
      <c r="C44" s="3419">
        <v>22370</v>
      </c>
      <c r="D44" s="3419">
        <v>23140</v>
      </c>
      <c r="E44" s="3419">
        <v>25090</v>
      </c>
      <c r="F44" s="3425"/>
      <c r="G44" s="3425">
        <v>16190</v>
      </c>
      <c r="I44" s="1022"/>
      <c r="O44" s="3419" t="s">
        <v>2870</v>
      </c>
      <c r="P44" s="3419" t="s">
        <v>2920</v>
      </c>
      <c r="Q44" s="3428" t="s">
        <v>2949</v>
      </c>
      <c r="R44" s="3419" t="s">
        <v>2977</v>
      </c>
    </row>
    <row r="45" spans="1:18" ht="14.25" customHeight="1">
      <c r="A45" s="3419" t="s">
        <v>1145</v>
      </c>
      <c r="B45" s="1287" t="s">
        <v>1084</v>
      </c>
      <c r="C45" s="3419">
        <v>21240</v>
      </c>
      <c r="D45" s="3419">
        <v>27050</v>
      </c>
      <c r="E45" s="3419">
        <v>28000</v>
      </c>
      <c r="F45" s="3425"/>
      <c r="G45" s="3425">
        <v>18940</v>
      </c>
      <c r="I45" s="1020"/>
      <c r="O45" s="3419" t="s">
        <v>2871</v>
      </c>
      <c r="P45" s="3419" t="s">
        <v>2921</v>
      </c>
      <c r="R45" s="3419" t="s">
        <v>2978</v>
      </c>
    </row>
    <row r="46" spans="1:18" ht="14.25" customHeight="1">
      <c r="A46" s="3419" t="s">
        <v>1145</v>
      </c>
      <c r="B46" s="1287" t="s">
        <v>1093</v>
      </c>
      <c r="C46" s="3419">
        <v>23240</v>
      </c>
      <c r="D46" s="3419">
        <v>23000</v>
      </c>
      <c r="E46" s="3419">
        <v>24980</v>
      </c>
      <c r="F46" s="3425"/>
      <c r="G46" s="3425">
        <v>16100</v>
      </c>
      <c r="I46" s="1022"/>
      <c r="O46" s="3419" t="s">
        <v>2872</v>
      </c>
      <c r="P46" s="3419"/>
      <c r="R46" s="3419" t="s">
        <v>2979</v>
      </c>
    </row>
    <row r="47" spans="1:18" ht="14.25" customHeight="1">
      <c r="A47" s="3419" t="s">
        <v>1145</v>
      </c>
      <c r="B47" s="2598" t="s">
        <v>1100</v>
      </c>
      <c r="C47" s="1285">
        <v>27150</v>
      </c>
      <c r="D47" s="1285">
        <v>23310</v>
      </c>
      <c r="E47" s="1285">
        <v>25150</v>
      </c>
      <c r="F47" s="3430"/>
      <c r="G47" s="3430">
        <v>16310</v>
      </c>
      <c r="I47" s="1022"/>
      <c r="O47" s="3419" t="s">
        <v>2873</v>
      </c>
      <c r="P47" s="3419"/>
      <c r="R47" s="3428" t="s">
        <v>2980</v>
      </c>
    </row>
    <row r="48" spans="1:18" ht="14.25" customHeight="1">
      <c r="A48" s="3419" t="s">
        <v>1145</v>
      </c>
      <c r="B48" s="3419" t="s">
        <v>1108</v>
      </c>
      <c r="C48" s="3419">
        <v>23100</v>
      </c>
      <c r="D48" s="3419">
        <v>21110</v>
      </c>
      <c r="E48" s="3419">
        <v>23080</v>
      </c>
      <c r="F48" s="3425"/>
      <c r="G48" s="3432">
        <v>14780</v>
      </c>
      <c r="I48" s="1020"/>
      <c r="O48" s="3419" t="s">
        <v>2874</v>
      </c>
      <c r="P48" s="3419"/>
      <c r="R48" s="3428" t="s">
        <v>2981</v>
      </c>
    </row>
    <row r="49" spans="1:18" ht="14.25" customHeight="1">
      <c r="A49" s="3419" t="s">
        <v>1145</v>
      </c>
      <c r="B49" s="1287" t="s">
        <v>1115</v>
      </c>
      <c r="C49" s="1287">
        <v>23400</v>
      </c>
      <c r="D49" s="1287">
        <v>22920</v>
      </c>
      <c r="E49" s="1287">
        <v>24900</v>
      </c>
      <c r="F49" s="3420"/>
      <c r="G49" s="3420">
        <v>16040</v>
      </c>
      <c r="I49" s="1022"/>
      <c r="O49" s="3419" t="s">
        <v>2875</v>
      </c>
      <c r="P49" s="3419"/>
      <c r="R49" s="3428" t="s">
        <v>2982</v>
      </c>
    </row>
    <row r="50" spans="1:18" ht="14.25" customHeight="1">
      <c r="A50" s="3419" t="s">
        <v>1145</v>
      </c>
      <c r="B50" s="3419" t="s">
        <v>2824</v>
      </c>
      <c r="C50" s="3419">
        <v>21200</v>
      </c>
      <c r="D50" s="3419">
        <v>26540</v>
      </c>
      <c r="E50" s="3419">
        <v>23200</v>
      </c>
      <c r="F50" s="3425"/>
      <c r="G50" s="3425">
        <v>18580</v>
      </c>
      <c r="I50" s="1022"/>
      <c r="O50" s="3428" t="s">
        <v>2876</v>
      </c>
      <c r="R50" s="3428" t="s">
        <v>2983</v>
      </c>
    </row>
    <row r="51" spans="1:18" ht="14.25" customHeight="1">
      <c r="A51" s="3419" t="s">
        <v>1145</v>
      </c>
      <c r="B51" s="3419" t="s">
        <v>2825</v>
      </c>
      <c r="C51" s="3419">
        <v>23000</v>
      </c>
      <c r="D51" s="3419">
        <v>23460</v>
      </c>
      <c r="E51" s="3419">
        <v>25290</v>
      </c>
      <c r="F51" s="3425"/>
      <c r="G51" s="3425">
        <v>16420</v>
      </c>
      <c r="I51" s="1022"/>
      <c r="O51" s="3428" t="s">
        <v>2877</v>
      </c>
      <c r="R51" s="3428" t="s">
        <v>2984</v>
      </c>
    </row>
    <row r="52" spans="1:18" ht="14.25" customHeight="1">
      <c r="A52" s="3419" t="s">
        <v>1145</v>
      </c>
      <c r="B52" s="3419" t="s">
        <v>2826</v>
      </c>
      <c r="C52" s="3419">
        <v>26660</v>
      </c>
      <c r="D52" s="3419">
        <v>22350</v>
      </c>
      <c r="E52" s="3419">
        <v>22920</v>
      </c>
      <c r="F52" s="3425"/>
      <c r="G52" s="3425">
        <v>15640</v>
      </c>
      <c r="I52" s="1022"/>
      <c r="O52" s="3428" t="s">
        <v>2878</v>
      </c>
    </row>
    <row r="53" spans="1:18" ht="14.25" customHeight="1">
      <c r="A53" s="3419" t="s">
        <v>1145</v>
      </c>
      <c r="B53" s="3419" t="s">
        <v>2827</v>
      </c>
      <c r="C53" s="3419">
        <v>23580</v>
      </c>
      <c r="D53" s="3419"/>
      <c r="E53" s="3419">
        <v>24280</v>
      </c>
      <c r="F53" s="3425"/>
      <c r="G53" s="3425"/>
      <c r="I53" s="1022"/>
      <c r="O53" s="3428" t="s">
        <v>2879</v>
      </c>
    </row>
    <row r="54" spans="1:18" ht="14.25" customHeight="1" thickBot="1">
      <c r="A54" s="3434" t="s">
        <v>1145</v>
      </c>
      <c r="B54" s="3422" t="s">
        <v>2828</v>
      </c>
      <c r="C54" s="3422">
        <v>22460</v>
      </c>
      <c r="D54" s="3422"/>
      <c r="E54" s="3422"/>
      <c r="F54" s="3423"/>
      <c r="G54" s="3435"/>
      <c r="I54" s="1022"/>
      <c r="O54" s="3428" t="s">
        <v>2880</v>
      </c>
    </row>
    <row r="55" spans="1:18" ht="14.25" customHeight="1">
      <c r="A55" s="3433" t="s">
        <v>853</v>
      </c>
      <c r="B55" s="1287" t="s">
        <v>2829</v>
      </c>
      <c r="C55" s="1287">
        <v>21970</v>
      </c>
      <c r="D55" s="1287">
        <v>20370</v>
      </c>
      <c r="E55" s="1287">
        <v>20180</v>
      </c>
      <c r="F55" s="3420">
        <v>5730</v>
      </c>
      <c r="G55" s="3420">
        <v>13820</v>
      </c>
      <c r="I55" s="1022"/>
      <c r="O55" s="3428" t="s">
        <v>2881</v>
      </c>
    </row>
    <row r="56" spans="1:18" ht="14.25" customHeight="1">
      <c r="A56" s="3419" t="s">
        <v>853</v>
      </c>
      <c r="B56" s="3419" t="s">
        <v>975</v>
      </c>
      <c r="C56" s="3419">
        <v>20470</v>
      </c>
      <c r="D56" s="3419">
        <v>20700</v>
      </c>
      <c r="E56" s="3419">
        <v>20380</v>
      </c>
      <c r="F56" s="3425">
        <v>4760</v>
      </c>
      <c r="G56" s="3425">
        <v>14050</v>
      </c>
      <c r="I56" s="1022"/>
      <c r="O56" s="3428" t="s">
        <v>2882</v>
      </c>
    </row>
    <row r="57" spans="1:18" ht="14.25" customHeight="1">
      <c r="A57" s="3419" t="s">
        <v>853</v>
      </c>
      <c r="B57" s="3419" t="s">
        <v>985</v>
      </c>
      <c r="C57" s="3419">
        <v>20790</v>
      </c>
      <c r="D57" s="3419">
        <v>21370</v>
      </c>
      <c r="E57" s="3419">
        <v>20890</v>
      </c>
      <c r="F57" s="3425">
        <v>4910</v>
      </c>
      <c r="G57" s="3425">
        <v>14510</v>
      </c>
      <c r="I57" s="1022"/>
      <c r="O57" s="3428" t="s">
        <v>2883</v>
      </c>
    </row>
    <row r="58" spans="1:18" ht="14.25" customHeight="1">
      <c r="A58" s="3419" t="s">
        <v>853</v>
      </c>
      <c r="B58" s="3419" t="s">
        <v>994</v>
      </c>
      <c r="C58" s="3419">
        <v>21460</v>
      </c>
      <c r="D58" s="3419">
        <v>20920</v>
      </c>
      <c r="E58" s="3419">
        <v>23410</v>
      </c>
      <c r="F58" s="3425">
        <v>5100</v>
      </c>
      <c r="G58" s="3425">
        <v>14200</v>
      </c>
      <c r="I58" s="1022"/>
      <c r="O58" s="3428" t="s">
        <v>2884</v>
      </c>
    </row>
    <row r="59" spans="1:18" ht="14.25" customHeight="1">
      <c r="A59" s="3419" t="s">
        <v>853</v>
      </c>
      <c r="B59" s="3419" t="s">
        <v>1004</v>
      </c>
      <c r="C59" s="3419">
        <v>21000</v>
      </c>
      <c r="D59" s="3419">
        <v>21550</v>
      </c>
      <c r="E59" s="3419">
        <v>21150</v>
      </c>
      <c r="F59" s="3425">
        <v>5250</v>
      </c>
      <c r="G59" s="3425">
        <v>14630</v>
      </c>
      <c r="I59" s="1022"/>
      <c r="O59" s="3428" t="s">
        <v>2885</v>
      </c>
    </row>
    <row r="60" spans="1:18" ht="14.25" customHeight="1">
      <c r="A60" s="3419" t="s">
        <v>853</v>
      </c>
      <c r="B60" s="3419" t="s">
        <v>1011</v>
      </c>
      <c r="C60" s="3419">
        <v>21640</v>
      </c>
      <c r="D60" s="3419">
        <v>21260</v>
      </c>
      <c r="E60" s="3419">
        <v>24040</v>
      </c>
      <c r="F60" s="3425">
        <v>4470</v>
      </c>
      <c r="G60" s="3425">
        <v>14430</v>
      </c>
      <c r="I60" s="1022"/>
      <c r="O60" s="3428" t="s">
        <v>2886</v>
      </c>
    </row>
    <row r="61" spans="1:18" ht="14.25" customHeight="1">
      <c r="A61" s="3419" t="s">
        <v>853</v>
      </c>
      <c r="B61" s="3419" t="s">
        <v>1017</v>
      </c>
      <c r="C61" s="3419">
        <v>21330</v>
      </c>
      <c r="D61" s="3419">
        <v>18640</v>
      </c>
      <c r="E61" s="3419">
        <v>21190</v>
      </c>
      <c r="F61" s="3425">
        <v>4180</v>
      </c>
      <c r="G61" s="3427">
        <v>12650</v>
      </c>
      <c r="I61" s="1022"/>
      <c r="O61" s="3428" t="s">
        <v>2887</v>
      </c>
    </row>
    <row r="62" spans="1:18" ht="14.25" customHeight="1">
      <c r="A62" s="3419" t="s">
        <v>853</v>
      </c>
      <c r="B62" s="3419" t="s">
        <v>1024</v>
      </c>
      <c r="C62" s="3419">
        <v>18710</v>
      </c>
      <c r="D62" s="3419">
        <v>19400</v>
      </c>
      <c r="E62" s="3419">
        <v>23750</v>
      </c>
      <c r="F62" s="3425">
        <v>4860</v>
      </c>
      <c r="G62" s="3427">
        <v>13170</v>
      </c>
      <c r="I62" s="1022"/>
      <c r="O62" s="3428" t="s">
        <v>2888</v>
      </c>
    </row>
    <row r="63" spans="1:18" ht="14.25" customHeight="1">
      <c r="A63" s="3419" t="s">
        <v>853</v>
      </c>
      <c r="B63" s="3419" t="s">
        <v>1034</v>
      </c>
      <c r="C63" s="3419">
        <v>19480</v>
      </c>
      <c r="D63" s="3419">
        <v>16830</v>
      </c>
      <c r="E63" s="3419">
        <v>21590</v>
      </c>
      <c r="F63" s="3425">
        <v>4560</v>
      </c>
      <c r="G63" s="3427">
        <v>11420</v>
      </c>
      <c r="I63" s="1022"/>
      <c r="O63" s="3428" t="s">
        <v>2889</v>
      </c>
    </row>
    <row r="64" spans="1:18" ht="14.25" customHeight="1">
      <c r="A64" s="3419" t="s">
        <v>853</v>
      </c>
      <c r="B64" s="3419" t="s">
        <v>1043</v>
      </c>
      <c r="C64" s="3419">
        <v>16920</v>
      </c>
      <c r="D64" s="3419">
        <v>19190</v>
      </c>
      <c r="E64" s="3419">
        <v>22200</v>
      </c>
      <c r="F64" s="3425">
        <v>4390</v>
      </c>
      <c r="G64" s="3427">
        <v>13030</v>
      </c>
      <c r="I64" s="1022"/>
      <c r="O64" s="3428" t="s">
        <v>2890</v>
      </c>
    </row>
    <row r="65" spans="1:21" s="1009" customFormat="1" ht="14.25" customHeight="1">
      <c r="A65" s="3419" t="s">
        <v>853</v>
      </c>
      <c r="B65" s="3419" t="s">
        <v>1050</v>
      </c>
      <c r="C65" s="3419">
        <v>19290</v>
      </c>
      <c r="D65" s="3419">
        <v>17020</v>
      </c>
      <c r="E65" s="3419">
        <v>19880</v>
      </c>
      <c r="F65" s="3425">
        <v>4070</v>
      </c>
      <c r="G65" s="3425">
        <v>11550</v>
      </c>
      <c r="I65" s="1022"/>
      <c r="J65" s="3455"/>
      <c r="K65" s="3455"/>
      <c r="L65" s="3455"/>
      <c r="M65" s="3455"/>
      <c r="N65" s="3455"/>
      <c r="O65" s="3455"/>
      <c r="P65" s="3455"/>
      <c r="Q65" s="3455"/>
      <c r="R65" s="3455"/>
      <c r="S65" s="3455"/>
      <c r="T65" s="3455"/>
      <c r="U65" s="3455"/>
    </row>
    <row r="66" spans="1:21" s="1009" customFormat="1" ht="14.25" customHeight="1">
      <c r="A66" s="3419" t="s">
        <v>853</v>
      </c>
      <c r="B66" s="3419" t="s">
        <v>1057</v>
      </c>
      <c r="C66" s="3419">
        <v>17090</v>
      </c>
      <c r="D66" s="3419">
        <v>18340</v>
      </c>
      <c r="E66" s="3419">
        <v>21830</v>
      </c>
      <c r="F66" s="3425">
        <v>4690</v>
      </c>
      <c r="G66" s="3425">
        <v>12450</v>
      </c>
      <c r="I66" s="1022"/>
      <c r="J66" s="3455"/>
      <c r="K66" s="3455"/>
      <c r="L66" s="3455"/>
      <c r="M66" s="3455"/>
      <c r="N66" s="3455"/>
      <c r="O66" s="3455"/>
      <c r="P66" s="3455"/>
      <c r="Q66" s="3455"/>
      <c r="R66" s="3455"/>
      <c r="S66" s="3455"/>
      <c r="T66" s="3455"/>
      <c r="U66" s="3455"/>
    </row>
    <row r="67" spans="1:21" s="1009" customFormat="1" ht="14.25" customHeight="1">
      <c r="A67" s="3419" t="s">
        <v>853</v>
      </c>
      <c r="B67" s="3419" t="s">
        <v>1064</v>
      </c>
      <c r="C67" s="3419">
        <v>18420</v>
      </c>
      <c r="D67" s="3419">
        <v>16360</v>
      </c>
      <c r="E67" s="3419">
        <v>20020</v>
      </c>
      <c r="F67" s="3425">
        <v>5150</v>
      </c>
      <c r="G67" s="3425">
        <v>11110</v>
      </c>
      <c r="I67" s="1022"/>
      <c r="J67" s="3455"/>
      <c r="K67" s="3455"/>
      <c r="L67" s="3455"/>
      <c r="M67" s="3455"/>
      <c r="N67" s="3455"/>
      <c r="O67" s="3455"/>
      <c r="P67" s="3455"/>
      <c r="Q67" s="3455"/>
      <c r="R67" s="3455"/>
      <c r="S67" s="3455"/>
      <c r="T67" s="3455"/>
      <c r="U67" s="3455"/>
    </row>
    <row r="68" spans="1:21" s="1009" customFormat="1" ht="14.25" customHeight="1">
      <c r="A68" s="3419" t="s">
        <v>853</v>
      </c>
      <c r="B68" s="3419" t="s">
        <v>1072</v>
      </c>
      <c r="C68" s="3419">
        <v>16450</v>
      </c>
      <c r="D68" s="3419">
        <v>18430</v>
      </c>
      <c r="E68" s="3419">
        <v>21010</v>
      </c>
      <c r="F68" s="3425">
        <v>4720</v>
      </c>
      <c r="G68" s="3425">
        <v>12510</v>
      </c>
      <c r="I68" s="1022"/>
      <c r="J68" s="3455"/>
      <c r="K68" s="3455"/>
      <c r="L68" s="3455"/>
      <c r="M68" s="3455"/>
      <c r="N68" s="3455"/>
      <c r="O68" s="3455"/>
      <c r="P68" s="3455"/>
      <c r="Q68" s="3455"/>
      <c r="R68" s="3455"/>
      <c r="S68" s="3455"/>
      <c r="T68" s="3455"/>
      <c r="U68" s="3455"/>
    </row>
    <row r="69" spans="1:21" s="1009" customFormat="1" ht="14.25" customHeight="1">
      <c r="A69" s="3419" t="s">
        <v>853</v>
      </c>
      <c r="B69" s="3419" t="s">
        <v>1080</v>
      </c>
      <c r="C69" s="3419">
        <v>18510</v>
      </c>
      <c r="D69" s="3419">
        <v>16300</v>
      </c>
      <c r="E69" s="3419">
        <v>18830</v>
      </c>
      <c r="F69" s="3425">
        <v>5400</v>
      </c>
      <c r="G69" s="3425">
        <v>11070</v>
      </c>
      <c r="I69" s="1022"/>
      <c r="J69" s="3455"/>
      <c r="K69" s="3455"/>
      <c r="L69" s="3455"/>
      <c r="M69" s="3455"/>
      <c r="N69" s="3455"/>
      <c r="O69" s="3455"/>
      <c r="P69" s="3455"/>
      <c r="Q69" s="3455"/>
      <c r="R69" s="3455"/>
      <c r="S69" s="3455"/>
      <c r="T69" s="3455"/>
      <c r="U69" s="3455"/>
    </row>
    <row r="70" spans="1:21" s="1009" customFormat="1" ht="14.25" customHeight="1">
      <c r="A70" s="3419" t="s">
        <v>853</v>
      </c>
      <c r="B70" s="3419" t="s">
        <v>1085</v>
      </c>
      <c r="C70" s="3419">
        <v>16370</v>
      </c>
      <c r="D70" s="3419">
        <v>18620</v>
      </c>
      <c r="E70" s="3419">
        <v>21100</v>
      </c>
      <c r="F70" s="3425">
        <v>5700</v>
      </c>
      <c r="G70" s="3425">
        <v>12640</v>
      </c>
      <c r="I70" s="1022"/>
      <c r="J70" s="3455"/>
      <c r="K70" s="3455"/>
      <c r="L70" s="3455"/>
      <c r="M70" s="3455"/>
      <c r="N70" s="3455"/>
      <c r="O70" s="3455"/>
      <c r="P70" s="3455"/>
      <c r="Q70" s="3455"/>
      <c r="R70" s="3455"/>
      <c r="S70" s="3455"/>
      <c r="T70" s="3455"/>
      <c r="U70" s="3455"/>
    </row>
    <row r="71" spans="1:21" s="1009" customFormat="1" ht="14.25" customHeight="1">
      <c r="A71" s="3419" t="s">
        <v>853</v>
      </c>
      <c r="B71" s="3419" t="s">
        <v>1094</v>
      </c>
      <c r="C71" s="3419">
        <v>18700</v>
      </c>
      <c r="D71" s="3419">
        <v>16290</v>
      </c>
      <c r="E71" s="3419">
        <v>18760</v>
      </c>
      <c r="F71" s="3425">
        <v>4780</v>
      </c>
      <c r="G71" s="3425">
        <v>11050</v>
      </c>
      <c r="I71" s="1022"/>
      <c r="J71" s="3455"/>
      <c r="K71" s="3455"/>
      <c r="L71" s="3455"/>
      <c r="M71" s="3455"/>
      <c r="N71" s="3455"/>
      <c r="O71" s="3455"/>
      <c r="P71" s="3455"/>
      <c r="Q71" s="3455"/>
      <c r="R71" s="3455"/>
      <c r="S71" s="3455"/>
      <c r="T71" s="3455"/>
      <c r="U71" s="3455"/>
    </row>
    <row r="72" spans="1:21" s="1009" customFormat="1" ht="14.25" customHeight="1">
      <c r="A72" s="3419" t="s">
        <v>853</v>
      </c>
      <c r="B72" s="3419" t="s">
        <v>1101</v>
      </c>
      <c r="C72" s="3419">
        <v>16340</v>
      </c>
      <c r="D72" s="3419">
        <v>17520</v>
      </c>
      <c r="E72" s="3419">
        <v>21170</v>
      </c>
      <c r="F72" s="3425"/>
      <c r="G72" s="3425">
        <v>11900</v>
      </c>
      <c r="I72" s="1022"/>
      <c r="J72" s="3455"/>
      <c r="K72" s="3455"/>
      <c r="L72" s="3455"/>
      <c r="M72" s="3455"/>
      <c r="N72" s="3455"/>
      <c r="O72" s="3455"/>
      <c r="P72" s="3455"/>
      <c r="Q72" s="3455"/>
      <c r="R72" s="3455"/>
      <c r="S72" s="3455"/>
      <c r="T72" s="3455"/>
      <c r="U72" s="3455"/>
    </row>
    <row r="73" spans="1:21" s="1009" customFormat="1" ht="14.25" customHeight="1">
      <c r="A73" s="3419" t="s">
        <v>853</v>
      </c>
      <c r="B73" s="3419" t="s">
        <v>1109</v>
      </c>
      <c r="C73" s="3419">
        <v>17610</v>
      </c>
      <c r="D73" s="3419">
        <v>18520</v>
      </c>
      <c r="E73" s="3419">
        <v>18720</v>
      </c>
      <c r="F73" s="3425"/>
      <c r="G73" s="3425">
        <v>12570</v>
      </c>
      <c r="I73" s="1022"/>
      <c r="J73" s="3455"/>
      <c r="K73" s="3455"/>
      <c r="L73" s="3455"/>
      <c r="M73" s="3455"/>
      <c r="N73" s="3455"/>
      <c r="O73" s="3455"/>
      <c r="P73" s="3455"/>
      <c r="Q73" s="3455"/>
      <c r="R73" s="3455"/>
      <c r="S73" s="3455"/>
      <c r="T73" s="3455"/>
      <c r="U73" s="3455"/>
    </row>
    <row r="74" spans="1:21" s="1009" customFormat="1" ht="14.25" customHeight="1">
      <c r="A74" s="3419" t="s">
        <v>853</v>
      </c>
      <c r="B74" s="3419" t="s">
        <v>1116</v>
      </c>
      <c r="C74" s="3419">
        <v>18600</v>
      </c>
      <c r="D74" s="3419">
        <v>16480</v>
      </c>
      <c r="E74" s="3419">
        <v>20100</v>
      </c>
      <c r="F74" s="3425"/>
      <c r="G74" s="3425">
        <v>11190</v>
      </c>
      <c r="I74" s="1022"/>
      <c r="J74" s="3455"/>
      <c r="K74" s="3455"/>
      <c r="L74" s="3455"/>
      <c r="M74" s="3455"/>
      <c r="N74" s="3455"/>
      <c r="O74" s="3455"/>
      <c r="P74" s="3455"/>
      <c r="Q74" s="3455"/>
      <c r="R74" s="3455"/>
      <c r="S74" s="3455"/>
      <c r="T74" s="3455"/>
      <c r="U74" s="3455"/>
    </row>
    <row r="75" spans="1:21" s="1009" customFormat="1" ht="14.25" customHeight="1">
      <c r="A75" s="3419" t="s">
        <v>853</v>
      </c>
      <c r="B75" s="3419" t="s">
        <v>1120</v>
      </c>
      <c r="C75" s="3419">
        <v>16570</v>
      </c>
      <c r="D75" s="3419">
        <v>17530</v>
      </c>
      <c r="E75" s="3419">
        <v>21030</v>
      </c>
      <c r="F75" s="3425"/>
      <c r="G75" s="3432">
        <v>11900</v>
      </c>
      <c r="I75" s="1022"/>
      <c r="J75" s="3455"/>
      <c r="K75" s="3455"/>
      <c r="L75" s="3455"/>
      <c r="M75" s="3455"/>
      <c r="N75" s="3455"/>
      <c r="O75" s="3455"/>
      <c r="P75" s="3455"/>
      <c r="Q75" s="3455"/>
      <c r="R75" s="3455"/>
      <c r="S75" s="3455"/>
      <c r="T75" s="3455"/>
      <c r="U75" s="3455"/>
    </row>
    <row r="76" spans="1:21" s="1009" customFormat="1" ht="14.25" customHeight="1">
      <c r="A76" s="3419" t="s">
        <v>853</v>
      </c>
      <c r="B76" s="1287" t="s">
        <v>1127</v>
      </c>
      <c r="C76" s="1287">
        <v>17610</v>
      </c>
      <c r="D76" s="1287">
        <v>20800</v>
      </c>
      <c r="E76" s="1287">
        <v>18920</v>
      </c>
      <c r="F76" s="3420"/>
      <c r="G76" s="3420">
        <v>14120</v>
      </c>
      <c r="I76" s="1022"/>
      <c r="J76" s="3455"/>
      <c r="K76" s="3455"/>
      <c r="L76" s="3455"/>
      <c r="M76" s="3455"/>
      <c r="N76" s="3455"/>
      <c r="O76" s="3455"/>
      <c r="P76" s="3455"/>
      <c r="Q76" s="3455"/>
      <c r="R76" s="3455"/>
      <c r="S76" s="3455"/>
      <c r="T76" s="3455"/>
      <c r="U76" s="3455"/>
    </row>
    <row r="77" spans="1:21" s="1009" customFormat="1" ht="14.25" customHeight="1">
      <c r="A77" s="3419" t="s">
        <v>853</v>
      </c>
      <c r="B77" s="3419" t="s">
        <v>1130</v>
      </c>
      <c r="C77" s="3419">
        <v>20890</v>
      </c>
      <c r="D77" s="3419">
        <v>19740</v>
      </c>
      <c r="E77" s="3419">
        <v>20110</v>
      </c>
      <c r="F77" s="3425"/>
      <c r="G77" s="3425">
        <v>13400</v>
      </c>
      <c r="I77" s="1022"/>
      <c r="J77" s="3455"/>
      <c r="K77" s="3455"/>
      <c r="L77" s="3455"/>
      <c r="M77" s="3455"/>
      <c r="N77" s="3455"/>
      <c r="O77" s="3455"/>
      <c r="P77" s="3455"/>
      <c r="Q77" s="3455"/>
      <c r="R77" s="3455"/>
      <c r="S77" s="3455"/>
      <c r="T77" s="3455"/>
      <c r="U77" s="3455"/>
    </row>
    <row r="78" spans="1:21" s="1009" customFormat="1" ht="14.25" customHeight="1">
      <c r="A78" s="3419" t="s">
        <v>853</v>
      </c>
      <c r="B78" s="3419" t="s">
        <v>2830</v>
      </c>
      <c r="C78" s="3419">
        <v>19820</v>
      </c>
      <c r="D78" s="3419">
        <v>19780</v>
      </c>
      <c r="E78" s="3419">
        <v>18560</v>
      </c>
      <c r="F78" s="3425"/>
      <c r="G78" s="3425">
        <v>13430</v>
      </c>
      <c r="I78" s="1022"/>
      <c r="J78" s="3455"/>
      <c r="K78" s="3455"/>
      <c r="L78" s="3455"/>
      <c r="M78" s="3455"/>
      <c r="N78" s="3455"/>
      <c r="O78" s="3455"/>
      <c r="P78" s="3455"/>
      <c r="Q78" s="3455"/>
      <c r="R78" s="3455"/>
      <c r="S78" s="3455"/>
      <c r="T78" s="3455"/>
      <c r="U78" s="3455"/>
    </row>
    <row r="79" spans="1:21" s="1009" customFormat="1" ht="14.25" customHeight="1">
      <c r="A79" s="3419" t="s">
        <v>853</v>
      </c>
      <c r="B79" s="3419" t="s">
        <v>2831</v>
      </c>
      <c r="C79" s="3419">
        <v>21660</v>
      </c>
      <c r="D79" s="3419">
        <v>18000</v>
      </c>
      <c r="E79" s="3419">
        <v>22570</v>
      </c>
      <c r="F79" s="3425"/>
      <c r="G79" s="3425">
        <v>12220</v>
      </c>
      <c r="I79" s="1022"/>
      <c r="J79" s="3455"/>
      <c r="K79" s="3455"/>
      <c r="L79" s="3455"/>
      <c r="M79" s="3455"/>
      <c r="N79" s="3455"/>
      <c r="O79" s="3455"/>
      <c r="P79" s="3455"/>
      <c r="Q79" s="3455"/>
      <c r="R79" s="3455"/>
      <c r="S79" s="3455"/>
      <c r="T79" s="3455"/>
      <c r="U79" s="3455"/>
    </row>
    <row r="80" spans="1:21" s="1009" customFormat="1" ht="14.25" customHeight="1">
      <c r="A80" s="3419" t="s">
        <v>853</v>
      </c>
      <c r="B80" s="3419" t="s">
        <v>2832</v>
      </c>
      <c r="C80" s="3419">
        <v>19850</v>
      </c>
      <c r="D80" s="3419"/>
      <c r="E80" s="3419">
        <v>21700</v>
      </c>
      <c r="F80" s="3425"/>
      <c r="G80" s="3425"/>
      <c r="I80" s="1022"/>
      <c r="J80" s="3455"/>
      <c r="K80" s="3455"/>
      <c r="L80" s="3455"/>
      <c r="M80" s="3455"/>
      <c r="N80" s="3455"/>
      <c r="O80" s="3455"/>
      <c r="P80" s="3455"/>
      <c r="Q80" s="3455"/>
      <c r="R80" s="3455"/>
      <c r="S80" s="3455"/>
      <c r="T80" s="3455"/>
      <c r="U80" s="3455"/>
    </row>
    <row r="81" spans="1:21" s="1009" customFormat="1" ht="14.25" customHeight="1">
      <c r="A81" s="3419" t="s">
        <v>853</v>
      </c>
      <c r="B81" s="3419" t="s">
        <v>2833</v>
      </c>
      <c r="C81" s="3419">
        <v>18080</v>
      </c>
      <c r="D81" s="3419"/>
      <c r="E81" s="3419">
        <v>20900</v>
      </c>
      <c r="F81" s="3425"/>
      <c r="G81" s="3425"/>
      <c r="I81" s="1022"/>
      <c r="J81" s="3455"/>
      <c r="K81" s="3455"/>
      <c r="L81" s="3455"/>
      <c r="M81" s="3455"/>
      <c r="N81" s="3455"/>
      <c r="O81" s="3455"/>
      <c r="P81" s="3455"/>
      <c r="Q81" s="3455"/>
      <c r="R81" s="3455"/>
      <c r="S81" s="3455"/>
      <c r="T81" s="3455"/>
      <c r="U81" s="3455"/>
    </row>
    <row r="82" spans="1:21" s="1009" customFormat="1" ht="14.25" customHeight="1">
      <c r="A82" s="3419" t="s">
        <v>853</v>
      </c>
      <c r="B82" s="3419" t="s">
        <v>2834</v>
      </c>
      <c r="C82" s="3419"/>
      <c r="D82" s="3419"/>
      <c r="E82" s="3419">
        <v>20840</v>
      </c>
      <c r="F82" s="3425"/>
      <c r="G82" s="3425"/>
      <c r="I82" s="1022"/>
      <c r="J82" s="3455"/>
      <c r="K82" s="3455"/>
      <c r="L82" s="3455"/>
      <c r="M82" s="3455"/>
      <c r="N82" s="3455"/>
      <c r="O82" s="3455"/>
      <c r="P82" s="3455"/>
      <c r="Q82" s="3455"/>
      <c r="R82" s="3455"/>
      <c r="S82" s="3455"/>
      <c r="T82" s="3455"/>
      <c r="U82" s="3455"/>
    </row>
    <row r="83" spans="1:21" s="1009" customFormat="1" ht="14.25" customHeight="1">
      <c r="A83" s="3419" t="s">
        <v>853</v>
      </c>
      <c r="B83" s="3419" t="s">
        <v>2835</v>
      </c>
      <c r="C83" s="3419"/>
      <c r="D83" s="3419"/>
      <c r="E83" s="3419"/>
      <c r="F83" s="3425">
        <v>4770</v>
      </c>
      <c r="G83" s="3425"/>
      <c r="I83" s="1022"/>
      <c r="J83" s="3455"/>
      <c r="K83" s="3455"/>
      <c r="L83" s="3455"/>
      <c r="M83" s="3455"/>
      <c r="N83" s="3455"/>
      <c r="O83" s="3455"/>
      <c r="P83" s="3455"/>
      <c r="Q83" s="3455"/>
      <c r="R83" s="3455"/>
      <c r="S83" s="3455"/>
      <c r="T83" s="3455"/>
      <c r="U83" s="3455"/>
    </row>
    <row r="84" spans="1:21" s="1009" customFormat="1" ht="14.25" customHeight="1">
      <c r="A84" s="3419" t="s">
        <v>853</v>
      </c>
      <c r="B84" s="3419" t="s">
        <v>2836</v>
      </c>
      <c r="C84" s="3419"/>
      <c r="D84" s="3419"/>
      <c r="E84" s="3419"/>
      <c r="F84" s="3425">
        <v>4600</v>
      </c>
      <c r="G84" s="3425"/>
      <c r="I84" s="1022"/>
      <c r="J84" s="3455"/>
      <c r="K84" s="3455"/>
      <c r="L84" s="3455"/>
      <c r="M84" s="3455"/>
      <c r="N84" s="3455"/>
      <c r="O84" s="3455"/>
      <c r="P84" s="3455"/>
      <c r="Q84" s="3455"/>
      <c r="R84" s="3455"/>
      <c r="S84" s="3455"/>
      <c r="T84" s="3455"/>
      <c r="U84" s="3455"/>
    </row>
    <row r="85" spans="1:21" s="1009" customFormat="1" ht="14.25" customHeight="1">
      <c r="A85" s="3419" t="s">
        <v>853</v>
      </c>
      <c r="B85" s="1285" t="s">
        <v>2837</v>
      </c>
      <c r="C85" s="1285"/>
      <c r="D85" s="1285"/>
      <c r="E85" s="1285"/>
      <c r="F85" s="3430">
        <v>4680</v>
      </c>
      <c r="G85" s="3430"/>
      <c r="I85" s="1022"/>
      <c r="J85" s="3455"/>
      <c r="K85" s="3455"/>
      <c r="L85" s="3455"/>
      <c r="M85" s="3455"/>
      <c r="N85" s="3455"/>
      <c r="O85" s="3455"/>
      <c r="P85" s="3455"/>
      <c r="Q85" s="3455"/>
      <c r="R85" s="3455"/>
      <c r="S85" s="3455"/>
      <c r="T85" s="3455"/>
      <c r="U85" s="3455"/>
    </row>
    <row r="86" spans="1:21" s="1009" customFormat="1" ht="14.25" customHeight="1" thickBot="1">
      <c r="A86" s="3434" t="s">
        <v>853</v>
      </c>
      <c r="B86" s="3422" t="s">
        <v>2838</v>
      </c>
      <c r="C86" s="3422">
        <v>16610</v>
      </c>
      <c r="D86" s="3422">
        <v>16540</v>
      </c>
      <c r="E86" s="3422">
        <v>18850</v>
      </c>
      <c r="F86" s="3423"/>
      <c r="G86" s="3435">
        <v>11220</v>
      </c>
      <c r="I86" s="1022"/>
      <c r="J86" s="3455"/>
      <c r="K86" s="3455"/>
      <c r="L86" s="3455"/>
      <c r="M86" s="3455"/>
      <c r="N86" s="3455"/>
      <c r="O86" s="3455"/>
      <c r="P86" s="3455"/>
      <c r="Q86" s="3455"/>
      <c r="R86" s="3455"/>
      <c r="S86" s="3455"/>
      <c r="T86" s="3455"/>
      <c r="U86" s="3455"/>
    </row>
    <row r="87" spans="1:21" s="1009" customFormat="1" ht="14.25" customHeight="1">
      <c r="A87" s="3433" t="s">
        <v>1152</v>
      </c>
      <c r="B87" s="1287" t="s">
        <v>2839</v>
      </c>
      <c r="C87" s="1287">
        <v>15240</v>
      </c>
      <c r="D87" s="1287">
        <v>15170</v>
      </c>
      <c r="E87" s="1287">
        <v>18260</v>
      </c>
      <c r="F87" s="3420">
        <v>3830</v>
      </c>
      <c r="G87" s="3436">
        <v>10020</v>
      </c>
      <c r="I87" s="1022"/>
      <c r="J87" s="3455"/>
      <c r="K87" s="3455"/>
      <c r="L87" s="3455"/>
      <c r="M87" s="3455"/>
      <c r="N87" s="3455"/>
      <c r="O87" s="3455"/>
      <c r="P87" s="3455"/>
      <c r="Q87" s="3455"/>
      <c r="R87" s="3455"/>
      <c r="S87" s="3455"/>
      <c r="T87" s="3455"/>
      <c r="U87" s="3455"/>
    </row>
    <row r="88" spans="1:21" s="1009" customFormat="1" ht="14.25" customHeight="1">
      <c r="A88" s="3419" t="s">
        <v>1152</v>
      </c>
      <c r="B88" s="3419" t="s">
        <v>976</v>
      </c>
      <c r="C88" s="3419">
        <v>17310</v>
      </c>
      <c r="D88" s="3419">
        <v>17220</v>
      </c>
      <c r="E88" s="3419">
        <v>18610</v>
      </c>
      <c r="F88" s="3425">
        <v>3990</v>
      </c>
      <c r="G88" s="3427">
        <v>11380</v>
      </c>
      <c r="I88" s="1022"/>
      <c r="J88" s="3455"/>
      <c r="K88" s="3455"/>
      <c r="L88" s="3455"/>
      <c r="M88" s="3455"/>
      <c r="N88" s="3455"/>
      <c r="O88" s="3455"/>
      <c r="P88" s="3455"/>
      <c r="Q88" s="3455"/>
      <c r="R88" s="3455"/>
      <c r="S88" s="3455"/>
      <c r="T88" s="3455"/>
      <c r="U88" s="3455"/>
    </row>
    <row r="89" spans="1:21" s="1009" customFormat="1" ht="14.25" customHeight="1">
      <c r="A89" s="3419" t="s">
        <v>1152</v>
      </c>
      <c r="B89" s="3419" t="s">
        <v>986</v>
      </c>
      <c r="C89" s="3419">
        <v>15600</v>
      </c>
      <c r="D89" s="3419">
        <v>15550</v>
      </c>
      <c r="E89" s="3419">
        <v>19200</v>
      </c>
      <c r="F89" s="3425">
        <v>4110</v>
      </c>
      <c r="G89" s="3427">
        <v>10270</v>
      </c>
      <c r="I89" s="1022"/>
      <c r="J89" s="3455"/>
      <c r="K89" s="3455"/>
      <c r="L89" s="3455"/>
      <c r="M89" s="3455"/>
      <c r="N89" s="3455"/>
      <c r="O89" s="3455"/>
      <c r="P89" s="3455"/>
      <c r="Q89" s="3455"/>
      <c r="R89" s="3455"/>
      <c r="S89" s="3455"/>
      <c r="T89" s="3455"/>
      <c r="U89" s="3455"/>
    </row>
    <row r="90" spans="1:21" s="1009" customFormat="1" ht="14.25" customHeight="1">
      <c r="A90" s="3419" t="s">
        <v>1152</v>
      </c>
      <c r="B90" s="3419" t="s">
        <v>995</v>
      </c>
      <c r="C90" s="3419">
        <v>17330</v>
      </c>
      <c r="D90" s="3419">
        <v>17240</v>
      </c>
      <c r="E90" s="3419">
        <v>18570</v>
      </c>
      <c r="F90" s="3425">
        <v>4070</v>
      </c>
      <c r="G90" s="3427">
        <v>11390</v>
      </c>
      <c r="I90" s="1022"/>
      <c r="J90" s="3455"/>
      <c r="K90" s="3455"/>
      <c r="L90" s="3455"/>
      <c r="M90" s="3455"/>
      <c r="N90" s="3455"/>
      <c r="O90" s="3455"/>
      <c r="P90" s="3455"/>
      <c r="Q90" s="3455"/>
      <c r="R90" s="3455"/>
      <c r="S90" s="3455"/>
      <c r="T90" s="3455"/>
      <c r="U90" s="3455"/>
    </row>
    <row r="91" spans="1:21" s="1009" customFormat="1" ht="14.25" customHeight="1">
      <c r="A91" s="3419" t="s">
        <v>1152</v>
      </c>
      <c r="B91" s="3419" t="s">
        <v>1005</v>
      </c>
      <c r="C91" s="3419">
        <v>16330</v>
      </c>
      <c r="D91" s="3419">
        <v>16260</v>
      </c>
      <c r="E91" s="3419">
        <v>16800</v>
      </c>
      <c r="F91" s="3425">
        <v>3410</v>
      </c>
      <c r="G91" s="3427">
        <v>10740</v>
      </c>
      <c r="I91" s="1022"/>
      <c r="J91" s="3455"/>
      <c r="K91" s="3455"/>
      <c r="L91" s="3455"/>
      <c r="M91" s="3455"/>
      <c r="N91" s="3455"/>
      <c r="O91" s="3455"/>
      <c r="P91" s="3455"/>
      <c r="Q91" s="3455"/>
      <c r="R91" s="3455"/>
      <c r="S91" s="3455"/>
      <c r="T91" s="3455"/>
      <c r="U91" s="3455"/>
    </row>
    <row r="92" spans="1:21" s="1009" customFormat="1" ht="14.25" customHeight="1">
      <c r="A92" s="3419" t="s">
        <v>1152</v>
      </c>
      <c r="B92" s="3419" t="s">
        <v>1012</v>
      </c>
      <c r="C92" s="3419">
        <v>15570</v>
      </c>
      <c r="D92" s="3419">
        <v>15500</v>
      </c>
      <c r="E92" s="3419">
        <v>17360</v>
      </c>
      <c r="F92" s="3425">
        <v>3510</v>
      </c>
      <c r="G92" s="3427">
        <v>10240</v>
      </c>
      <c r="I92" s="1022"/>
      <c r="J92" s="3455"/>
      <c r="K92" s="3455"/>
      <c r="L92" s="3455"/>
      <c r="M92" s="3455"/>
      <c r="N92" s="3455"/>
      <c r="O92" s="3455"/>
      <c r="P92" s="3455"/>
      <c r="Q92" s="3455"/>
      <c r="R92" s="3455"/>
      <c r="S92" s="3455"/>
      <c r="T92" s="3455"/>
      <c r="U92" s="3455"/>
    </row>
    <row r="93" spans="1:21" s="1009" customFormat="1" ht="14.25" customHeight="1">
      <c r="A93" s="3419" t="s">
        <v>1152</v>
      </c>
      <c r="B93" s="3419" t="s">
        <v>1018</v>
      </c>
      <c r="C93" s="3419">
        <v>14000</v>
      </c>
      <c r="D93" s="3419">
        <v>13930</v>
      </c>
      <c r="E93" s="3419">
        <v>18200</v>
      </c>
      <c r="F93" s="3425">
        <v>3640</v>
      </c>
      <c r="G93" s="3427">
        <v>9210</v>
      </c>
      <c r="I93" s="1022"/>
      <c r="J93" s="3455"/>
      <c r="K93" s="3455"/>
      <c r="L93" s="3455"/>
      <c r="M93" s="3455"/>
      <c r="N93" s="3455"/>
      <c r="O93" s="3455"/>
      <c r="P93" s="3455"/>
      <c r="Q93" s="3455"/>
      <c r="R93" s="3455"/>
      <c r="S93" s="3455"/>
      <c r="T93" s="3455"/>
      <c r="U93" s="3455"/>
    </row>
    <row r="94" spans="1:21" s="1009" customFormat="1" ht="14.25" customHeight="1">
      <c r="A94" s="3419" t="s">
        <v>1152</v>
      </c>
      <c r="B94" s="3419" t="s">
        <v>1025</v>
      </c>
      <c r="C94" s="3419">
        <v>14530</v>
      </c>
      <c r="D94" s="3419">
        <v>14470</v>
      </c>
      <c r="E94" s="3419">
        <v>18240</v>
      </c>
      <c r="F94" s="3425">
        <v>3180</v>
      </c>
      <c r="G94" s="3427">
        <v>9560</v>
      </c>
      <c r="I94" s="1022"/>
      <c r="J94" s="3455"/>
      <c r="K94" s="3455"/>
      <c r="L94" s="3455"/>
      <c r="M94" s="3455"/>
      <c r="N94" s="3455"/>
      <c r="O94" s="3455"/>
      <c r="P94" s="3455"/>
      <c r="Q94" s="3455"/>
      <c r="R94" s="3455"/>
      <c r="S94" s="3455"/>
      <c r="T94" s="3455"/>
      <c r="U94" s="3455"/>
    </row>
    <row r="95" spans="1:21" s="1009" customFormat="1" ht="14.25" customHeight="1">
      <c r="A95" s="3419" t="s">
        <v>1152</v>
      </c>
      <c r="B95" s="3419" t="s">
        <v>1035</v>
      </c>
      <c r="C95" s="3419">
        <v>17330</v>
      </c>
      <c r="D95" s="3419">
        <v>17260</v>
      </c>
      <c r="E95" s="3419">
        <v>18420</v>
      </c>
      <c r="F95" s="3425">
        <v>3060</v>
      </c>
      <c r="G95" s="3425">
        <v>11410</v>
      </c>
      <c r="I95" s="1022"/>
      <c r="J95" s="3455"/>
      <c r="K95" s="3455"/>
      <c r="L95" s="3455"/>
      <c r="M95" s="3455"/>
      <c r="N95" s="3455"/>
      <c r="O95" s="3455"/>
      <c r="P95" s="3455"/>
      <c r="Q95" s="3455"/>
      <c r="R95" s="3455"/>
      <c r="S95" s="3455"/>
      <c r="T95" s="3455"/>
      <c r="U95" s="3455"/>
    </row>
    <row r="96" spans="1:21" s="1009" customFormat="1" ht="14.25" customHeight="1">
      <c r="A96" s="3419" t="s">
        <v>1152</v>
      </c>
      <c r="B96" s="3419" t="s">
        <v>1044</v>
      </c>
      <c r="C96" s="3419">
        <v>15030</v>
      </c>
      <c r="D96" s="3419">
        <v>14970</v>
      </c>
      <c r="E96" s="3419">
        <v>17580</v>
      </c>
      <c r="F96" s="3425">
        <v>2970</v>
      </c>
      <c r="G96" s="3425">
        <v>9890</v>
      </c>
      <c r="I96" s="1022"/>
      <c r="J96" s="3455"/>
      <c r="K96" s="3455"/>
      <c r="L96" s="3455"/>
      <c r="M96" s="3455"/>
      <c r="N96" s="3455"/>
      <c r="O96" s="3455"/>
      <c r="P96" s="3455"/>
      <c r="Q96" s="3455"/>
      <c r="R96" s="3455"/>
      <c r="S96" s="3455"/>
      <c r="T96" s="3455"/>
      <c r="U96" s="3455"/>
    </row>
    <row r="97" spans="1:21" s="1009" customFormat="1" ht="14.25" customHeight="1">
      <c r="A97" s="3419" t="s">
        <v>1152</v>
      </c>
      <c r="B97" s="3419" t="s">
        <v>1051</v>
      </c>
      <c r="C97" s="3419">
        <v>17400</v>
      </c>
      <c r="D97" s="3419">
        <v>17330</v>
      </c>
      <c r="E97" s="3419">
        <v>16430</v>
      </c>
      <c r="F97" s="3425">
        <v>2950</v>
      </c>
      <c r="G97" s="3425">
        <v>11450</v>
      </c>
      <c r="I97" s="1022"/>
      <c r="J97" s="3455"/>
      <c r="K97" s="3455"/>
      <c r="L97" s="3455"/>
      <c r="M97" s="3455"/>
      <c r="N97" s="3455"/>
      <c r="O97" s="3455"/>
      <c r="P97" s="3455"/>
      <c r="Q97" s="3455"/>
      <c r="R97" s="3455"/>
      <c r="S97" s="3455"/>
      <c r="T97" s="3455"/>
      <c r="U97" s="3455"/>
    </row>
    <row r="98" spans="1:21" s="1009" customFormat="1" ht="14.25" customHeight="1">
      <c r="A98" s="3419" t="s">
        <v>1152</v>
      </c>
      <c r="B98" s="3419" t="s">
        <v>1058</v>
      </c>
      <c r="C98" s="3419">
        <v>15200</v>
      </c>
      <c r="D98" s="3419">
        <v>15120</v>
      </c>
      <c r="E98" s="3419">
        <v>17550</v>
      </c>
      <c r="F98" s="3425">
        <v>3080</v>
      </c>
      <c r="G98" s="3425">
        <v>9990</v>
      </c>
      <c r="I98" s="1022"/>
      <c r="J98" s="3455"/>
      <c r="K98" s="3455"/>
      <c r="L98" s="3455"/>
      <c r="M98" s="3455"/>
      <c r="N98" s="3455"/>
      <c r="O98" s="3455"/>
      <c r="P98" s="3455"/>
      <c r="Q98" s="3455"/>
      <c r="R98" s="3455"/>
      <c r="S98" s="3455"/>
      <c r="T98" s="3455"/>
      <c r="U98" s="3455"/>
    </row>
    <row r="99" spans="1:21" s="1009" customFormat="1" ht="14.25" customHeight="1">
      <c r="A99" s="3419" t="s">
        <v>1152</v>
      </c>
      <c r="B99" s="3419" t="s">
        <v>1065</v>
      </c>
      <c r="C99" s="3419">
        <v>17520</v>
      </c>
      <c r="D99" s="3419">
        <v>17430</v>
      </c>
      <c r="E99" s="3419">
        <v>16350</v>
      </c>
      <c r="F99" s="3425">
        <v>3260</v>
      </c>
      <c r="G99" s="3425">
        <v>11510</v>
      </c>
      <c r="I99" s="1022"/>
      <c r="J99" s="3455"/>
      <c r="K99" s="3455"/>
      <c r="L99" s="3455"/>
      <c r="M99" s="3455"/>
      <c r="N99" s="3455"/>
      <c r="O99" s="3455"/>
      <c r="P99" s="3455"/>
      <c r="Q99" s="3455"/>
      <c r="R99" s="3455"/>
      <c r="S99" s="3455"/>
      <c r="T99" s="3455"/>
      <c r="U99" s="3455"/>
    </row>
    <row r="100" spans="1:21" s="1009" customFormat="1" ht="14.25" customHeight="1">
      <c r="A100" s="3419" t="s">
        <v>1152</v>
      </c>
      <c r="B100" s="3419" t="s">
        <v>1073</v>
      </c>
      <c r="C100" s="3419">
        <v>15340</v>
      </c>
      <c r="D100" s="3419">
        <v>15260</v>
      </c>
      <c r="E100" s="3419">
        <v>15930</v>
      </c>
      <c r="F100" s="3425">
        <v>2740</v>
      </c>
      <c r="G100" s="3425">
        <v>10080</v>
      </c>
      <c r="I100" s="1022"/>
      <c r="J100" s="3455"/>
      <c r="K100" s="3455"/>
      <c r="L100" s="3455"/>
      <c r="M100" s="3455"/>
      <c r="N100" s="3455"/>
      <c r="O100" s="3455"/>
      <c r="P100" s="3455"/>
      <c r="Q100" s="3455"/>
      <c r="R100" s="3455"/>
      <c r="S100" s="3455"/>
      <c r="T100" s="3455"/>
      <c r="U100" s="3455"/>
    </row>
    <row r="101" spans="1:21" s="1009" customFormat="1" ht="14.25" customHeight="1">
      <c r="A101" s="3419" t="s">
        <v>1152</v>
      </c>
      <c r="B101" s="3419" t="s">
        <v>1081</v>
      </c>
      <c r="C101" s="3419">
        <v>14620</v>
      </c>
      <c r="D101" s="3419">
        <v>14560</v>
      </c>
      <c r="E101" s="3419">
        <v>15570</v>
      </c>
      <c r="F101" s="3425">
        <v>3500</v>
      </c>
      <c r="G101" s="3425">
        <v>9630</v>
      </c>
      <c r="I101" s="1022"/>
      <c r="J101" s="3455"/>
      <c r="K101" s="3455"/>
      <c r="L101" s="3455"/>
      <c r="M101" s="3455"/>
      <c r="N101" s="3455"/>
      <c r="O101" s="3455"/>
      <c r="P101" s="3455"/>
      <c r="Q101" s="3455"/>
      <c r="R101" s="3455"/>
      <c r="S101" s="3455"/>
      <c r="T101" s="3455"/>
      <c r="U101" s="3455"/>
    </row>
    <row r="102" spans="1:21" s="1009" customFormat="1" ht="14.25" customHeight="1">
      <c r="A102" s="3419" t="s">
        <v>1152</v>
      </c>
      <c r="B102" s="3419" t="s">
        <v>1086</v>
      </c>
      <c r="C102" s="3419">
        <v>13680</v>
      </c>
      <c r="D102" s="3419">
        <v>13610</v>
      </c>
      <c r="E102" s="3419">
        <v>15690</v>
      </c>
      <c r="F102" s="3425">
        <v>2870</v>
      </c>
      <c r="G102" s="3425">
        <v>8990</v>
      </c>
      <c r="I102" s="1022"/>
      <c r="J102" s="3455"/>
      <c r="K102" s="3455"/>
      <c r="L102" s="3455"/>
      <c r="M102" s="3455"/>
      <c r="N102" s="3455"/>
      <c r="O102" s="3455"/>
      <c r="P102" s="3455"/>
      <c r="Q102" s="3455"/>
      <c r="R102" s="3455"/>
      <c r="S102" s="3455"/>
      <c r="T102" s="3455"/>
      <c r="U102" s="3455"/>
    </row>
    <row r="103" spans="1:21" s="1009" customFormat="1" ht="14.25" customHeight="1">
      <c r="A103" s="3419" t="s">
        <v>1152</v>
      </c>
      <c r="B103" s="3419" t="s">
        <v>1095</v>
      </c>
      <c r="C103" s="3419">
        <v>14620</v>
      </c>
      <c r="D103" s="3419">
        <v>14540</v>
      </c>
      <c r="E103" s="3419">
        <v>15240</v>
      </c>
      <c r="F103" s="3425">
        <v>2840</v>
      </c>
      <c r="G103" s="3425">
        <v>9610</v>
      </c>
      <c r="I103" s="1022"/>
      <c r="J103" s="3455"/>
      <c r="K103" s="3455"/>
      <c r="L103" s="3455"/>
      <c r="M103" s="3455"/>
      <c r="N103" s="3455"/>
      <c r="O103" s="3455"/>
      <c r="P103" s="3455"/>
      <c r="Q103" s="3455"/>
      <c r="R103" s="3455"/>
      <c r="S103" s="3455"/>
      <c r="T103" s="3455"/>
      <c r="U103" s="3455"/>
    </row>
    <row r="104" spans="1:21" s="1009" customFormat="1" ht="14.25" customHeight="1">
      <c r="A104" s="3419" t="s">
        <v>1152</v>
      </c>
      <c r="B104" s="3419" t="s">
        <v>1102</v>
      </c>
      <c r="C104" s="3419">
        <v>13610</v>
      </c>
      <c r="D104" s="3419">
        <v>13540</v>
      </c>
      <c r="E104" s="3419">
        <v>15750</v>
      </c>
      <c r="F104" s="3425">
        <v>2770</v>
      </c>
      <c r="G104" s="3425">
        <v>8940</v>
      </c>
      <c r="I104" s="1022"/>
      <c r="J104" s="3455"/>
      <c r="K104" s="3455"/>
      <c r="L104" s="3455"/>
      <c r="M104" s="3455"/>
      <c r="N104" s="3455"/>
      <c r="O104" s="3455"/>
      <c r="P104" s="3455"/>
      <c r="Q104" s="3455"/>
      <c r="R104" s="3455"/>
      <c r="S104" s="3455"/>
      <c r="T104" s="3455"/>
      <c r="U104" s="3455"/>
    </row>
    <row r="105" spans="1:21" s="1009" customFormat="1" ht="14.25" customHeight="1">
      <c r="A105" s="3419" t="s">
        <v>1152</v>
      </c>
      <c r="B105" s="3419" t="s">
        <v>1110</v>
      </c>
      <c r="C105" s="3419">
        <v>13310</v>
      </c>
      <c r="D105" s="3419">
        <v>13240</v>
      </c>
      <c r="E105" s="3419">
        <v>16280</v>
      </c>
      <c r="F105" s="3425">
        <v>3210</v>
      </c>
      <c r="G105" s="3425">
        <v>8750</v>
      </c>
      <c r="I105" s="1022"/>
      <c r="J105" s="3455"/>
      <c r="K105" s="3455"/>
      <c r="L105" s="3455"/>
      <c r="M105" s="3455"/>
      <c r="N105" s="3455"/>
      <c r="O105" s="3455"/>
      <c r="P105" s="3455"/>
      <c r="Q105" s="3455"/>
      <c r="R105" s="3455"/>
      <c r="S105" s="3455"/>
      <c r="T105" s="3455"/>
      <c r="U105" s="3455"/>
    </row>
    <row r="106" spans="1:21" s="1009" customFormat="1" ht="14.25" customHeight="1">
      <c r="A106" s="3419" t="s">
        <v>1152</v>
      </c>
      <c r="B106" s="3419" t="s">
        <v>1117</v>
      </c>
      <c r="C106" s="3419">
        <v>13010</v>
      </c>
      <c r="D106" s="3419">
        <v>12930</v>
      </c>
      <c r="E106" s="3419">
        <v>14960</v>
      </c>
      <c r="F106" s="3425">
        <v>3530</v>
      </c>
      <c r="G106" s="3425">
        <v>8550</v>
      </c>
      <c r="I106" s="1022"/>
      <c r="J106" s="3455"/>
      <c r="K106" s="3455"/>
      <c r="L106" s="3455"/>
      <c r="M106" s="3455"/>
      <c r="N106" s="3455"/>
      <c r="O106" s="3455"/>
      <c r="P106" s="3455"/>
      <c r="Q106" s="3455"/>
      <c r="R106" s="3455"/>
      <c r="S106" s="3455"/>
      <c r="T106" s="3455"/>
      <c r="U106" s="3455"/>
    </row>
    <row r="107" spans="1:21" s="1009" customFormat="1" ht="14.25" customHeight="1">
      <c r="A107" s="3419" t="s">
        <v>1152</v>
      </c>
      <c r="B107" s="3419" t="s">
        <v>1121</v>
      </c>
      <c r="C107" s="3419">
        <v>13070</v>
      </c>
      <c r="D107" s="3419">
        <v>13000</v>
      </c>
      <c r="E107" s="3419">
        <v>15910</v>
      </c>
      <c r="F107" s="3425">
        <v>3990</v>
      </c>
      <c r="G107" s="3425">
        <v>8580</v>
      </c>
      <c r="I107" s="1022"/>
      <c r="J107" s="3455"/>
      <c r="K107" s="3455"/>
      <c r="L107" s="3455"/>
      <c r="M107" s="3455"/>
      <c r="N107" s="3455"/>
      <c r="O107" s="3455"/>
      <c r="P107" s="3455"/>
      <c r="Q107" s="3455"/>
      <c r="R107" s="3455"/>
      <c r="S107" s="3455"/>
      <c r="T107" s="3455"/>
      <c r="U107" s="3455"/>
    </row>
    <row r="108" spans="1:21" s="1009" customFormat="1" ht="14.25" customHeight="1">
      <c r="A108" s="3419" t="s">
        <v>1152</v>
      </c>
      <c r="B108" s="3419" t="s">
        <v>1128</v>
      </c>
      <c r="C108" s="3419">
        <v>12640</v>
      </c>
      <c r="D108" s="3419">
        <v>12580</v>
      </c>
      <c r="E108" s="3419">
        <v>15730</v>
      </c>
      <c r="F108" s="3425"/>
      <c r="G108" s="3425">
        <v>8310</v>
      </c>
      <c r="I108" s="1022"/>
      <c r="J108" s="3455"/>
      <c r="K108" s="3455"/>
      <c r="L108" s="3455"/>
      <c r="M108" s="3455"/>
      <c r="N108" s="3455"/>
      <c r="O108" s="3455"/>
      <c r="P108" s="3455"/>
      <c r="Q108" s="3455"/>
      <c r="R108" s="3455"/>
      <c r="S108" s="3455"/>
      <c r="T108" s="3455"/>
      <c r="U108" s="3455"/>
    </row>
    <row r="109" spans="1:21" s="1009" customFormat="1" ht="14.25" customHeight="1">
      <c r="A109" s="3419" t="s">
        <v>1152</v>
      </c>
      <c r="B109" s="3419" t="s">
        <v>1131</v>
      </c>
      <c r="C109" s="3419">
        <v>13130</v>
      </c>
      <c r="D109" s="3419">
        <v>13070</v>
      </c>
      <c r="E109" s="3419">
        <v>15000</v>
      </c>
      <c r="F109" s="3425"/>
      <c r="G109" s="3432">
        <v>8630</v>
      </c>
      <c r="I109" s="1022"/>
      <c r="J109" s="3455"/>
      <c r="K109" s="3455"/>
      <c r="L109" s="3455"/>
      <c r="M109" s="3455"/>
      <c r="N109" s="3455"/>
      <c r="O109" s="3455"/>
      <c r="P109" s="3455"/>
      <c r="Q109" s="3455"/>
      <c r="R109" s="3455"/>
      <c r="S109" s="3455"/>
      <c r="T109" s="3455"/>
      <c r="U109" s="3455"/>
    </row>
    <row r="110" spans="1:21" s="1009" customFormat="1" ht="14.25" customHeight="1">
      <c r="A110" s="3419" t="s">
        <v>1152</v>
      </c>
      <c r="B110" s="1287" t="s">
        <v>1133</v>
      </c>
      <c r="C110" s="1287">
        <v>13560</v>
      </c>
      <c r="D110" s="1287">
        <v>13490</v>
      </c>
      <c r="E110" s="1287">
        <v>16300</v>
      </c>
      <c r="F110" s="3420"/>
      <c r="G110" s="3420">
        <v>8920</v>
      </c>
      <c r="I110" s="1022"/>
      <c r="J110" s="3455"/>
      <c r="K110" s="3455"/>
      <c r="L110" s="3455"/>
      <c r="M110" s="3455"/>
      <c r="N110" s="3455"/>
      <c r="O110" s="3455"/>
      <c r="P110" s="3455"/>
      <c r="Q110" s="3455"/>
      <c r="R110" s="3455"/>
      <c r="S110" s="3455"/>
      <c r="T110" s="3455"/>
      <c r="U110" s="3455"/>
    </row>
    <row r="111" spans="1:21" s="1009" customFormat="1" ht="14.25" customHeight="1">
      <c r="A111" s="3419" t="s">
        <v>1152</v>
      </c>
      <c r="B111" s="3419" t="s">
        <v>1136</v>
      </c>
      <c r="C111" s="3419">
        <v>12440</v>
      </c>
      <c r="D111" s="3419">
        <v>12380</v>
      </c>
      <c r="E111" s="3419">
        <v>17850</v>
      </c>
      <c r="F111" s="3425"/>
      <c r="G111" s="3425">
        <v>8180</v>
      </c>
      <c r="I111" s="1022"/>
      <c r="J111" s="3455"/>
      <c r="K111" s="3455"/>
      <c r="L111" s="3455"/>
      <c r="M111" s="3455"/>
      <c r="N111" s="3455"/>
      <c r="O111" s="3455"/>
      <c r="P111" s="3455"/>
      <c r="Q111" s="3455"/>
      <c r="R111" s="3455"/>
      <c r="S111" s="3455"/>
      <c r="T111" s="3455"/>
      <c r="U111" s="3455"/>
    </row>
    <row r="112" spans="1:21" s="1009" customFormat="1" ht="14.25" customHeight="1">
      <c r="A112" s="3419" t="s">
        <v>1152</v>
      </c>
      <c r="B112" s="3419" t="s">
        <v>1140</v>
      </c>
      <c r="C112" s="3419">
        <v>13260</v>
      </c>
      <c r="D112" s="3419">
        <v>13180</v>
      </c>
      <c r="E112" s="3419">
        <v>19740</v>
      </c>
      <c r="F112" s="3425"/>
      <c r="G112" s="3425">
        <v>8710</v>
      </c>
      <c r="I112" s="1022"/>
      <c r="J112" s="3455"/>
      <c r="K112" s="3455"/>
      <c r="L112" s="3455"/>
      <c r="M112" s="3455"/>
      <c r="N112" s="3455"/>
      <c r="O112" s="3455"/>
      <c r="P112" s="3455"/>
      <c r="Q112" s="3455"/>
      <c r="R112" s="3455"/>
      <c r="S112" s="3455"/>
      <c r="T112" s="3455"/>
      <c r="U112" s="3455"/>
    </row>
    <row r="113" spans="1:21" s="1009" customFormat="1" ht="14.25" customHeight="1">
      <c r="A113" s="3419" t="s">
        <v>1152</v>
      </c>
      <c r="B113" s="3419" t="s">
        <v>2840</v>
      </c>
      <c r="C113" s="3419">
        <v>15520</v>
      </c>
      <c r="D113" s="3419">
        <v>15450</v>
      </c>
      <c r="E113" s="3419"/>
      <c r="F113" s="3425"/>
      <c r="G113" s="3425">
        <v>10210</v>
      </c>
      <c r="I113" s="1022"/>
      <c r="J113" s="3455"/>
      <c r="K113" s="3455"/>
      <c r="L113" s="3455"/>
      <c r="M113" s="3455"/>
      <c r="N113" s="3455"/>
      <c r="O113" s="3455"/>
      <c r="P113" s="3455"/>
      <c r="Q113" s="3455"/>
      <c r="R113" s="3455"/>
      <c r="S113" s="3455"/>
      <c r="T113" s="3455"/>
      <c r="U113" s="3455"/>
    </row>
    <row r="114" spans="1:21" s="1009" customFormat="1" ht="14.25" customHeight="1">
      <c r="A114" s="3419" t="s">
        <v>1152</v>
      </c>
      <c r="B114" s="3419" t="s">
        <v>2841</v>
      </c>
      <c r="C114" s="3419">
        <v>13110</v>
      </c>
      <c r="D114" s="3419">
        <v>13050</v>
      </c>
      <c r="E114" s="3419"/>
      <c r="F114" s="3425"/>
      <c r="G114" s="3425">
        <v>8620</v>
      </c>
      <c r="I114" s="1022"/>
      <c r="J114" s="3455"/>
      <c r="K114" s="3455"/>
      <c r="L114" s="3455"/>
      <c r="M114" s="3455"/>
      <c r="N114" s="3455"/>
      <c r="O114" s="3455"/>
      <c r="P114" s="3455"/>
      <c r="Q114" s="3455"/>
      <c r="R114" s="3455"/>
      <c r="S114" s="3455"/>
      <c r="T114" s="3455"/>
      <c r="U114" s="3455"/>
    </row>
    <row r="115" spans="1:21" s="1009" customFormat="1" ht="14.25" customHeight="1">
      <c r="A115" s="3419" t="s">
        <v>1152</v>
      </c>
      <c r="B115" s="3419" t="s">
        <v>2842</v>
      </c>
      <c r="C115" s="3419">
        <v>12460</v>
      </c>
      <c r="D115" s="3419">
        <v>12390</v>
      </c>
      <c r="E115" s="3419"/>
      <c r="F115" s="3425"/>
      <c r="G115" s="3425">
        <v>8190</v>
      </c>
      <c r="I115" s="1022"/>
      <c r="J115" s="3455"/>
      <c r="K115" s="3455"/>
      <c r="L115" s="3455"/>
      <c r="M115" s="3455"/>
      <c r="N115" s="3455"/>
      <c r="O115" s="3455"/>
      <c r="P115" s="3455"/>
      <c r="Q115" s="3455"/>
      <c r="R115" s="3455"/>
      <c r="S115" s="3455"/>
      <c r="T115" s="3455"/>
      <c r="U115" s="3455"/>
    </row>
    <row r="116" spans="1:21" s="1009" customFormat="1" ht="14.25" customHeight="1">
      <c r="A116" s="3419" t="s">
        <v>1152</v>
      </c>
      <c r="B116" s="3419" t="s">
        <v>2843</v>
      </c>
      <c r="C116" s="3419">
        <v>13580</v>
      </c>
      <c r="D116" s="3419">
        <v>13520</v>
      </c>
      <c r="E116" s="3419"/>
      <c r="F116" s="3425"/>
      <c r="G116" s="3425">
        <v>8930</v>
      </c>
      <c r="I116" s="1022"/>
      <c r="J116" s="3455"/>
      <c r="K116" s="3455"/>
      <c r="L116" s="3455"/>
      <c r="M116" s="3455"/>
      <c r="N116" s="3455"/>
      <c r="O116" s="3455"/>
      <c r="P116" s="3455"/>
      <c r="Q116" s="3455"/>
      <c r="R116" s="3455"/>
      <c r="S116" s="3455"/>
      <c r="T116" s="3455"/>
      <c r="U116" s="3455"/>
    </row>
    <row r="117" spans="1:21" s="1009" customFormat="1" ht="14.25" customHeight="1">
      <c r="A117" s="3419" t="s">
        <v>1152</v>
      </c>
      <c r="B117" s="3419" t="s">
        <v>2844</v>
      </c>
      <c r="C117" s="3419">
        <v>17120</v>
      </c>
      <c r="D117" s="3419">
        <v>17040</v>
      </c>
      <c r="E117" s="3419"/>
      <c r="F117" s="3425"/>
      <c r="G117" s="3425">
        <v>11260</v>
      </c>
      <c r="I117" s="1022"/>
      <c r="J117" s="3455"/>
      <c r="K117" s="3455"/>
      <c r="L117" s="3455"/>
      <c r="M117" s="3455"/>
      <c r="N117" s="3455"/>
      <c r="O117" s="3455"/>
      <c r="P117" s="3455"/>
      <c r="Q117" s="3455"/>
      <c r="R117" s="3455"/>
      <c r="S117" s="3455"/>
      <c r="T117" s="3455"/>
      <c r="U117" s="3455"/>
    </row>
    <row r="118" spans="1:21" s="1009" customFormat="1" ht="14.25" customHeight="1">
      <c r="A118" s="3419" t="s">
        <v>1152</v>
      </c>
      <c r="B118" s="3419" t="s">
        <v>2845</v>
      </c>
      <c r="C118" s="3419">
        <v>14860</v>
      </c>
      <c r="D118" s="3419">
        <v>14790</v>
      </c>
      <c r="E118" s="3419"/>
      <c r="F118" s="3425"/>
      <c r="G118" s="3425">
        <v>9780</v>
      </c>
      <c r="I118" s="1022"/>
      <c r="J118" s="3455"/>
      <c r="K118" s="3455"/>
      <c r="L118" s="3455"/>
      <c r="M118" s="3455"/>
      <c r="N118" s="3455"/>
      <c r="O118" s="3455"/>
      <c r="P118" s="3455"/>
      <c r="Q118" s="3455"/>
      <c r="R118" s="3455"/>
      <c r="S118" s="3455"/>
      <c r="T118" s="3455"/>
      <c r="U118" s="3455"/>
    </row>
    <row r="119" spans="1:21" s="1009" customFormat="1" ht="14.25" customHeight="1">
      <c r="A119" s="3419" t="s">
        <v>1152</v>
      </c>
      <c r="B119" s="3419" t="s">
        <v>2846</v>
      </c>
      <c r="C119" s="3419">
        <v>16470</v>
      </c>
      <c r="D119" s="3419">
        <v>16400</v>
      </c>
      <c r="E119" s="3419"/>
      <c r="F119" s="3425"/>
      <c r="G119" s="3425">
        <v>10840</v>
      </c>
      <c r="I119" s="1022"/>
      <c r="J119" s="3455"/>
      <c r="K119" s="3455"/>
      <c r="L119" s="3455"/>
      <c r="M119" s="3455"/>
      <c r="N119" s="3455"/>
      <c r="O119" s="3455"/>
      <c r="P119" s="3455"/>
      <c r="Q119" s="3455"/>
      <c r="R119" s="3455"/>
      <c r="S119" s="3455"/>
      <c r="T119" s="3455"/>
      <c r="U119" s="3455"/>
    </row>
    <row r="120" spans="1:21" s="1009" customFormat="1" ht="14.25" customHeight="1">
      <c r="A120" s="3419" t="s">
        <v>1152</v>
      </c>
      <c r="B120" s="3419" t="s">
        <v>2847</v>
      </c>
      <c r="C120" s="3419"/>
      <c r="D120" s="3419"/>
      <c r="E120" s="3419"/>
      <c r="F120" s="3425">
        <v>4160</v>
      </c>
      <c r="G120" s="3425"/>
      <c r="I120" s="1022"/>
      <c r="J120" s="3455"/>
      <c r="K120" s="3455"/>
      <c r="L120" s="3455"/>
      <c r="M120" s="3455"/>
      <c r="N120" s="3455"/>
      <c r="O120" s="3455"/>
      <c r="P120" s="3455"/>
      <c r="Q120" s="3455"/>
      <c r="R120" s="3455"/>
      <c r="S120" s="3455"/>
      <c r="T120" s="3455"/>
      <c r="U120" s="3455"/>
    </row>
    <row r="121" spans="1:21" s="1009" customFormat="1" ht="14.25" customHeight="1">
      <c r="A121" s="3419" t="s">
        <v>1152</v>
      </c>
      <c r="B121" s="3419" t="s">
        <v>2848</v>
      </c>
      <c r="C121" s="3419"/>
      <c r="D121" s="3419"/>
      <c r="E121" s="3419"/>
      <c r="F121" s="3425">
        <v>3880</v>
      </c>
      <c r="G121" s="3425"/>
      <c r="I121" s="1022"/>
      <c r="J121" s="3455"/>
      <c r="K121" s="3455"/>
      <c r="L121" s="3455"/>
      <c r="M121" s="3455"/>
      <c r="N121" s="3455"/>
      <c r="O121" s="3455"/>
      <c r="P121" s="3455"/>
      <c r="Q121" s="3455"/>
      <c r="R121" s="3455"/>
      <c r="S121" s="3455"/>
      <c r="T121" s="3455"/>
      <c r="U121" s="3455"/>
    </row>
    <row r="122" spans="1:21" s="1009" customFormat="1" ht="14.25" customHeight="1">
      <c r="A122" s="3419" t="s">
        <v>1152</v>
      </c>
      <c r="B122" s="3419" t="s">
        <v>2849</v>
      </c>
      <c r="C122" s="3419">
        <v>13750</v>
      </c>
      <c r="D122" s="3419">
        <v>13680</v>
      </c>
      <c r="E122" s="3419">
        <v>16460</v>
      </c>
      <c r="F122" s="3425">
        <v>2880</v>
      </c>
      <c r="G122" s="3425">
        <v>9040</v>
      </c>
      <c r="I122" s="1022"/>
      <c r="J122" s="3455"/>
      <c r="K122" s="3455"/>
      <c r="L122" s="3455"/>
      <c r="M122" s="3455"/>
      <c r="N122" s="3455"/>
      <c r="O122" s="3455"/>
      <c r="P122" s="3455"/>
      <c r="Q122" s="3455"/>
      <c r="R122" s="3455"/>
      <c r="S122" s="3455"/>
      <c r="T122" s="3455"/>
      <c r="U122" s="3455"/>
    </row>
    <row r="123" spans="1:21" s="1009" customFormat="1" ht="14.25" customHeight="1">
      <c r="A123" s="3419" t="s">
        <v>1152</v>
      </c>
      <c r="B123" s="3419" t="s">
        <v>2850</v>
      </c>
      <c r="C123" s="3419">
        <v>13590</v>
      </c>
      <c r="D123" s="3419">
        <v>13520</v>
      </c>
      <c r="E123" s="3419">
        <v>16290</v>
      </c>
      <c r="F123" s="3425">
        <v>2790</v>
      </c>
      <c r="G123" s="3425">
        <v>8930</v>
      </c>
      <c r="I123" s="1022"/>
      <c r="J123" s="3455"/>
      <c r="K123" s="3455"/>
      <c r="L123" s="3455"/>
      <c r="M123" s="3455"/>
      <c r="N123" s="3455"/>
      <c r="O123" s="3455"/>
      <c r="P123" s="3455"/>
      <c r="Q123" s="3455"/>
      <c r="R123" s="3455"/>
      <c r="S123" s="3455"/>
      <c r="T123" s="3455"/>
      <c r="U123" s="3455"/>
    </row>
    <row r="124" spans="1:21" s="1009" customFormat="1" ht="14.25" customHeight="1">
      <c r="A124" s="3419" t="s">
        <v>1152</v>
      </c>
      <c r="B124" s="3419" t="s">
        <v>2851</v>
      </c>
      <c r="C124" s="3419">
        <v>13400</v>
      </c>
      <c r="D124" s="3419">
        <v>13320</v>
      </c>
      <c r="E124" s="3419">
        <v>16100</v>
      </c>
      <c r="F124" s="3425">
        <v>2320</v>
      </c>
      <c r="G124" s="3427">
        <v>8800</v>
      </c>
      <c r="I124" s="1022"/>
      <c r="J124" s="3455"/>
      <c r="K124" s="3455"/>
      <c r="L124" s="3455"/>
      <c r="M124" s="3455"/>
      <c r="N124" s="3455"/>
      <c r="O124" s="3455"/>
      <c r="P124" s="3455"/>
      <c r="Q124" s="3455"/>
      <c r="R124" s="3455"/>
      <c r="S124" s="3455"/>
      <c r="T124" s="3455"/>
      <c r="U124" s="3455"/>
    </row>
    <row r="125" spans="1:21" s="1009" customFormat="1" ht="14.25" customHeight="1">
      <c r="A125" s="3419" t="s">
        <v>1152</v>
      </c>
      <c r="B125" s="1285" t="s">
        <v>2852</v>
      </c>
      <c r="C125" s="1285">
        <v>12860</v>
      </c>
      <c r="D125" s="1285">
        <v>12790</v>
      </c>
      <c r="E125" s="1285">
        <v>15370</v>
      </c>
      <c r="F125" s="3430">
        <v>2280</v>
      </c>
      <c r="G125" s="3437">
        <v>8450</v>
      </c>
      <c r="I125" s="1022"/>
      <c r="J125" s="3455"/>
      <c r="K125" s="3455"/>
      <c r="L125" s="3455"/>
      <c r="M125" s="3455"/>
      <c r="N125" s="3455"/>
      <c r="O125" s="3455"/>
      <c r="P125" s="3455"/>
      <c r="Q125" s="3455"/>
      <c r="R125" s="3455"/>
      <c r="S125" s="3455"/>
      <c r="T125" s="3455"/>
      <c r="U125" s="3455"/>
    </row>
    <row r="126" spans="1:21" s="1009" customFormat="1" ht="14.25" customHeight="1" thickBot="1">
      <c r="A126" s="3434" t="s">
        <v>1152</v>
      </c>
      <c r="B126" s="3422" t="s">
        <v>2853</v>
      </c>
      <c r="C126" s="3422">
        <v>12960</v>
      </c>
      <c r="D126" s="3422">
        <v>12890</v>
      </c>
      <c r="E126" s="3422">
        <v>15530</v>
      </c>
      <c r="F126" s="3423">
        <v>2910</v>
      </c>
      <c r="G126" s="3438">
        <v>8520</v>
      </c>
      <c r="I126" s="1022"/>
      <c r="J126" s="3455"/>
      <c r="K126" s="3455"/>
      <c r="L126" s="3455"/>
      <c r="M126" s="3455"/>
      <c r="N126" s="3455"/>
      <c r="O126" s="3455"/>
      <c r="P126" s="3455"/>
      <c r="Q126" s="3455"/>
      <c r="R126" s="3455"/>
      <c r="S126" s="3455"/>
      <c r="T126" s="3455"/>
      <c r="U126" s="3455"/>
    </row>
    <row r="127" spans="1:21" s="1009" customFormat="1" ht="14.25" customHeight="1">
      <c r="A127" s="3433" t="s">
        <v>1153</v>
      </c>
      <c r="B127" s="1287" t="s">
        <v>2854</v>
      </c>
      <c r="C127" s="1287">
        <v>12280</v>
      </c>
      <c r="D127" s="1287">
        <v>12250</v>
      </c>
      <c r="E127" s="1287">
        <v>15130</v>
      </c>
      <c r="F127" s="3420">
        <v>2710</v>
      </c>
      <c r="G127" s="3436">
        <v>7870</v>
      </c>
      <c r="I127" s="1022"/>
      <c r="J127" s="3455"/>
      <c r="K127" s="3455"/>
      <c r="L127" s="3455"/>
      <c r="M127" s="3455"/>
      <c r="N127" s="3455"/>
      <c r="O127" s="3455"/>
      <c r="P127" s="3455"/>
      <c r="Q127" s="3455"/>
      <c r="R127" s="3455"/>
      <c r="S127" s="3455"/>
      <c r="T127" s="3455"/>
      <c r="U127" s="3455"/>
    </row>
    <row r="128" spans="1:21" s="1009" customFormat="1" ht="14.25" customHeight="1">
      <c r="A128" s="3419" t="s">
        <v>1153</v>
      </c>
      <c r="B128" s="3419" t="s">
        <v>977</v>
      </c>
      <c r="C128" s="3419">
        <v>13180</v>
      </c>
      <c r="D128" s="3419">
        <v>13150</v>
      </c>
      <c r="E128" s="3419">
        <v>16190</v>
      </c>
      <c r="F128" s="3425">
        <v>2820</v>
      </c>
      <c r="G128" s="3427">
        <v>8460</v>
      </c>
      <c r="I128" s="1022"/>
      <c r="J128" s="3455"/>
      <c r="K128" s="3455"/>
      <c r="L128" s="3455"/>
      <c r="M128" s="3455"/>
      <c r="N128" s="3455"/>
      <c r="O128" s="3455"/>
      <c r="P128" s="3455"/>
      <c r="Q128" s="3455"/>
      <c r="R128" s="3455"/>
      <c r="S128" s="3455"/>
      <c r="T128" s="3455"/>
      <c r="U128" s="3455"/>
    </row>
    <row r="129" spans="1:21" s="1009" customFormat="1" ht="14.25" customHeight="1">
      <c r="A129" s="3419" t="s">
        <v>1153</v>
      </c>
      <c r="B129" s="3419" t="s">
        <v>987</v>
      </c>
      <c r="C129" s="3419">
        <v>10950</v>
      </c>
      <c r="D129" s="3419">
        <v>10920</v>
      </c>
      <c r="E129" s="3419">
        <v>13820</v>
      </c>
      <c r="F129" s="3425">
        <v>2500</v>
      </c>
      <c r="G129" s="3427">
        <v>7020</v>
      </c>
      <c r="I129" s="1022"/>
      <c r="J129" s="3455"/>
      <c r="K129" s="3455"/>
      <c r="L129" s="3455"/>
      <c r="M129" s="3455"/>
      <c r="N129" s="3455"/>
      <c r="O129" s="3455"/>
      <c r="P129" s="3455"/>
      <c r="Q129" s="3455"/>
      <c r="R129" s="3455"/>
      <c r="S129" s="3455"/>
      <c r="T129" s="3455"/>
      <c r="U129" s="3455"/>
    </row>
    <row r="130" spans="1:21" s="1009" customFormat="1" ht="14.25" customHeight="1">
      <c r="A130" s="3419" t="s">
        <v>1153</v>
      </c>
      <c r="B130" s="3419" t="s">
        <v>996</v>
      </c>
      <c r="C130" s="3419">
        <v>10910</v>
      </c>
      <c r="D130" s="3419">
        <v>10860</v>
      </c>
      <c r="E130" s="3419">
        <v>13730</v>
      </c>
      <c r="F130" s="3425">
        <v>2760</v>
      </c>
      <c r="G130" s="3427">
        <v>6990</v>
      </c>
      <c r="I130" s="1022"/>
      <c r="J130" s="3455"/>
      <c r="K130" s="3455"/>
      <c r="L130" s="3455"/>
      <c r="M130" s="3455"/>
      <c r="N130" s="3455"/>
      <c r="O130" s="3455"/>
      <c r="P130" s="3455"/>
      <c r="Q130" s="3455"/>
      <c r="R130" s="3455"/>
      <c r="S130" s="3455"/>
      <c r="T130" s="3455"/>
      <c r="U130" s="3455"/>
    </row>
    <row r="131" spans="1:21" s="1009" customFormat="1" ht="14.25" customHeight="1">
      <c r="A131" s="3419" t="s">
        <v>1153</v>
      </c>
      <c r="B131" s="3419" t="s">
        <v>1006</v>
      </c>
      <c r="C131" s="3419">
        <v>12910</v>
      </c>
      <c r="D131" s="3419">
        <v>12870</v>
      </c>
      <c r="E131" s="3419">
        <v>15720</v>
      </c>
      <c r="F131" s="3425">
        <v>2750</v>
      </c>
      <c r="G131" s="3427">
        <v>8280</v>
      </c>
      <c r="I131" s="1022"/>
      <c r="J131" s="3455"/>
      <c r="K131" s="3455"/>
      <c r="L131" s="3455"/>
      <c r="M131" s="3455"/>
      <c r="N131" s="3455"/>
      <c r="O131" s="3455"/>
      <c r="P131" s="3455"/>
      <c r="Q131" s="3455"/>
      <c r="R131" s="3455"/>
      <c r="S131" s="3455"/>
      <c r="T131" s="3455"/>
      <c r="U131" s="3455"/>
    </row>
    <row r="132" spans="1:21" s="1009" customFormat="1" ht="14.25" customHeight="1">
      <c r="A132" s="3419" t="s">
        <v>1153</v>
      </c>
      <c r="B132" s="3419" t="s">
        <v>1013</v>
      </c>
      <c r="C132" s="3419">
        <v>11910</v>
      </c>
      <c r="D132" s="3419">
        <v>11860</v>
      </c>
      <c r="E132" s="3419">
        <v>14730</v>
      </c>
      <c r="F132" s="3425">
        <v>2360</v>
      </c>
      <c r="G132" s="3427">
        <v>7630</v>
      </c>
      <c r="I132" s="1022"/>
      <c r="J132" s="3455"/>
      <c r="K132" s="3455"/>
      <c r="L132" s="3455"/>
      <c r="M132" s="3455"/>
      <c r="N132" s="3455"/>
      <c r="O132" s="3455"/>
      <c r="P132" s="3455"/>
      <c r="Q132" s="3455"/>
      <c r="R132" s="3455"/>
      <c r="S132" s="3455"/>
      <c r="T132" s="3455"/>
      <c r="U132" s="3455"/>
    </row>
    <row r="133" spans="1:21" s="1009" customFormat="1" ht="14.25" customHeight="1">
      <c r="A133" s="3419" t="s">
        <v>1153</v>
      </c>
      <c r="B133" s="3419" t="s">
        <v>1019</v>
      </c>
      <c r="C133" s="3419">
        <v>12270</v>
      </c>
      <c r="D133" s="3419">
        <v>12210</v>
      </c>
      <c r="E133" s="3419">
        <v>15010</v>
      </c>
      <c r="F133" s="3425">
        <v>2580</v>
      </c>
      <c r="G133" s="3427">
        <v>7860</v>
      </c>
      <c r="I133" s="1022"/>
      <c r="J133" s="3455"/>
      <c r="K133" s="3455"/>
      <c r="L133" s="3455"/>
      <c r="M133" s="3455"/>
      <c r="N133" s="3455"/>
      <c r="O133" s="3455"/>
      <c r="P133" s="3455"/>
      <c r="Q133" s="3455"/>
      <c r="R133" s="3455"/>
      <c r="S133" s="3455"/>
      <c r="T133" s="3455"/>
      <c r="U133" s="3455"/>
    </row>
    <row r="134" spans="1:21" s="1009" customFormat="1" ht="14.25" customHeight="1">
      <c r="A134" s="3419" t="s">
        <v>1153</v>
      </c>
      <c r="B134" s="3419" t="s">
        <v>1026</v>
      </c>
      <c r="C134" s="3419">
        <v>10800</v>
      </c>
      <c r="D134" s="3419">
        <v>10780</v>
      </c>
      <c r="E134" s="3419">
        <v>13640</v>
      </c>
      <c r="F134" s="3425">
        <v>2110</v>
      </c>
      <c r="G134" s="3425">
        <v>6930</v>
      </c>
      <c r="I134" s="1022"/>
      <c r="J134" s="3455"/>
      <c r="K134" s="3455"/>
      <c r="L134" s="3455"/>
      <c r="M134" s="3455"/>
      <c r="N134" s="3455"/>
      <c r="O134" s="3455"/>
      <c r="P134" s="3455"/>
      <c r="Q134" s="3455"/>
      <c r="R134" s="3455"/>
      <c r="S134" s="3455"/>
      <c r="T134" s="3455"/>
      <c r="U134" s="3455"/>
    </row>
    <row r="135" spans="1:21" s="1009" customFormat="1" ht="14.25" customHeight="1">
      <c r="A135" s="3419" t="s">
        <v>1153</v>
      </c>
      <c r="B135" s="3419" t="s">
        <v>1036</v>
      </c>
      <c r="C135" s="3419">
        <v>10430</v>
      </c>
      <c r="D135" s="3419">
        <v>10390</v>
      </c>
      <c r="E135" s="3419">
        <v>13140</v>
      </c>
      <c r="F135" s="3425">
        <v>2240</v>
      </c>
      <c r="G135" s="3427">
        <v>6680</v>
      </c>
      <c r="I135" s="1022"/>
      <c r="J135" s="3455"/>
      <c r="K135" s="3455"/>
      <c r="L135" s="3455"/>
      <c r="M135" s="3455"/>
      <c r="N135" s="3455"/>
      <c r="O135" s="3455"/>
      <c r="P135" s="3455"/>
      <c r="Q135" s="3455"/>
      <c r="R135" s="3455"/>
      <c r="S135" s="3455"/>
      <c r="T135" s="3455"/>
      <c r="U135" s="3455"/>
    </row>
    <row r="136" spans="1:21" s="1009" customFormat="1" ht="14.25" customHeight="1">
      <c r="A136" s="3419" t="s">
        <v>1153</v>
      </c>
      <c r="B136" s="3419" t="s">
        <v>1045</v>
      </c>
      <c r="C136" s="3419">
        <v>11930</v>
      </c>
      <c r="D136" s="3419">
        <v>11880</v>
      </c>
      <c r="E136" s="3419">
        <v>14770</v>
      </c>
      <c r="F136" s="3425">
        <v>1970</v>
      </c>
      <c r="G136" s="3427">
        <v>7640</v>
      </c>
      <c r="I136" s="1022"/>
      <c r="J136" s="3455"/>
      <c r="K136" s="3455"/>
      <c r="L136" s="3455"/>
      <c r="M136" s="3455"/>
      <c r="N136" s="3455"/>
      <c r="O136" s="3455"/>
      <c r="P136" s="3455"/>
      <c r="Q136" s="3455"/>
      <c r="R136" s="3455"/>
      <c r="S136" s="3455"/>
      <c r="T136" s="3455"/>
      <c r="U136" s="3455"/>
    </row>
    <row r="137" spans="1:21" s="1009" customFormat="1" ht="14.25" customHeight="1">
      <c r="A137" s="3419" t="s">
        <v>1153</v>
      </c>
      <c r="B137" s="3419" t="s">
        <v>1052</v>
      </c>
      <c r="C137" s="3419">
        <v>10470</v>
      </c>
      <c r="D137" s="3419">
        <v>10430</v>
      </c>
      <c r="E137" s="3419">
        <v>13190</v>
      </c>
      <c r="F137" s="3425">
        <v>1990</v>
      </c>
      <c r="G137" s="3427">
        <v>6710</v>
      </c>
      <c r="I137" s="1022"/>
      <c r="J137" s="3455"/>
      <c r="K137" s="3455"/>
      <c r="L137" s="3455"/>
      <c r="M137" s="3455"/>
      <c r="N137" s="3455"/>
      <c r="O137" s="3455"/>
      <c r="P137" s="3455"/>
      <c r="Q137" s="3455"/>
      <c r="R137" s="3455"/>
      <c r="S137" s="3455"/>
      <c r="T137" s="3455"/>
      <c r="U137" s="3455"/>
    </row>
    <row r="138" spans="1:21" s="1009" customFormat="1" ht="14.25" customHeight="1">
      <c r="A138" s="3419" t="s">
        <v>1153</v>
      </c>
      <c r="B138" s="3419" t="s">
        <v>1059</v>
      </c>
      <c r="C138" s="3419">
        <v>10410</v>
      </c>
      <c r="D138" s="3419">
        <v>10380</v>
      </c>
      <c r="E138" s="3419">
        <v>13130</v>
      </c>
      <c r="F138" s="3425">
        <v>2030</v>
      </c>
      <c r="G138" s="3427">
        <v>6680</v>
      </c>
      <c r="I138" s="1022"/>
      <c r="J138" s="3455"/>
      <c r="K138" s="3455"/>
      <c r="L138" s="3455"/>
      <c r="M138" s="3455"/>
      <c r="N138" s="3455"/>
      <c r="O138" s="3455"/>
      <c r="P138" s="3455"/>
      <c r="Q138" s="3455"/>
      <c r="R138" s="3455"/>
      <c r="S138" s="3455"/>
      <c r="T138" s="3455"/>
      <c r="U138" s="3455"/>
    </row>
    <row r="139" spans="1:21" s="1009" customFormat="1" ht="14.25" customHeight="1">
      <c r="A139" s="3419" t="s">
        <v>1153</v>
      </c>
      <c r="B139" s="3419" t="s">
        <v>1066</v>
      </c>
      <c r="C139" s="3419">
        <v>9460</v>
      </c>
      <c r="D139" s="3419">
        <v>9410</v>
      </c>
      <c r="E139" s="3419">
        <v>12050</v>
      </c>
      <c r="F139" s="3425">
        <v>2140</v>
      </c>
      <c r="G139" s="3425">
        <v>6050</v>
      </c>
      <c r="I139" s="1022"/>
      <c r="J139" s="3455"/>
      <c r="K139" s="3455"/>
      <c r="L139" s="3455"/>
      <c r="M139" s="3455"/>
      <c r="N139" s="3455"/>
      <c r="O139" s="3455"/>
      <c r="P139" s="3455"/>
      <c r="Q139" s="3455"/>
      <c r="R139" s="3455"/>
      <c r="S139" s="3455"/>
      <c r="T139" s="3455"/>
      <c r="U139" s="3455"/>
    </row>
    <row r="140" spans="1:21" s="1009" customFormat="1" ht="14.25" customHeight="1">
      <c r="A140" s="3419" t="s">
        <v>1153</v>
      </c>
      <c r="B140" s="3419" t="s">
        <v>1074</v>
      </c>
      <c r="C140" s="3419">
        <v>11030</v>
      </c>
      <c r="D140" s="3419">
        <v>10980</v>
      </c>
      <c r="E140" s="3419">
        <v>13880</v>
      </c>
      <c r="F140" s="3425">
        <v>2210</v>
      </c>
      <c r="G140" s="3425">
        <v>7060</v>
      </c>
      <c r="I140" s="1022"/>
      <c r="J140" s="3455"/>
      <c r="K140" s="3455"/>
      <c r="L140" s="3455"/>
      <c r="M140" s="3455"/>
      <c r="N140" s="3455"/>
      <c r="O140" s="3455"/>
      <c r="P140" s="3455"/>
      <c r="Q140" s="3455"/>
      <c r="R140" s="3455"/>
      <c r="S140" s="3455"/>
      <c r="T140" s="3455"/>
      <c r="U140" s="3455"/>
    </row>
    <row r="141" spans="1:21" s="1009" customFormat="1" ht="14.25" customHeight="1">
      <c r="A141" s="3419" t="s">
        <v>1153</v>
      </c>
      <c r="B141" s="3419" t="s">
        <v>1082</v>
      </c>
      <c r="C141" s="3419">
        <v>11200</v>
      </c>
      <c r="D141" s="3419">
        <v>11150</v>
      </c>
      <c r="E141" s="3419">
        <v>14100</v>
      </c>
      <c r="F141" s="3425">
        <v>2470</v>
      </c>
      <c r="G141" s="3427">
        <v>7170</v>
      </c>
      <c r="I141" s="1022"/>
      <c r="J141" s="3455"/>
      <c r="K141" s="3455"/>
      <c r="L141" s="3455"/>
      <c r="M141" s="3455"/>
      <c r="N141" s="3455"/>
      <c r="O141" s="3455"/>
      <c r="P141" s="3455"/>
      <c r="Q141" s="3455"/>
      <c r="R141" s="3455"/>
      <c r="S141" s="3455"/>
      <c r="T141" s="3455"/>
      <c r="U141" s="3455"/>
    </row>
    <row r="142" spans="1:21" s="1009" customFormat="1" ht="14.25" customHeight="1">
      <c r="A142" s="3419" t="s">
        <v>1153</v>
      </c>
      <c r="B142" s="3419" t="s">
        <v>1087</v>
      </c>
      <c r="C142" s="3419">
        <v>10780</v>
      </c>
      <c r="D142" s="3419">
        <v>10730</v>
      </c>
      <c r="E142" s="3419">
        <v>13540</v>
      </c>
      <c r="F142" s="3425">
        <v>2280</v>
      </c>
      <c r="G142" s="3427">
        <v>6900</v>
      </c>
      <c r="I142" s="1022"/>
      <c r="J142" s="3455"/>
      <c r="K142" s="3455"/>
      <c r="L142" s="3455"/>
      <c r="M142" s="3455"/>
      <c r="N142" s="3455"/>
      <c r="O142" s="3455"/>
      <c r="P142" s="3455"/>
      <c r="Q142" s="3455"/>
      <c r="R142" s="3455"/>
      <c r="S142" s="3455"/>
      <c r="T142" s="3455"/>
      <c r="U142" s="3455"/>
    </row>
    <row r="143" spans="1:21" s="1009" customFormat="1" ht="14.25" customHeight="1">
      <c r="A143" s="3419" t="s">
        <v>1153</v>
      </c>
      <c r="B143" s="3419" t="s">
        <v>1096</v>
      </c>
      <c r="C143" s="3419">
        <v>11550</v>
      </c>
      <c r="D143" s="3419">
        <v>11490</v>
      </c>
      <c r="E143" s="3419">
        <v>14480</v>
      </c>
      <c r="F143" s="3425">
        <v>2070</v>
      </c>
      <c r="G143" s="3427">
        <v>7390</v>
      </c>
      <c r="I143" s="1022"/>
      <c r="J143" s="3455"/>
      <c r="K143" s="3455"/>
      <c r="L143" s="3455"/>
      <c r="M143" s="3455"/>
      <c r="N143" s="3455"/>
      <c r="O143" s="3455"/>
      <c r="P143" s="3455"/>
      <c r="Q143" s="3455"/>
      <c r="R143" s="3455"/>
      <c r="S143" s="3455"/>
      <c r="T143" s="3455"/>
      <c r="U143" s="3455"/>
    </row>
    <row r="144" spans="1:21" s="1009" customFormat="1" ht="14.25" customHeight="1">
      <c r="A144" s="3419" t="s">
        <v>1153</v>
      </c>
      <c r="B144" s="3419" t="s">
        <v>1103</v>
      </c>
      <c r="C144" s="3419">
        <v>10720</v>
      </c>
      <c r="D144" s="3419">
        <v>10680</v>
      </c>
      <c r="E144" s="3419">
        <v>13480</v>
      </c>
      <c r="F144" s="3425">
        <v>2440</v>
      </c>
      <c r="G144" s="3427">
        <v>6870</v>
      </c>
      <c r="I144" s="1022"/>
      <c r="J144" s="3455"/>
      <c r="K144" s="3455"/>
      <c r="L144" s="3455"/>
      <c r="M144" s="3455"/>
      <c r="N144" s="3455"/>
      <c r="O144" s="3455"/>
      <c r="P144" s="3455"/>
      <c r="Q144" s="3455"/>
      <c r="R144" s="3455"/>
      <c r="S144" s="3455"/>
      <c r="T144" s="3455"/>
      <c r="U144" s="3455"/>
    </row>
    <row r="145" spans="1:21" s="1009" customFormat="1" ht="14.25" customHeight="1">
      <c r="A145" s="3419" t="s">
        <v>1153</v>
      </c>
      <c r="B145" s="3419" t="s">
        <v>1111</v>
      </c>
      <c r="C145" s="3419">
        <v>10340</v>
      </c>
      <c r="D145" s="3419">
        <v>10290</v>
      </c>
      <c r="E145" s="3419">
        <v>12880</v>
      </c>
      <c r="F145" s="3425">
        <v>2650</v>
      </c>
      <c r="G145" s="3425">
        <v>6620</v>
      </c>
      <c r="I145" s="1022"/>
      <c r="J145" s="3455"/>
      <c r="K145" s="3455"/>
      <c r="L145" s="3455"/>
      <c r="M145" s="3455"/>
      <c r="N145" s="3455"/>
      <c r="O145" s="3455"/>
      <c r="P145" s="3455"/>
      <c r="Q145" s="3455"/>
      <c r="R145" s="3455"/>
      <c r="S145" s="3455"/>
      <c r="T145" s="3455"/>
      <c r="U145" s="3455"/>
    </row>
    <row r="146" spans="1:21" s="1009" customFormat="1" ht="14.25" customHeight="1">
      <c r="A146" s="3419" t="s">
        <v>1153</v>
      </c>
      <c r="B146" s="3419" t="s">
        <v>1118</v>
      </c>
      <c r="C146" s="3419">
        <v>11890</v>
      </c>
      <c r="D146" s="3419">
        <v>11830</v>
      </c>
      <c r="E146" s="3419">
        <v>14670</v>
      </c>
      <c r="F146" s="3425"/>
      <c r="G146" s="3425">
        <v>7610</v>
      </c>
      <c r="I146" s="1022"/>
      <c r="J146" s="3455"/>
      <c r="K146" s="3455"/>
      <c r="L146" s="3455"/>
      <c r="M146" s="3455"/>
      <c r="N146" s="3455"/>
      <c r="O146" s="3455"/>
      <c r="P146" s="3455"/>
      <c r="Q146" s="3455"/>
      <c r="R146" s="3455"/>
      <c r="S146" s="3455"/>
      <c r="T146" s="3455"/>
      <c r="U146" s="3455"/>
    </row>
    <row r="147" spans="1:21" s="1009" customFormat="1" ht="14.25" customHeight="1">
      <c r="A147" s="3419" t="s">
        <v>1153</v>
      </c>
      <c r="B147" s="3419" t="s">
        <v>1122</v>
      </c>
      <c r="C147" s="3419">
        <v>12650</v>
      </c>
      <c r="D147" s="3419">
        <v>12600</v>
      </c>
      <c r="E147" s="3419">
        <v>15440</v>
      </c>
      <c r="F147" s="3425"/>
      <c r="G147" s="3425">
        <v>8110</v>
      </c>
      <c r="I147" s="1022"/>
      <c r="J147" s="3455"/>
      <c r="K147" s="3455"/>
      <c r="L147" s="3455"/>
      <c r="M147" s="3455"/>
      <c r="N147" s="3455"/>
      <c r="O147" s="3455"/>
      <c r="P147" s="3455"/>
      <c r="Q147" s="3455"/>
      <c r="R147" s="3455"/>
      <c r="S147" s="3455"/>
      <c r="T147" s="3455"/>
      <c r="U147" s="3455"/>
    </row>
    <row r="148" spans="1:21" s="1009" customFormat="1" ht="14.25" customHeight="1">
      <c r="A148" s="3419" t="s">
        <v>1153</v>
      </c>
      <c r="B148" s="3419" t="s">
        <v>2855</v>
      </c>
      <c r="C148" s="3419">
        <v>10370</v>
      </c>
      <c r="D148" s="3419">
        <v>10310</v>
      </c>
      <c r="E148" s="3419">
        <v>12970</v>
      </c>
      <c r="F148" s="3425"/>
      <c r="G148" s="3425">
        <v>6630</v>
      </c>
      <c r="I148" s="1022"/>
      <c r="J148" s="3455"/>
      <c r="K148" s="3455"/>
      <c r="L148" s="3455"/>
      <c r="M148" s="3455"/>
      <c r="N148" s="3455"/>
      <c r="O148" s="3455"/>
      <c r="P148" s="3455"/>
      <c r="Q148" s="3455"/>
      <c r="R148" s="3455"/>
      <c r="S148" s="3455"/>
      <c r="T148" s="3455"/>
      <c r="U148" s="3455"/>
    </row>
    <row r="149" spans="1:21" s="1009" customFormat="1" ht="14.25" customHeight="1">
      <c r="A149" s="3419" t="s">
        <v>1153</v>
      </c>
      <c r="B149" s="3419" t="s">
        <v>2856</v>
      </c>
      <c r="C149" s="3419">
        <v>11600</v>
      </c>
      <c r="D149" s="3419">
        <v>11560</v>
      </c>
      <c r="E149" s="3419">
        <v>14540</v>
      </c>
      <c r="F149" s="3425">
        <v>2390</v>
      </c>
      <c r="G149" s="3425">
        <v>7430</v>
      </c>
      <c r="I149" s="1022"/>
      <c r="J149" s="3455"/>
      <c r="K149" s="3455"/>
      <c r="L149" s="3455"/>
      <c r="M149" s="3455"/>
      <c r="N149" s="3455"/>
      <c r="O149" s="3455"/>
      <c r="P149" s="3455"/>
      <c r="Q149" s="3455"/>
      <c r="R149" s="3455"/>
      <c r="S149" s="3455"/>
      <c r="T149" s="3455"/>
      <c r="U149" s="3455"/>
    </row>
    <row r="150" spans="1:21" s="1009" customFormat="1" ht="14.25" customHeight="1">
      <c r="A150" s="3419" t="s">
        <v>1153</v>
      </c>
      <c r="B150" s="3419" t="s">
        <v>1141</v>
      </c>
      <c r="C150" s="3419">
        <v>9950</v>
      </c>
      <c r="D150" s="3419">
        <v>9890</v>
      </c>
      <c r="E150" s="3419">
        <v>12590</v>
      </c>
      <c r="F150" s="3425">
        <v>1970</v>
      </c>
      <c r="G150" s="3425">
        <v>6360</v>
      </c>
      <c r="I150" s="1022"/>
      <c r="J150" s="3455"/>
      <c r="K150" s="3455"/>
      <c r="L150" s="3455"/>
      <c r="M150" s="3455"/>
      <c r="N150" s="3455"/>
      <c r="O150" s="3455"/>
      <c r="P150" s="3455"/>
      <c r="Q150" s="3455"/>
      <c r="R150" s="3455"/>
      <c r="S150" s="3455"/>
      <c r="T150" s="3455"/>
      <c r="U150" s="3455"/>
    </row>
    <row r="151" spans="1:21" s="1009" customFormat="1" ht="14.25" customHeight="1">
      <c r="A151" s="3419" t="s">
        <v>1153</v>
      </c>
      <c r="B151" s="3419" t="s">
        <v>1143</v>
      </c>
      <c r="C151" s="3419">
        <v>10700</v>
      </c>
      <c r="D151" s="3419">
        <v>10650</v>
      </c>
      <c r="E151" s="3419">
        <v>13420</v>
      </c>
      <c r="F151" s="3425">
        <v>2020</v>
      </c>
      <c r="G151" s="3425">
        <v>6850</v>
      </c>
      <c r="I151" s="1022"/>
      <c r="J151" s="3455"/>
      <c r="K151" s="3455"/>
      <c r="L151" s="3455"/>
      <c r="M151" s="3455"/>
      <c r="N151" s="3455"/>
      <c r="O151" s="3455"/>
      <c r="P151" s="3455"/>
      <c r="Q151" s="3455"/>
      <c r="R151" s="3455"/>
      <c r="S151" s="3455"/>
      <c r="T151" s="3455"/>
      <c r="U151" s="3455"/>
    </row>
    <row r="152" spans="1:21" s="1009" customFormat="1" ht="14.25" customHeight="1">
      <c r="A152" s="3419" t="s">
        <v>1153</v>
      </c>
      <c r="B152" s="3419" t="s">
        <v>1146</v>
      </c>
      <c r="C152" s="3419">
        <v>10310</v>
      </c>
      <c r="D152" s="3419">
        <v>10260</v>
      </c>
      <c r="E152" s="3419">
        <v>12820</v>
      </c>
      <c r="F152" s="3425">
        <v>1980</v>
      </c>
      <c r="G152" s="3425">
        <v>6600</v>
      </c>
      <c r="I152" s="1022"/>
      <c r="J152" s="3455"/>
      <c r="K152" s="3455"/>
      <c r="L152" s="3455"/>
      <c r="M152" s="3455"/>
      <c r="N152" s="3455"/>
      <c r="O152" s="3455"/>
      <c r="P152" s="3455"/>
      <c r="Q152" s="3455"/>
      <c r="R152" s="3455"/>
      <c r="S152" s="3455"/>
      <c r="T152" s="3455"/>
      <c r="U152" s="3455"/>
    </row>
    <row r="153" spans="1:21" s="1009" customFormat="1" ht="14.25" customHeight="1">
      <c r="A153" s="3419" t="s">
        <v>1153</v>
      </c>
      <c r="B153" s="3419" t="s">
        <v>2857</v>
      </c>
      <c r="C153" s="3419">
        <v>10880</v>
      </c>
      <c r="D153" s="3419">
        <v>10820</v>
      </c>
      <c r="E153" s="3419">
        <v>13660</v>
      </c>
      <c r="F153" s="3425">
        <v>2260</v>
      </c>
      <c r="G153" s="3425">
        <v>6970</v>
      </c>
      <c r="I153" s="1022"/>
      <c r="J153" s="3455"/>
      <c r="K153" s="3455"/>
      <c r="L153" s="3455"/>
      <c r="M153" s="3455"/>
      <c r="N153" s="3455"/>
      <c r="O153" s="3455"/>
      <c r="P153" s="3455"/>
      <c r="Q153" s="3455"/>
      <c r="R153" s="3455"/>
      <c r="S153" s="3455"/>
      <c r="T153" s="3455"/>
      <c r="U153" s="3455"/>
    </row>
    <row r="154" spans="1:21" s="1009" customFormat="1" ht="14.25" customHeight="1">
      <c r="A154" s="3419" t="s">
        <v>1153</v>
      </c>
      <c r="B154" s="3419" t="s">
        <v>2858</v>
      </c>
      <c r="C154" s="3419">
        <v>11220</v>
      </c>
      <c r="D154" s="3419">
        <v>11160</v>
      </c>
      <c r="E154" s="3419">
        <v>14130</v>
      </c>
      <c r="F154" s="3425">
        <v>2230</v>
      </c>
      <c r="G154" s="3425">
        <v>7180</v>
      </c>
      <c r="I154" s="1022"/>
      <c r="J154" s="3455"/>
      <c r="K154" s="3455"/>
      <c r="L154" s="3455"/>
      <c r="M154" s="3455"/>
      <c r="N154" s="3455"/>
      <c r="O154" s="3455"/>
      <c r="P154" s="3455"/>
      <c r="Q154" s="3455"/>
      <c r="R154" s="3455"/>
      <c r="S154" s="3455"/>
      <c r="T154" s="3455"/>
      <c r="U154" s="3455"/>
    </row>
    <row r="155" spans="1:21" s="1009" customFormat="1" ht="14.25" customHeight="1">
      <c r="A155" s="3419" t="s">
        <v>1153</v>
      </c>
      <c r="B155" s="3419" t="s">
        <v>2859</v>
      </c>
      <c r="C155" s="3419">
        <v>10430</v>
      </c>
      <c r="D155" s="3419">
        <v>10380</v>
      </c>
      <c r="E155" s="3419">
        <v>13140</v>
      </c>
      <c r="F155" s="3425">
        <v>2080</v>
      </c>
      <c r="G155" s="3425">
        <v>6650</v>
      </c>
      <c r="I155" s="1022"/>
      <c r="J155" s="3455"/>
      <c r="K155" s="3455"/>
      <c r="L155" s="3455"/>
      <c r="M155" s="3455"/>
      <c r="N155" s="3455"/>
      <c r="O155" s="3455"/>
      <c r="P155" s="3455"/>
      <c r="Q155" s="3455"/>
      <c r="R155" s="3455"/>
      <c r="S155" s="3455"/>
      <c r="T155" s="3455"/>
      <c r="U155" s="3455"/>
    </row>
    <row r="156" spans="1:21" s="1009" customFormat="1" ht="14.25" customHeight="1">
      <c r="A156" s="3419" t="s">
        <v>1153</v>
      </c>
      <c r="B156" s="3419" t="s">
        <v>2860</v>
      </c>
      <c r="C156" s="3419">
        <v>10440</v>
      </c>
      <c r="D156" s="3419">
        <v>10400</v>
      </c>
      <c r="E156" s="3419">
        <v>13150</v>
      </c>
      <c r="F156" s="3425">
        <v>2490</v>
      </c>
      <c r="G156" s="3425">
        <v>6690</v>
      </c>
      <c r="I156" s="1022"/>
      <c r="J156" s="3455"/>
      <c r="K156" s="3455"/>
      <c r="L156" s="3455"/>
      <c r="M156" s="3455"/>
      <c r="N156" s="3455"/>
      <c r="O156" s="3455"/>
      <c r="P156" s="3455"/>
      <c r="Q156" s="3455"/>
      <c r="R156" s="3455"/>
      <c r="S156" s="3455"/>
      <c r="T156" s="3455"/>
      <c r="U156" s="3455"/>
    </row>
    <row r="157" spans="1:21" s="1009" customFormat="1" ht="14.25" customHeight="1">
      <c r="A157" s="3419" t="s">
        <v>1153</v>
      </c>
      <c r="B157" s="3419" t="s">
        <v>1149</v>
      </c>
      <c r="C157" s="3419">
        <v>10970</v>
      </c>
      <c r="D157" s="3419">
        <v>10920</v>
      </c>
      <c r="E157" s="3419">
        <v>13840</v>
      </c>
      <c r="F157" s="3425">
        <v>2420</v>
      </c>
      <c r="G157" s="3432">
        <v>7020</v>
      </c>
      <c r="I157" s="1022"/>
      <c r="J157" s="3455"/>
      <c r="K157" s="3455"/>
      <c r="L157" s="3455"/>
      <c r="M157" s="3455"/>
      <c r="N157" s="3455"/>
      <c r="O157" s="3455"/>
      <c r="P157" s="3455"/>
      <c r="Q157" s="3455"/>
      <c r="R157" s="3455"/>
      <c r="S157" s="3455"/>
      <c r="T157" s="3455"/>
      <c r="U157" s="3455"/>
    </row>
    <row r="158" spans="1:21" s="1009" customFormat="1" ht="14.25" customHeight="1">
      <c r="A158" s="1287" t="s">
        <v>1153</v>
      </c>
      <c r="B158" s="1287" t="s">
        <v>1150</v>
      </c>
      <c r="C158" s="1287">
        <v>9590</v>
      </c>
      <c r="D158" s="1287">
        <v>9540</v>
      </c>
      <c r="E158" s="1287">
        <v>12210</v>
      </c>
      <c r="F158" s="3420">
        <v>2100</v>
      </c>
      <c r="G158" s="3420">
        <v>6130</v>
      </c>
      <c r="I158" s="1022"/>
      <c r="J158" s="3455"/>
      <c r="K158" s="3455"/>
      <c r="L158" s="3455"/>
      <c r="M158" s="3455"/>
      <c r="N158" s="3455"/>
      <c r="O158" s="3455"/>
      <c r="P158" s="3455"/>
      <c r="Q158" s="3455"/>
      <c r="R158" s="3455"/>
      <c r="S158" s="3455"/>
      <c r="T158" s="3455"/>
      <c r="U158" s="3455"/>
    </row>
    <row r="159" spans="1:21" s="1009" customFormat="1" ht="14.25" customHeight="1">
      <c r="A159" s="3419" t="s">
        <v>1153</v>
      </c>
      <c r="B159" s="3419" t="s">
        <v>1151</v>
      </c>
      <c r="C159" s="3419">
        <v>11190</v>
      </c>
      <c r="D159" s="3419">
        <v>11140</v>
      </c>
      <c r="E159" s="3419">
        <v>14090</v>
      </c>
      <c r="F159" s="3425">
        <v>2470</v>
      </c>
      <c r="G159" s="3425">
        <v>7170</v>
      </c>
      <c r="I159" s="1022"/>
      <c r="J159" s="3455"/>
      <c r="K159" s="3455"/>
      <c r="L159" s="3455"/>
      <c r="M159" s="3455"/>
      <c r="N159" s="3455"/>
      <c r="O159" s="3455"/>
      <c r="P159" s="3455"/>
      <c r="Q159" s="3455"/>
      <c r="R159" s="3455"/>
      <c r="S159" s="3455"/>
      <c r="T159" s="3455"/>
      <c r="U159" s="3455"/>
    </row>
    <row r="160" spans="1:21" s="1009" customFormat="1" ht="14.25" customHeight="1">
      <c r="A160" s="3419" t="s">
        <v>1153</v>
      </c>
      <c r="B160" s="3419" t="s">
        <v>2861</v>
      </c>
      <c r="C160" s="3419">
        <v>11180</v>
      </c>
      <c r="D160" s="3419">
        <v>11140</v>
      </c>
      <c r="E160" s="3419">
        <v>14050</v>
      </c>
      <c r="F160" s="3425">
        <v>2270</v>
      </c>
      <c r="G160" s="3425">
        <v>7170</v>
      </c>
      <c r="I160" s="1022"/>
      <c r="J160" s="3455"/>
      <c r="K160" s="3455"/>
      <c r="L160" s="3455"/>
      <c r="M160" s="3455"/>
      <c r="N160" s="3455"/>
      <c r="O160" s="3455"/>
      <c r="P160" s="3455"/>
      <c r="Q160" s="3455"/>
      <c r="R160" s="3455"/>
      <c r="S160" s="3455"/>
      <c r="T160" s="3455"/>
      <c r="U160" s="3455"/>
    </row>
    <row r="161" spans="1:21" s="1009" customFormat="1" ht="14.25" customHeight="1">
      <c r="A161" s="3419" t="s">
        <v>1153</v>
      </c>
      <c r="B161" s="3419" t="s">
        <v>2862</v>
      </c>
      <c r="C161" s="3419">
        <v>11160</v>
      </c>
      <c r="D161" s="3419">
        <v>11120</v>
      </c>
      <c r="E161" s="3419">
        <v>14020</v>
      </c>
      <c r="F161" s="3425">
        <v>2150</v>
      </c>
      <c r="G161" s="3425">
        <v>7160</v>
      </c>
      <c r="I161" s="1022"/>
      <c r="J161" s="3455"/>
      <c r="K161" s="3455"/>
      <c r="L161" s="3455"/>
      <c r="M161" s="3455"/>
      <c r="N161" s="3455"/>
      <c r="O161" s="3455"/>
      <c r="P161" s="3455"/>
      <c r="Q161" s="3455"/>
      <c r="R161" s="3455"/>
      <c r="S161" s="3455"/>
      <c r="T161" s="3455"/>
      <c r="U161" s="3455"/>
    </row>
    <row r="162" spans="1:21" s="1009" customFormat="1" ht="14.25" customHeight="1">
      <c r="A162" s="3419" t="s">
        <v>1153</v>
      </c>
      <c r="B162" s="3419" t="s">
        <v>2863</v>
      </c>
      <c r="C162" s="3419">
        <v>9620</v>
      </c>
      <c r="D162" s="3419">
        <v>9570</v>
      </c>
      <c r="E162" s="3419">
        <v>12320</v>
      </c>
      <c r="F162" s="3425">
        <v>2010</v>
      </c>
      <c r="G162" s="3425">
        <v>6160</v>
      </c>
      <c r="I162" s="1022"/>
      <c r="J162" s="3455"/>
      <c r="K162" s="3455"/>
      <c r="L162" s="3455"/>
      <c r="M162" s="3455"/>
      <c r="N162" s="3455"/>
      <c r="O162" s="3455"/>
      <c r="P162" s="3455"/>
      <c r="Q162" s="3455"/>
      <c r="R162" s="3455"/>
      <c r="S162" s="3455"/>
      <c r="T162" s="3455"/>
      <c r="U162" s="3455"/>
    </row>
    <row r="163" spans="1:21" s="1009" customFormat="1" ht="14.25" customHeight="1">
      <c r="A163" s="3419" t="s">
        <v>1153</v>
      </c>
      <c r="B163" s="3419" t="s">
        <v>2864</v>
      </c>
      <c r="C163" s="3419">
        <v>9320</v>
      </c>
      <c r="D163" s="3419">
        <v>9270</v>
      </c>
      <c r="E163" s="3419">
        <v>11790</v>
      </c>
      <c r="F163" s="3425">
        <v>1920</v>
      </c>
      <c r="G163" s="3425">
        <v>5960</v>
      </c>
      <c r="I163" s="1022"/>
      <c r="J163" s="3455"/>
      <c r="K163" s="3455"/>
      <c r="L163" s="3455"/>
      <c r="M163" s="3455"/>
      <c r="N163" s="3455"/>
      <c r="O163" s="3455"/>
      <c r="P163" s="3455"/>
      <c r="Q163" s="3455"/>
      <c r="R163" s="3455"/>
      <c r="S163" s="3455"/>
      <c r="T163" s="3455"/>
      <c r="U163" s="3455"/>
    </row>
    <row r="164" spans="1:21" s="1009" customFormat="1" ht="14.25" customHeight="1">
      <c r="A164" s="3419" t="s">
        <v>1153</v>
      </c>
      <c r="B164" s="3419" t="s">
        <v>2865</v>
      </c>
      <c r="C164" s="3419"/>
      <c r="D164" s="3419"/>
      <c r="E164" s="3419"/>
      <c r="F164" s="3425">
        <v>1980</v>
      </c>
      <c r="G164" s="3425"/>
      <c r="I164" s="1022"/>
      <c r="J164" s="3455"/>
      <c r="K164" s="3455"/>
      <c r="L164" s="3455"/>
      <c r="M164" s="3455"/>
      <c r="N164" s="3455"/>
      <c r="O164" s="3455"/>
      <c r="P164" s="3455"/>
      <c r="Q164" s="3455"/>
      <c r="R164" s="3455"/>
      <c r="S164" s="3455"/>
      <c r="T164" s="3455"/>
      <c r="U164" s="3455"/>
    </row>
    <row r="165" spans="1:21" s="1009" customFormat="1" ht="14.25" customHeight="1">
      <c r="A165" s="3419" t="s">
        <v>1153</v>
      </c>
      <c r="B165" s="3419" t="s">
        <v>2866</v>
      </c>
      <c r="C165" s="3419">
        <v>11060</v>
      </c>
      <c r="D165" s="3419">
        <v>11030</v>
      </c>
      <c r="E165" s="3419">
        <v>13850</v>
      </c>
      <c r="F165" s="3425">
        <v>2170</v>
      </c>
      <c r="G165" s="3425">
        <v>7090</v>
      </c>
      <c r="I165" s="1022"/>
      <c r="J165" s="3455"/>
      <c r="K165" s="3455"/>
      <c r="L165" s="3455"/>
      <c r="M165" s="3455"/>
      <c r="N165" s="3455"/>
      <c r="O165" s="3455"/>
      <c r="P165" s="3455"/>
      <c r="Q165" s="3455"/>
      <c r="R165" s="3455"/>
      <c r="S165" s="3455"/>
      <c r="T165" s="3455"/>
      <c r="U165" s="3455"/>
    </row>
    <row r="166" spans="1:21" s="1009" customFormat="1" ht="14.25" customHeight="1">
      <c r="A166" s="3419" t="s">
        <v>1153</v>
      </c>
      <c r="B166" s="3419" t="s">
        <v>2867</v>
      </c>
      <c r="C166" s="3419">
        <v>11050</v>
      </c>
      <c r="D166" s="3419">
        <v>11010</v>
      </c>
      <c r="E166" s="3419">
        <v>13920</v>
      </c>
      <c r="F166" s="3425">
        <v>2140</v>
      </c>
      <c r="G166" s="3425">
        <v>7080</v>
      </c>
      <c r="I166" s="1022"/>
      <c r="J166" s="3455"/>
      <c r="K166" s="3455"/>
      <c r="L166" s="3455"/>
      <c r="M166" s="3455"/>
      <c r="N166" s="3455"/>
      <c r="O166" s="3455"/>
      <c r="P166" s="3455"/>
      <c r="Q166" s="3455"/>
      <c r="R166" s="3455"/>
      <c r="S166" s="3455"/>
      <c r="T166" s="3455"/>
      <c r="U166" s="3455"/>
    </row>
    <row r="167" spans="1:21" s="1009" customFormat="1" ht="14.25" customHeight="1">
      <c r="A167" s="3419" t="s">
        <v>1153</v>
      </c>
      <c r="B167" s="3419" t="s">
        <v>2868</v>
      </c>
      <c r="C167" s="3419">
        <v>10930</v>
      </c>
      <c r="D167" s="3419">
        <v>10890</v>
      </c>
      <c r="E167" s="3419">
        <v>13790</v>
      </c>
      <c r="F167" s="3425">
        <v>2010</v>
      </c>
      <c r="G167" s="3427">
        <v>7000</v>
      </c>
      <c r="I167" s="1022"/>
      <c r="J167" s="3455"/>
      <c r="K167" s="3455"/>
      <c r="L167" s="3455"/>
      <c r="M167" s="3455"/>
      <c r="N167" s="3455"/>
      <c r="O167" s="3455"/>
      <c r="P167" s="3455"/>
      <c r="Q167" s="3455"/>
      <c r="R167" s="3455"/>
      <c r="S167" s="3455"/>
      <c r="T167" s="3455"/>
      <c r="U167" s="3455"/>
    </row>
    <row r="168" spans="1:21" s="1009" customFormat="1" ht="14.25" customHeight="1">
      <c r="A168" s="3419" t="s">
        <v>1153</v>
      </c>
      <c r="B168" s="3419" t="s">
        <v>2869</v>
      </c>
      <c r="C168" s="3419">
        <v>9420</v>
      </c>
      <c r="D168" s="3419">
        <v>9380</v>
      </c>
      <c r="E168" s="3419">
        <v>11970</v>
      </c>
      <c r="F168" s="3425"/>
      <c r="G168" s="3427">
        <v>6040</v>
      </c>
      <c r="I168" s="1022"/>
      <c r="J168" s="3455"/>
      <c r="K168" s="3455"/>
      <c r="L168" s="3455"/>
      <c r="M168" s="3455"/>
      <c r="N168" s="3455"/>
      <c r="O168" s="3455"/>
      <c r="P168" s="3455"/>
      <c r="Q168" s="3455"/>
      <c r="R168" s="3455"/>
      <c r="S168" s="3455"/>
      <c r="T168" s="3455"/>
      <c r="U168" s="3455"/>
    </row>
    <row r="169" spans="1:21" s="1009" customFormat="1" ht="14.25" customHeight="1">
      <c r="A169" s="3419" t="s">
        <v>1153</v>
      </c>
      <c r="B169" s="3419" t="s">
        <v>2870</v>
      </c>
      <c r="C169" s="3419"/>
      <c r="D169" s="3419"/>
      <c r="E169" s="3419"/>
      <c r="F169" s="3425">
        <v>2880</v>
      </c>
      <c r="G169" s="3427"/>
      <c r="I169" s="1022"/>
      <c r="J169" s="3455"/>
      <c r="K169" s="3455"/>
      <c r="L169" s="3455"/>
      <c r="M169" s="3455"/>
      <c r="N169" s="3455"/>
      <c r="O169" s="3455"/>
      <c r="P169" s="3455"/>
      <c r="Q169" s="3455"/>
      <c r="R169" s="3455"/>
      <c r="S169" s="3455"/>
      <c r="T169" s="3455"/>
      <c r="U169" s="3455"/>
    </row>
    <row r="170" spans="1:21" s="1009" customFormat="1" ht="14.25" customHeight="1">
      <c r="A170" s="3419" t="s">
        <v>1153</v>
      </c>
      <c r="B170" s="3419" t="s">
        <v>2871</v>
      </c>
      <c r="C170" s="3419"/>
      <c r="D170" s="3419"/>
      <c r="E170" s="3419"/>
      <c r="F170" s="3425">
        <v>2880</v>
      </c>
      <c r="G170" s="3427"/>
      <c r="I170" s="1022"/>
      <c r="J170" s="3455"/>
      <c r="K170" s="3455"/>
      <c r="L170" s="3455"/>
      <c r="M170" s="3455"/>
      <c r="N170" s="3455"/>
      <c r="O170" s="3455"/>
      <c r="P170" s="3455"/>
      <c r="Q170" s="3455"/>
      <c r="R170" s="3455"/>
      <c r="S170" s="3455"/>
      <c r="T170" s="3455"/>
      <c r="U170" s="3455"/>
    </row>
    <row r="171" spans="1:21" s="1009" customFormat="1" ht="14.25" customHeight="1">
      <c r="A171" s="3419" t="s">
        <v>1153</v>
      </c>
      <c r="B171" s="3419" t="s">
        <v>2872</v>
      </c>
      <c r="C171" s="3419"/>
      <c r="D171" s="3419"/>
      <c r="E171" s="3419"/>
      <c r="F171" s="3425">
        <v>2880</v>
      </c>
      <c r="G171" s="3425"/>
      <c r="I171" s="1022"/>
      <c r="J171" s="3455"/>
      <c r="K171" s="3455"/>
      <c r="L171" s="3455"/>
      <c r="M171" s="3455"/>
      <c r="N171" s="3455"/>
      <c r="O171" s="3455"/>
      <c r="P171" s="3455"/>
      <c r="Q171" s="3455"/>
      <c r="R171" s="3455"/>
      <c r="S171" s="3455"/>
      <c r="T171" s="3455"/>
      <c r="U171" s="3455"/>
    </row>
    <row r="172" spans="1:21" s="1009" customFormat="1" ht="14.25" customHeight="1">
      <c r="A172" s="3419" t="s">
        <v>1153</v>
      </c>
      <c r="B172" s="3419" t="s">
        <v>2873</v>
      </c>
      <c r="C172" s="3419"/>
      <c r="D172" s="3419"/>
      <c r="E172" s="3419"/>
      <c r="F172" s="3425">
        <v>2880</v>
      </c>
      <c r="G172" s="3427"/>
      <c r="I172" s="1022"/>
      <c r="J172" s="3455"/>
      <c r="K172" s="3455"/>
      <c r="L172" s="3455"/>
      <c r="M172" s="3455"/>
      <c r="N172" s="3455"/>
      <c r="O172" s="3455"/>
      <c r="P172" s="3455"/>
      <c r="Q172" s="3455"/>
      <c r="R172" s="3455"/>
      <c r="S172" s="3455"/>
      <c r="T172" s="3455"/>
      <c r="U172" s="3455"/>
    </row>
    <row r="173" spans="1:21" s="1009" customFormat="1" ht="14.25" customHeight="1">
      <c r="A173" s="3419" t="s">
        <v>1153</v>
      </c>
      <c r="B173" s="3419" t="s">
        <v>2874</v>
      </c>
      <c r="C173" s="3419"/>
      <c r="D173" s="3419"/>
      <c r="E173" s="3419"/>
      <c r="F173" s="3425">
        <v>2150</v>
      </c>
      <c r="G173" s="3427"/>
      <c r="I173" s="1022"/>
      <c r="J173" s="3455"/>
      <c r="K173" s="3455"/>
      <c r="L173" s="3455"/>
      <c r="M173" s="3455"/>
      <c r="N173" s="3455"/>
      <c r="O173" s="3455"/>
      <c r="P173" s="3455"/>
      <c r="Q173" s="3455"/>
      <c r="R173" s="3455"/>
      <c r="S173" s="3455"/>
      <c r="T173" s="3455"/>
      <c r="U173" s="3455"/>
    </row>
    <row r="174" spans="1:21" s="1009" customFormat="1" ht="14.25" customHeight="1">
      <c r="A174" s="3419" t="s">
        <v>1153</v>
      </c>
      <c r="B174" s="3419" t="s">
        <v>2875</v>
      </c>
      <c r="C174" s="3419"/>
      <c r="D174" s="3419"/>
      <c r="E174" s="3419"/>
      <c r="F174" s="3425">
        <v>2030</v>
      </c>
      <c r="G174" s="3425"/>
      <c r="I174" s="1022"/>
      <c r="J174" s="3455"/>
      <c r="K174" s="3455"/>
      <c r="L174" s="3455"/>
      <c r="M174" s="3455"/>
      <c r="N174" s="3455"/>
      <c r="O174" s="3455"/>
      <c r="P174" s="3455"/>
      <c r="Q174" s="3455"/>
      <c r="R174" s="3455"/>
      <c r="S174" s="3455"/>
      <c r="T174" s="3455"/>
      <c r="U174" s="3455"/>
    </row>
    <row r="175" spans="1:21" s="1009" customFormat="1" ht="14.25" customHeight="1">
      <c r="A175" s="3419" t="s">
        <v>1153</v>
      </c>
      <c r="B175" s="3419" t="s">
        <v>2876</v>
      </c>
      <c r="C175" s="3419"/>
      <c r="D175" s="3419"/>
      <c r="E175" s="3419"/>
      <c r="F175" s="3425">
        <v>2780</v>
      </c>
      <c r="G175" s="3425"/>
      <c r="I175" s="1022"/>
      <c r="J175" s="3455"/>
      <c r="K175" s="3455"/>
      <c r="L175" s="3455"/>
      <c r="M175" s="3455"/>
      <c r="N175" s="3455"/>
      <c r="O175" s="3455"/>
      <c r="P175" s="3455"/>
      <c r="Q175" s="3455"/>
      <c r="R175" s="3455"/>
      <c r="S175" s="3455"/>
      <c r="T175" s="3455"/>
      <c r="U175" s="3455"/>
    </row>
    <row r="176" spans="1:21" s="1009" customFormat="1" ht="14.25" customHeight="1">
      <c r="A176" s="3419" t="s">
        <v>1153</v>
      </c>
      <c r="B176" s="3419" t="s">
        <v>2877</v>
      </c>
      <c r="C176" s="3419"/>
      <c r="D176" s="3419"/>
      <c r="E176" s="3419"/>
      <c r="F176" s="3425">
        <v>2780</v>
      </c>
      <c r="G176" s="3425"/>
      <c r="I176" s="1022"/>
      <c r="J176" s="3455"/>
      <c r="K176" s="3455"/>
      <c r="L176" s="3455"/>
      <c r="M176" s="3455"/>
      <c r="N176" s="3455"/>
      <c r="O176" s="3455"/>
      <c r="P176" s="3455"/>
      <c r="Q176" s="3455"/>
      <c r="R176" s="3455"/>
      <c r="S176" s="3455"/>
      <c r="T176" s="3455"/>
      <c r="U176" s="3455"/>
    </row>
    <row r="177" spans="1:21" s="1009" customFormat="1" ht="14.25" customHeight="1">
      <c r="A177" s="3419" t="s">
        <v>1153</v>
      </c>
      <c r="B177" s="3419" t="s">
        <v>2878</v>
      </c>
      <c r="C177" s="3419"/>
      <c r="D177" s="3419"/>
      <c r="E177" s="3419"/>
      <c r="F177" s="3425">
        <v>2780</v>
      </c>
      <c r="G177" s="3425"/>
      <c r="I177" s="1022"/>
      <c r="J177" s="3455"/>
      <c r="K177" s="3455"/>
      <c r="L177" s="3455"/>
      <c r="M177" s="3455"/>
      <c r="N177" s="3455"/>
      <c r="O177" s="3455"/>
      <c r="P177" s="3455"/>
      <c r="Q177" s="3455"/>
      <c r="R177" s="3455"/>
      <c r="S177" s="3455"/>
      <c r="T177" s="3455"/>
      <c r="U177" s="3455"/>
    </row>
    <row r="178" spans="1:21" s="1009" customFormat="1" ht="14.25" customHeight="1">
      <c r="A178" s="3419" t="s">
        <v>1153</v>
      </c>
      <c r="B178" s="3419" t="s">
        <v>2879</v>
      </c>
      <c r="C178" s="3419"/>
      <c r="D178" s="3419"/>
      <c r="E178" s="3419"/>
      <c r="F178" s="3425">
        <v>2060</v>
      </c>
      <c r="G178" s="3425"/>
      <c r="I178" s="1022"/>
      <c r="J178" s="3455"/>
      <c r="K178" s="3455"/>
      <c r="L178" s="3455"/>
      <c r="M178" s="3455"/>
      <c r="N178" s="3455"/>
      <c r="O178" s="3455"/>
      <c r="P178" s="3455"/>
      <c r="Q178" s="3455"/>
      <c r="R178" s="3455"/>
      <c r="S178" s="3455"/>
      <c r="T178" s="3455"/>
      <c r="U178" s="3455"/>
    </row>
    <row r="179" spans="1:21" s="1009" customFormat="1" ht="14.25" customHeight="1">
      <c r="A179" s="3419" t="s">
        <v>1153</v>
      </c>
      <c r="B179" s="3419" t="s">
        <v>2880</v>
      </c>
      <c r="C179" s="3419"/>
      <c r="D179" s="3419"/>
      <c r="E179" s="3419"/>
      <c r="F179" s="3425">
        <v>2120</v>
      </c>
      <c r="G179" s="3427"/>
      <c r="I179" s="1022"/>
      <c r="J179" s="3455"/>
      <c r="K179" s="3455"/>
      <c r="L179" s="3455"/>
      <c r="M179" s="3455"/>
      <c r="N179" s="3455"/>
      <c r="O179" s="3455"/>
      <c r="P179" s="3455"/>
      <c r="Q179" s="3455"/>
      <c r="R179" s="3455"/>
      <c r="S179" s="3455"/>
      <c r="T179" s="3455"/>
      <c r="U179" s="3455"/>
    </row>
    <row r="180" spans="1:21" s="1009" customFormat="1" ht="14.25" customHeight="1">
      <c r="A180" s="3419" t="s">
        <v>1153</v>
      </c>
      <c r="B180" s="3419" t="s">
        <v>2881</v>
      </c>
      <c r="C180" s="3419"/>
      <c r="D180" s="3419"/>
      <c r="E180" s="3419"/>
      <c r="F180" s="3425">
        <v>2340</v>
      </c>
      <c r="G180" s="3425"/>
      <c r="I180" s="1022"/>
      <c r="J180" s="3455"/>
      <c r="K180" s="3455"/>
      <c r="L180" s="3455"/>
      <c r="M180" s="3455"/>
      <c r="N180" s="3455"/>
      <c r="O180" s="3455"/>
      <c r="P180" s="3455"/>
      <c r="Q180" s="3455"/>
      <c r="R180" s="3455"/>
      <c r="S180" s="3455"/>
      <c r="T180" s="3455"/>
      <c r="U180" s="3455"/>
    </row>
    <row r="181" spans="1:21" s="1009" customFormat="1" ht="14.25" customHeight="1">
      <c r="A181" s="3419" t="s">
        <v>1153</v>
      </c>
      <c r="B181" s="3419" t="s">
        <v>2882</v>
      </c>
      <c r="C181" s="3419"/>
      <c r="D181" s="3419"/>
      <c r="E181" s="3419"/>
      <c r="F181" s="3425">
        <v>2340</v>
      </c>
      <c r="G181" s="3425"/>
      <c r="I181" s="1022"/>
      <c r="J181" s="3455"/>
      <c r="K181" s="3455"/>
      <c r="L181" s="3455"/>
      <c r="M181" s="3455"/>
      <c r="N181" s="3455"/>
      <c r="O181" s="3455"/>
      <c r="P181" s="3455"/>
      <c r="Q181" s="3455"/>
      <c r="R181" s="3455"/>
      <c r="S181" s="3455"/>
      <c r="T181" s="3455"/>
      <c r="U181" s="3455"/>
    </row>
    <row r="182" spans="1:21" s="1009" customFormat="1" ht="14.25" customHeight="1">
      <c r="A182" s="3419" t="s">
        <v>1153</v>
      </c>
      <c r="B182" s="3419" t="s">
        <v>2883</v>
      </c>
      <c r="C182" s="3419"/>
      <c r="D182" s="3419"/>
      <c r="E182" s="3419"/>
      <c r="F182" s="3425">
        <v>2340</v>
      </c>
      <c r="G182" s="3425"/>
      <c r="I182" s="1022"/>
      <c r="J182" s="3455"/>
      <c r="K182" s="3455"/>
      <c r="L182" s="3455"/>
      <c r="M182" s="3455"/>
      <c r="N182" s="3455"/>
      <c r="O182" s="3455"/>
      <c r="P182" s="3455"/>
      <c r="Q182" s="3455"/>
      <c r="R182" s="3455"/>
      <c r="S182" s="3455"/>
      <c r="T182" s="3455"/>
      <c r="U182" s="3455"/>
    </row>
    <row r="183" spans="1:21" s="1009" customFormat="1" ht="14.25" customHeight="1">
      <c r="A183" s="3419" t="s">
        <v>1153</v>
      </c>
      <c r="B183" s="3419" t="s">
        <v>2884</v>
      </c>
      <c r="C183" s="3419"/>
      <c r="D183" s="3419"/>
      <c r="E183" s="3419"/>
      <c r="F183" s="3425">
        <v>2340</v>
      </c>
      <c r="G183" s="3427"/>
      <c r="I183" s="1022"/>
      <c r="J183" s="3455"/>
      <c r="K183" s="3455"/>
      <c r="L183" s="3455"/>
      <c r="M183" s="3455"/>
      <c r="N183" s="3455"/>
      <c r="O183" s="3455"/>
      <c r="P183" s="3455"/>
      <c r="Q183" s="3455"/>
      <c r="R183" s="3455"/>
      <c r="S183" s="3455"/>
      <c r="T183" s="3455"/>
      <c r="U183" s="3455"/>
    </row>
    <row r="184" spans="1:21" s="1009" customFormat="1" ht="14.25" customHeight="1">
      <c r="A184" s="3419" t="s">
        <v>1153</v>
      </c>
      <c r="B184" s="3419" t="s">
        <v>2885</v>
      </c>
      <c r="C184" s="3419"/>
      <c r="D184" s="3419"/>
      <c r="E184" s="3419"/>
      <c r="F184" s="3425">
        <v>2340</v>
      </c>
      <c r="G184" s="3427"/>
      <c r="I184" s="1022"/>
      <c r="J184" s="3455"/>
      <c r="K184" s="3455"/>
      <c r="L184" s="3455"/>
      <c r="M184" s="3455"/>
      <c r="N184" s="3455"/>
      <c r="O184" s="3455"/>
      <c r="P184" s="3455"/>
      <c r="Q184" s="3455"/>
      <c r="R184" s="3455"/>
      <c r="S184" s="3455"/>
      <c r="T184" s="3455"/>
      <c r="U184" s="3455"/>
    </row>
    <row r="185" spans="1:21" s="1009" customFormat="1" ht="14.25" customHeight="1">
      <c r="A185" s="3419" t="s">
        <v>1153</v>
      </c>
      <c r="B185" s="3419" t="s">
        <v>2886</v>
      </c>
      <c r="C185" s="3419"/>
      <c r="D185" s="3419"/>
      <c r="E185" s="3419"/>
      <c r="F185" s="3425">
        <v>2530</v>
      </c>
      <c r="G185" s="3425"/>
      <c r="I185" s="1022"/>
      <c r="J185" s="3455"/>
      <c r="K185" s="3455"/>
      <c r="L185" s="3455"/>
      <c r="M185" s="3455"/>
      <c r="N185" s="3455"/>
      <c r="O185" s="3455"/>
      <c r="P185" s="3455"/>
      <c r="Q185" s="3455"/>
      <c r="R185" s="3455"/>
      <c r="S185" s="3455"/>
      <c r="T185" s="3455"/>
      <c r="U185" s="3455"/>
    </row>
    <row r="186" spans="1:21" s="1009" customFormat="1" ht="14.25" customHeight="1">
      <c r="A186" s="3419" t="s">
        <v>1153</v>
      </c>
      <c r="B186" s="3419" t="s">
        <v>2887</v>
      </c>
      <c r="C186" s="3419"/>
      <c r="D186" s="3419"/>
      <c r="E186" s="3419"/>
      <c r="F186" s="3425">
        <v>2550</v>
      </c>
      <c r="G186" s="3425"/>
      <c r="I186" s="1022"/>
      <c r="J186" s="3455"/>
      <c r="K186" s="3455"/>
      <c r="L186" s="3455"/>
      <c r="M186" s="3455"/>
      <c r="N186" s="3455"/>
      <c r="O186" s="3455"/>
      <c r="P186" s="3455"/>
      <c r="Q186" s="3455"/>
      <c r="R186" s="3455"/>
      <c r="S186" s="3455"/>
      <c r="T186" s="3455"/>
      <c r="U186" s="3455"/>
    </row>
    <row r="187" spans="1:21" s="1009" customFormat="1" ht="14.25" customHeight="1">
      <c r="A187" s="3419" t="s">
        <v>1153</v>
      </c>
      <c r="B187" s="3419" t="s">
        <v>2888</v>
      </c>
      <c r="C187" s="3419"/>
      <c r="D187" s="3419"/>
      <c r="E187" s="3419"/>
      <c r="F187" s="3425">
        <v>2070</v>
      </c>
      <c r="G187" s="3425"/>
      <c r="I187" s="1022"/>
      <c r="J187" s="3455"/>
      <c r="K187" s="3455"/>
      <c r="L187" s="3455"/>
      <c r="M187" s="3455"/>
      <c r="N187" s="3455"/>
      <c r="O187" s="3455"/>
      <c r="P187" s="3455"/>
      <c r="Q187" s="3455"/>
      <c r="R187" s="3455"/>
      <c r="S187" s="3455"/>
      <c r="T187" s="3455"/>
      <c r="U187" s="3455"/>
    </row>
    <row r="188" spans="1:21" s="1009" customFormat="1" ht="14.25" customHeight="1">
      <c r="A188" s="3419" t="s">
        <v>1153</v>
      </c>
      <c r="B188" s="3419" t="s">
        <v>2889</v>
      </c>
      <c r="C188" s="3419"/>
      <c r="D188" s="3419"/>
      <c r="E188" s="3419"/>
      <c r="F188" s="3425">
        <v>2340</v>
      </c>
      <c r="G188" s="3425"/>
      <c r="I188" s="1022"/>
      <c r="J188" s="3455"/>
      <c r="K188" s="3455"/>
      <c r="L188" s="3455"/>
      <c r="M188" s="3455"/>
      <c r="N188" s="3455"/>
      <c r="O188" s="3455"/>
      <c r="P188" s="3455"/>
      <c r="Q188" s="3455"/>
      <c r="R188" s="3455"/>
      <c r="S188" s="3455"/>
      <c r="T188" s="3455"/>
      <c r="U188" s="3455"/>
    </row>
    <row r="189" spans="1:21" s="1009" customFormat="1" ht="14.25" customHeight="1" thickBot="1">
      <c r="A189" s="3434" t="s">
        <v>1153</v>
      </c>
      <c r="B189" s="3422" t="s">
        <v>2890</v>
      </c>
      <c r="C189" s="3422"/>
      <c r="D189" s="3422"/>
      <c r="E189" s="3422"/>
      <c r="F189" s="3423">
        <v>2050</v>
      </c>
      <c r="G189" s="3435"/>
      <c r="I189" s="1022"/>
      <c r="J189" s="3455"/>
      <c r="K189" s="3455"/>
      <c r="L189" s="3455"/>
      <c r="M189" s="3455"/>
      <c r="N189" s="3455"/>
      <c r="O189" s="3455"/>
      <c r="P189" s="3455"/>
      <c r="Q189" s="3455"/>
      <c r="R189" s="3455"/>
      <c r="S189" s="3455"/>
      <c r="T189" s="3455"/>
      <c r="U189" s="3455"/>
    </row>
    <row r="190" spans="1:21" s="1009" customFormat="1" ht="14.25" customHeight="1">
      <c r="A190" s="3433" t="s">
        <v>1154</v>
      </c>
      <c r="B190" s="1287" t="s">
        <v>2891</v>
      </c>
      <c r="C190" s="1287">
        <v>8830</v>
      </c>
      <c r="D190" s="1287">
        <v>8790</v>
      </c>
      <c r="E190" s="1287">
        <v>11630</v>
      </c>
      <c r="F190" s="3420">
        <v>1790</v>
      </c>
      <c r="G190" s="3420">
        <v>5550</v>
      </c>
      <c r="I190" s="1022"/>
      <c r="J190" s="3455"/>
      <c r="K190" s="3455"/>
      <c r="L190" s="3455"/>
      <c r="M190" s="3455"/>
      <c r="N190" s="3455"/>
      <c r="O190" s="3455"/>
      <c r="P190" s="3455"/>
      <c r="Q190" s="3455"/>
      <c r="R190" s="3455"/>
      <c r="S190" s="3455"/>
      <c r="T190" s="3455"/>
      <c r="U190" s="3455"/>
    </row>
    <row r="191" spans="1:21" s="1009" customFormat="1" ht="14.25" customHeight="1">
      <c r="A191" s="3419" t="s">
        <v>1154</v>
      </c>
      <c r="B191" s="3419" t="s">
        <v>978</v>
      </c>
      <c r="C191" s="3419">
        <v>9780</v>
      </c>
      <c r="D191" s="3419">
        <v>9710</v>
      </c>
      <c r="E191" s="3419">
        <v>12550</v>
      </c>
      <c r="F191" s="3425">
        <v>1980</v>
      </c>
      <c r="G191" s="3425">
        <v>6130</v>
      </c>
      <c r="I191" s="1022"/>
      <c r="J191" s="3455"/>
      <c r="K191" s="3455"/>
      <c r="L191" s="3455"/>
      <c r="M191" s="3455"/>
      <c r="N191" s="3455"/>
      <c r="O191" s="3455"/>
      <c r="P191" s="3455"/>
      <c r="Q191" s="3455"/>
      <c r="R191" s="3455"/>
      <c r="S191" s="3455"/>
      <c r="T191" s="3455"/>
      <c r="U191" s="3455"/>
    </row>
    <row r="192" spans="1:21" s="1009" customFormat="1" ht="14.25" customHeight="1">
      <c r="A192" s="3419" t="s">
        <v>1154</v>
      </c>
      <c r="B192" s="3419" t="s">
        <v>988</v>
      </c>
      <c r="C192" s="3419">
        <v>8180</v>
      </c>
      <c r="D192" s="3419">
        <v>8140</v>
      </c>
      <c r="E192" s="3419">
        <v>10870</v>
      </c>
      <c r="F192" s="3425">
        <v>1690</v>
      </c>
      <c r="G192" s="3425">
        <v>5140</v>
      </c>
      <c r="I192" s="1022"/>
      <c r="J192" s="3455"/>
      <c r="K192" s="3455"/>
      <c r="L192" s="3455"/>
      <c r="M192" s="3455"/>
      <c r="N192" s="3455"/>
      <c r="O192" s="3455"/>
      <c r="P192" s="3455"/>
      <c r="Q192" s="3455"/>
      <c r="R192" s="3455"/>
      <c r="S192" s="3455"/>
      <c r="T192" s="3455"/>
      <c r="U192" s="3455"/>
    </row>
    <row r="193" spans="1:21" s="1009" customFormat="1" ht="14.25" customHeight="1">
      <c r="A193" s="3419" t="s">
        <v>1154</v>
      </c>
      <c r="B193" s="3419" t="s">
        <v>997</v>
      </c>
      <c r="C193" s="3419">
        <v>8440</v>
      </c>
      <c r="D193" s="3419">
        <v>8390</v>
      </c>
      <c r="E193" s="3419">
        <v>11210</v>
      </c>
      <c r="F193" s="3425">
        <v>1600</v>
      </c>
      <c r="G193" s="3425">
        <v>5300</v>
      </c>
      <c r="I193" s="1022"/>
      <c r="J193" s="3455"/>
      <c r="K193" s="3455"/>
      <c r="L193" s="3455"/>
      <c r="M193" s="3455"/>
      <c r="N193" s="3455"/>
      <c r="O193" s="3455"/>
      <c r="P193" s="3455"/>
      <c r="Q193" s="3455"/>
      <c r="R193" s="3455"/>
      <c r="S193" s="3455"/>
      <c r="T193" s="3455"/>
      <c r="U193" s="3455"/>
    </row>
    <row r="194" spans="1:21" s="1009" customFormat="1" ht="14.25" customHeight="1">
      <c r="A194" s="3419" t="s">
        <v>1154</v>
      </c>
      <c r="B194" s="3419" t="s">
        <v>1007</v>
      </c>
      <c r="C194" s="3419">
        <v>8780</v>
      </c>
      <c r="D194" s="3419">
        <v>8730</v>
      </c>
      <c r="E194" s="3419">
        <v>11550</v>
      </c>
      <c r="F194" s="3425">
        <v>1660</v>
      </c>
      <c r="G194" s="3425">
        <v>5520</v>
      </c>
      <c r="I194" s="1022"/>
      <c r="J194" s="3455"/>
      <c r="K194" s="3455"/>
      <c r="L194" s="3455"/>
      <c r="M194" s="3455"/>
      <c r="N194" s="3455"/>
      <c r="O194" s="3455"/>
      <c r="P194" s="3455"/>
      <c r="Q194" s="3455"/>
      <c r="R194" s="3455"/>
      <c r="S194" s="3455"/>
      <c r="T194" s="3455"/>
      <c r="U194" s="3455"/>
    </row>
    <row r="195" spans="1:21" s="1009" customFormat="1" ht="14.25" customHeight="1">
      <c r="A195" s="3419" t="s">
        <v>1154</v>
      </c>
      <c r="B195" s="3419" t="s">
        <v>1014</v>
      </c>
      <c r="C195" s="3419">
        <v>8720</v>
      </c>
      <c r="D195" s="3419">
        <v>8670</v>
      </c>
      <c r="E195" s="3419">
        <v>11450</v>
      </c>
      <c r="F195" s="3425">
        <v>1720</v>
      </c>
      <c r="G195" s="3425">
        <v>5480</v>
      </c>
      <c r="I195" s="1022"/>
      <c r="J195" s="3455"/>
      <c r="K195" s="3455"/>
      <c r="L195" s="3455"/>
      <c r="M195" s="3455"/>
      <c r="N195" s="3455"/>
      <c r="O195" s="3455"/>
      <c r="P195" s="3455"/>
      <c r="Q195" s="3455"/>
      <c r="R195" s="3455"/>
      <c r="S195" s="3455"/>
      <c r="T195" s="3455"/>
      <c r="U195" s="3455"/>
    </row>
    <row r="196" spans="1:21" s="1009" customFormat="1" ht="14.25" customHeight="1">
      <c r="A196" s="3419" t="s">
        <v>1154</v>
      </c>
      <c r="B196" s="3419" t="s">
        <v>1020</v>
      </c>
      <c r="C196" s="3419">
        <v>8460</v>
      </c>
      <c r="D196" s="3419">
        <v>8410</v>
      </c>
      <c r="E196" s="3419">
        <v>11230</v>
      </c>
      <c r="F196" s="3425">
        <v>1730</v>
      </c>
      <c r="G196" s="3425">
        <v>5310</v>
      </c>
      <c r="I196" s="1022"/>
      <c r="J196" s="3455"/>
      <c r="K196" s="3455"/>
      <c r="L196" s="3455"/>
      <c r="M196" s="3455"/>
      <c r="N196" s="3455"/>
      <c r="O196" s="3455"/>
      <c r="P196" s="3455"/>
      <c r="Q196" s="3455"/>
      <c r="R196" s="3455"/>
      <c r="S196" s="3455"/>
      <c r="T196" s="3455"/>
      <c r="U196" s="3455"/>
    </row>
    <row r="197" spans="1:21" s="1009" customFormat="1" ht="14.25" customHeight="1">
      <c r="A197" s="3419" t="s">
        <v>1154</v>
      </c>
      <c r="B197" s="3419" t="s">
        <v>1027</v>
      </c>
      <c r="C197" s="3419">
        <v>8790</v>
      </c>
      <c r="D197" s="3419">
        <v>8730</v>
      </c>
      <c r="E197" s="3419">
        <v>11560</v>
      </c>
      <c r="F197" s="3425">
        <v>1750</v>
      </c>
      <c r="G197" s="3425">
        <v>5520</v>
      </c>
      <c r="I197" s="1022"/>
      <c r="J197" s="3455"/>
      <c r="K197" s="3455"/>
      <c r="L197" s="3455"/>
      <c r="M197" s="3455"/>
      <c r="N197" s="3455"/>
      <c r="O197" s="3455"/>
      <c r="P197" s="3455"/>
      <c r="Q197" s="3455"/>
      <c r="R197" s="3455"/>
      <c r="S197" s="3455"/>
      <c r="T197" s="3455"/>
      <c r="U197" s="3455"/>
    </row>
    <row r="198" spans="1:21" s="1009" customFormat="1" ht="14.25" customHeight="1">
      <c r="A198" s="3419" t="s">
        <v>1154</v>
      </c>
      <c r="B198" s="3419" t="s">
        <v>1037</v>
      </c>
      <c r="C198" s="3419">
        <v>8720</v>
      </c>
      <c r="D198" s="3419">
        <v>8680</v>
      </c>
      <c r="E198" s="3419">
        <v>11470</v>
      </c>
      <c r="F198" s="3425"/>
      <c r="G198" s="3425">
        <v>5480</v>
      </c>
      <c r="I198" s="1022"/>
      <c r="J198" s="3455"/>
      <c r="K198" s="3455"/>
      <c r="L198" s="3455"/>
      <c r="M198" s="3455"/>
      <c r="N198" s="3455"/>
      <c r="O198" s="3455"/>
      <c r="P198" s="3455"/>
      <c r="Q198" s="3455"/>
      <c r="R198" s="3455"/>
      <c r="S198" s="3455"/>
      <c r="T198" s="3455"/>
      <c r="U198" s="3455"/>
    </row>
    <row r="199" spans="1:21" s="1009" customFormat="1" ht="14.25" customHeight="1">
      <c r="A199" s="3419" t="s">
        <v>1154</v>
      </c>
      <c r="B199" s="3419" t="s">
        <v>2892</v>
      </c>
      <c r="C199" s="3419">
        <v>8690</v>
      </c>
      <c r="D199" s="3419">
        <v>8630</v>
      </c>
      <c r="E199" s="3419">
        <v>11350</v>
      </c>
      <c r="F199" s="3425">
        <v>1600</v>
      </c>
      <c r="G199" s="3425">
        <v>5450</v>
      </c>
      <c r="I199" s="1022"/>
      <c r="J199" s="3455"/>
      <c r="K199" s="3455"/>
      <c r="L199" s="3455"/>
      <c r="M199" s="3455"/>
      <c r="N199" s="3455"/>
      <c r="O199" s="3455"/>
      <c r="P199" s="3455"/>
      <c r="Q199" s="3455"/>
      <c r="R199" s="3455"/>
      <c r="S199" s="3455"/>
      <c r="T199" s="3455"/>
      <c r="U199" s="3455"/>
    </row>
    <row r="200" spans="1:21" s="1009" customFormat="1" ht="14.25" customHeight="1">
      <c r="A200" s="3419" t="s">
        <v>1154</v>
      </c>
      <c r="B200" s="3419" t="s">
        <v>2893</v>
      </c>
      <c r="C200" s="3419"/>
      <c r="D200" s="3419"/>
      <c r="E200" s="3419"/>
      <c r="F200" s="3425">
        <v>1510</v>
      </c>
      <c r="G200" s="3425"/>
      <c r="I200" s="1022"/>
      <c r="J200" s="3455"/>
      <c r="K200" s="3455"/>
      <c r="L200" s="3455"/>
      <c r="M200" s="3455"/>
      <c r="N200" s="3455"/>
      <c r="O200" s="3455"/>
      <c r="P200" s="3455"/>
      <c r="Q200" s="3455"/>
      <c r="R200" s="3455"/>
      <c r="S200" s="3455"/>
      <c r="T200" s="3455"/>
      <c r="U200" s="3455"/>
    </row>
    <row r="201" spans="1:21" s="1009" customFormat="1" ht="14.25" customHeight="1">
      <c r="A201" s="3419" t="s">
        <v>1154</v>
      </c>
      <c r="B201" s="3419" t="s">
        <v>2894</v>
      </c>
      <c r="C201" s="3419">
        <v>8440</v>
      </c>
      <c r="D201" s="3419">
        <v>8390</v>
      </c>
      <c r="E201" s="3419">
        <v>10930</v>
      </c>
      <c r="F201" s="3425">
        <v>1500</v>
      </c>
      <c r="G201" s="3425">
        <v>5300</v>
      </c>
      <c r="I201" s="1022"/>
      <c r="J201" s="3455"/>
      <c r="K201" s="3455"/>
      <c r="L201" s="3455"/>
      <c r="M201" s="3455"/>
      <c r="N201" s="3455"/>
      <c r="O201" s="3455"/>
      <c r="P201" s="3455"/>
      <c r="Q201" s="3455"/>
      <c r="R201" s="3455"/>
      <c r="S201" s="3455"/>
      <c r="T201" s="3455"/>
      <c r="U201" s="3455"/>
    </row>
    <row r="202" spans="1:21" s="1009" customFormat="1" ht="14.25" customHeight="1">
      <c r="A202" s="3419" t="s">
        <v>1154</v>
      </c>
      <c r="B202" s="3419" t="s">
        <v>1088</v>
      </c>
      <c r="C202" s="3419">
        <v>8530</v>
      </c>
      <c r="D202" s="3419">
        <v>8490</v>
      </c>
      <c r="E202" s="3419">
        <v>11160</v>
      </c>
      <c r="F202" s="3425">
        <v>1580</v>
      </c>
      <c r="G202" s="3425">
        <v>5360</v>
      </c>
      <c r="I202" s="1022"/>
      <c r="J202" s="3455"/>
      <c r="K202" s="3455"/>
      <c r="L202" s="3455"/>
      <c r="M202" s="3455"/>
      <c r="N202" s="3455"/>
      <c r="O202" s="3455"/>
      <c r="P202" s="3455"/>
      <c r="Q202" s="3455"/>
      <c r="R202" s="3455"/>
      <c r="S202" s="3455"/>
      <c r="T202" s="3455"/>
      <c r="U202" s="3455"/>
    </row>
    <row r="203" spans="1:21" s="1009" customFormat="1" ht="14.25" customHeight="1">
      <c r="A203" s="3419" t="s">
        <v>1154</v>
      </c>
      <c r="B203" s="3419" t="s">
        <v>2895</v>
      </c>
      <c r="C203" s="3419">
        <v>8130</v>
      </c>
      <c r="D203" s="3419">
        <v>8070</v>
      </c>
      <c r="E203" s="3419">
        <v>10820</v>
      </c>
      <c r="F203" s="3425">
        <v>1690</v>
      </c>
      <c r="G203" s="3425">
        <v>5100</v>
      </c>
      <c r="I203" s="1022"/>
      <c r="J203" s="3455"/>
      <c r="K203" s="3455"/>
      <c r="L203" s="3455"/>
      <c r="M203" s="3455"/>
      <c r="N203" s="3455"/>
      <c r="O203" s="3455"/>
      <c r="P203" s="3455"/>
      <c r="Q203" s="3455"/>
      <c r="R203" s="3455"/>
      <c r="S203" s="3455"/>
      <c r="T203" s="3455"/>
      <c r="U203" s="3455"/>
    </row>
    <row r="204" spans="1:21" s="1009" customFormat="1" ht="14.25" customHeight="1">
      <c r="A204" s="3419" t="s">
        <v>1154</v>
      </c>
      <c r="B204" s="3419" t="s">
        <v>2896</v>
      </c>
      <c r="C204" s="3419">
        <v>8350</v>
      </c>
      <c r="D204" s="3419">
        <v>8290</v>
      </c>
      <c r="E204" s="3419">
        <v>11080</v>
      </c>
      <c r="F204" s="3425">
        <v>1450</v>
      </c>
      <c r="G204" s="3425">
        <v>5240</v>
      </c>
      <c r="I204" s="1022"/>
      <c r="J204" s="3455"/>
      <c r="K204" s="3455"/>
      <c r="L204" s="3455"/>
      <c r="M204" s="3455"/>
      <c r="N204" s="3455"/>
      <c r="O204" s="3455"/>
      <c r="P204" s="3455"/>
      <c r="Q204" s="3455"/>
      <c r="R204" s="3455"/>
      <c r="S204" s="3455"/>
      <c r="T204" s="3455"/>
      <c r="U204" s="3455"/>
    </row>
    <row r="205" spans="1:21" s="1009" customFormat="1" ht="14.25" customHeight="1">
      <c r="A205" s="3419" t="s">
        <v>1154</v>
      </c>
      <c r="B205" s="3419" t="s">
        <v>2897</v>
      </c>
      <c r="C205" s="3419">
        <v>7190</v>
      </c>
      <c r="D205" s="3419">
        <v>7130</v>
      </c>
      <c r="E205" s="3419">
        <v>9490</v>
      </c>
      <c r="F205" s="3425">
        <v>1470</v>
      </c>
      <c r="G205" s="3432">
        <v>4510</v>
      </c>
      <c r="I205" s="1022"/>
      <c r="J205" s="3455"/>
      <c r="K205" s="3455"/>
      <c r="L205" s="3455"/>
      <c r="M205" s="3455"/>
      <c r="N205" s="3455"/>
      <c r="O205" s="3455"/>
      <c r="P205" s="3455"/>
      <c r="Q205" s="3455"/>
      <c r="R205" s="3455"/>
      <c r="S205" s="3455"/>
      <c r="T205" s="3455"/>
      <c r="U205" s="3455"/>
    </row>
    <row r="206" spans="1:21" s="1009" customFormat="1" ht="14.25" customHeight="1">
      <c r="A206" s="1287" t="s">
        <v>1154</v>
      </c>
      <c r="B206" s="1287" t="s">
        <v>2898</v>
      </c>
      <c r="C206" s="1287">
        <v>7000</v>
      </c>
      <c r="D206" s="1287">
        <v>6950</v>
      </c>
      <c r="E206" s="1287">
        <v>9170</v>
      </c>
      <c r="F206" s="3420">
        <v>1400</v>
      </c>
      <c r="G206" s="3420">
        <v>4380</v>
      </c>
      <c r="I206" s="1022"/>
      <c r="J206" s="3455"/>
      <c r="K206" s="3455"/>
      <c r="L206" s="3455"/>
      <c r="M206" s="3455"/>
      <c r="N206" s="3455"/>
      <c r="O206" s="3455"/>
      <c r="P206" s="3455"/>
      <c r="Q206" s="3455"/>
      <c r="R206" s="3455"/>
      <c r="S206" s="3455"/>
      <c r="T206" s="3455"/>
      <c r="U206" s="3455"/>
    </row>
    <row r="207" spans="1:21" s="1009" customFormat="1" ht="14.25" customHeight="1">
      <c r="A207" s="3419" t="s">
        <v>1154</v>
      </c>
      <c r="B207" s="3419" t="s">
        <v>2899</v>
      </c>
      <c r="C207" s="3419">
        <v>6950</v>
      </c>
      <c r="D207" s="3419">
        <v>6900</v>
      </c>
      <c r="E207" s="3419">
        <v>9110</v>
      </c>
      <c r="F207" s="3425">
        <v>1790</v>
      </c>
      <c r="G207" s="3425">
        <v>4360</v>
      </c>
      <c r="I207" s="1022"/>
      <c r="J207" s="3455"/>
      <c r="K207" s="3455"/>
      <c r="L207" s="3455"/>
      <c r="M207" s="3455"/>
      <c r="N207" s="3455"/>
      <c r="O207" s="3455"/>
      <c r="P207" s="3455"/>
      <c r="Q207" s="3455"/>
      <c r="R207" s="3455"/>
      <c r="S207" s="3455"/>
      <c r="T207" s="3455"/>
      <c r="U207" s="3455"/>
    </row>
    <row r="208" spans="1:21" s="1009" customFormat="1" ht="14.25" customHeight="1">
      <c r="A208" s="3419" t="s">
        <v>1154</v>
      </c>
      <c r="B208" s="3419" t="s">
        <v>2900</v>
      </c>
      <c r="C208" s="3419">
        <v>9470</v>
      </c>
      <c r="D208" s="3419">
        <v>9410</v>
      </c>
      <c r="E208" s="3419">
        <v>12330</v>
      </c>
      <c r="F208" s="3425">
        <v>1770</v>
      </c>
      <c r="G208" s="3425">
        <v>5940</v>
      </c>
      <c r="I208" s="1022"/>
      <c r="J208" s="3455"/>
      <c r="K208" s="3455"/>
      <c r="L208" s="3455"/>
      <c r="M208" s="3455"/>
      <c r="N208" s="3455"/>
      <c r="O208" s="3455"/>
      <c r="P208" s="3455"/>
      <c r="Q208" s="3455"/>
      <c r="R208" s="3455"/>
      <c r="S208" s="3455"/>
      <c r="T208" s="3455"/>
      <c r="U208" s="3455"/>
    </row>
    <row r="209" spans="1:21" s="1009" customFormat="1" ht="14.25" customHeight="1">
      <c r="A209" s="3419" t="s">
        <v>1154</v>
      </c>
      <c r="B209" s="3419" t="s">
        <v>1112</v>
      </c>
      <c r="C209" s="3419">
        <v>8740</v>
      </c>
      <c r="D209" s="3419">
        <v>8700</v>
      </c>
      <c r="E209" s="3419">
        <v>11500</v>
      </c>
      <c r="F209" s="3425">
        <v>1730</v>
      </c>
      <c r="G209" s="3425">
        <v>5490</v>
      </c>
      <c r="I209" s="1022"/>
      <c r="J209" s="3455"/>
      <c r="K209" s="3455"/>
      <c r="L209" s="3455"/>
      <c r="M209" s="3455"/>
      <c r="N209" s="3455"/>
      <c r="O209" s="3455"/>
      <c r="P209" s="3455"/>
      <c r="Q209" s="3455"/>
      <c r="R209" s="3455"/>
      <c r="S209" s="3455"/>
      <c r="T209" s="3455"/>
      <c r="U209" s="3455"/>
    </row>
    <row r="210" spans="1:21" s="1009" customFormat="1" ht="14.25" customHeight="1">
      <c r="A210" s="3419" t="s">
        <v>1154</v>
      </c>
      <c r="B210" s="3419" t="s">
        <v>2901</v>
      </c>
      <c r="C210" s="3419">
        <v>8710</v>
      </c>
      <c r="D210" s="3419">
        <v>8660</v>
      </c>
      <c r="E210" s="3419">
        <v>11440</v>
      </c>
      <c r="F210" s="3425">
        <v>1740</v>
      </c>
      <c r="G210" s="3425">
        <v>5470</v>
      </c>
      <c r="I210" s="1022"/>
      <c r="J210" s="3455"/>
      <c r="K210" s="3455"/>
      <c r="L210" s="3455"/>
      <c r="M210" s="3455"/>
      <c r="N210" s="3455"/>
      <c r="O210" s="3455"/>
      <c r="P210" s="3455"/>
      <c r="Q210" s="3455"/>
      <c r="R210" s="3455"/>
      <c r="S210" s="3455"/>
      <c r="T210" s="3455"/>
      <c r="U210" s="3455"/>
    </row>
    <row r="211" spans="1:21" s="1009" customFormat="1" ht="14.25" customHeight="1">
      <c r="A211" s="3419" t="s">
        <v>1154</v>
      </c>
      <c r="B211" s="3419" t="s">
        <v>2902</v>
      </c>
      <c r="C211" s="3419">
        <v>9480</v>
      </c>
      <c r="D211" s="3419">
        <v>9430</v>
      </c>
      <c r="E211" s="3419">
        <v>12360</v>
      </c>
      <c r="F211" s="3425">
        <v>1820</v>
      </c>
      <c r="G211" s="3425">
        <v>5950</v>
      </c>
      <c r="I211" s="1022"/>
      <c r="J211" s="3455"/>
      <c r="K211" s="3455"/>
      <c r="L211" s="3455"/>
      <c r="M211" s="3455"/>
      <c r="N211" s="3455"/>
      <c r="O211" s="3455"/>
      <c r="P211" s="3455"/>
      <c r="Q211" s="3455"/>
      <c r="R211" s="3455"/>
      <c r="S211" s="3455"/>
      <c r="T211" s="3455"/>
      <c r="U211" s="3455"/>
    </row>
    <row r="212" spans="1:21" s="1009" customFormat="1" ht="14.25" customHeight="1">
      <c r="A212" s="3419" t="s">
        <v>1154</v>
      </c>
      <c r="B212" s="3419" t="s">
        <v>1134</v>
      </c>
      <c r="C212" s="3419">
        <v>9070</v>
      </c>
      <c r="D212" s="3419">
        <v>9020</v>
      </c>
      <c r="E212" s="3419">
        <v>11720</v>
      </c>
      <c r="F212" s="3425">
        <v>1850</v>
      </c>
      <c r="G212" s="3425">
        <v>5700</v>
      </c>
      <c r="I212" s="1022"/>
      <c r="J212" s="3455"/>
      <c r="K212" s="3455"/>
      <c r="L212" s="3455"/>
      <c r="M212" s="3455"/>
      <c r="N212" s="3455"/>
      <c r="O212" s="3455"/>
      <c r="P212" s="3455"/>
      <c r="Q212" s="3455"/>
      <c r="R212" s="3455"/>
      <c r="S212" s="3455"/>
      <c r="T212" s="3455"/>
      <c r="U212" s="3455"/>
    </row>
    <row r="213" spans="1:21" s="1009" customFormat="1" ht="14.25" customHeight="1">
      <c r="A213" s="3419" t="s">
        <v>1154</v>
      </c>
      <c r="B213" s="3419" t="s">
        <v>1137</v>
      </c>
      <c r="C213" s="3419">
        <v>9030</v>
      </c>
      <c r="D213" s="3419">
        <v>8980</v>
      </c>
      <c r="E213" s="3419">
        <v>11670</v>
      </c>
      <c r="F213" s="3425">
        <v>1690</v>
      </c>
      <c r="G213" s="3425">
        <v>5670</v>
      </c>
      <c r="I213" s="1022"/>
      <c r="J213" s="3455"/>
      <c r="K213" s="3455"/>
      <c r="L213" s="3455"/>
      <c r="M213" s="3455"/>
      <c r="N213" s="3455"/>
      <c r="O213" s="3455"/>
      <c r="P213" s="3455"/>
      <c r="Q213" s="3455"/>
      <c r="R213" s="3455"/>
      <c r="S213" s="3455"/>
      <c r="T213" s="3455"/>
      <c r="U213" s="3455"/>
    </row>
    <row r="214" spans="1:21" s="1009" customFormat="1" ht="14.25" customHeight="1">
      <c r="A214" s="3419" t="s">
        <v>1154</v>
      </c>
      <c r="B214" s="3419" t="s">
        <v>2903</v>
      </c>
      <c r="C214" s="3419">
        <v>8090</v>
      </c>
      <c r="D214" s="3419">
        <v>8030</v>
      </c>
      <c r="E214" s="3419">
        <v>10780</v>
      </c>
      <c r="F214" s="3425">
        <v>1570</v>
      </c>
      <c r="G214" s="3427">
        <v>5070</v>
      </c>
      <c r="I214" s="1022"/>
      <c r="J214" s="3455"/>
      <c r="K214" s="3455"/>
      <c r="L214" s="3455"/>
      <c r="M214" s="3455"/>
      <c r="N214" s="3455"/>
      <c r="O214" s="3455"/>
      <c r="P214" s="3455"/>
      <c r="Q214" s="3455"/>
      <c r="R214" s="3455"/>
      <c r="S214" s="3455"/>
      <c r="T214" s="3455"/>
      <c r="U214" s="3455"/>
    </row>
    <row r="215" spans="1:21" s="1009" customFormat="1" ht="14.25" customHeight="1">
      <c r="A215" s="3419" t="s">
        <v>1154</v>
      </c>
      <c r="B215" s="3419" t="s">
        <v>1123</v>
      </c>
      <c r="C215" s="3419">
        <v>7950</v>
      </c>
      <c r="D215" s="3419">
        <v>7900</v>
      </c>
      <c r="E215" s="3419">
        <v>10560</v>
      </c>
      <c r="F215" s="3425">
        <v>1630</v>
      </c>
      <c r="G215" s="3425">
        <v>4990</v>
      </c>
      <c r="I215" s="1022"/>
      <c r="J215" s="3455"/>
      <c r="K215" s="3455"/>
      <c r="L215" s="3455"/>
      <c r="M215" s="3455"/>
      <c r="N215" s="3455"/>
      <c r="O215" s="3455"/>
      <c r="P215" s="3455"/>
      <c r="Q215" s="3455"/>
      <c r="R215" s="3455"/>
      <c r="S215" s="3455"/>
      <c r="T215" s="3455"/>
      <c r="U215" s="3455"/>
    </row>
    <row r="216" spans="1:21" s="1009" customFormat="1" ht="14.25" customHeight="1">
      <c r="A216" s="3419" t="s">
        <v>1154</v>
      </c>
      <c r="B216" s="3419" t="s">
        <v>2904</v>
      </c>
      <c r="C216" s="3419">
        <v>8490</v>
      </c>
      <c r="D216" s="3419">
        <v>8440</v>
      </c>
      <c r="E216" s="3419">
        <v>11260</v>
      </c>
      <c r="F216" s="3425">
        <v>1690</v>
      </c>
      <c r="G216" s="3425">
        <v>5330</v>
      </c>
      <c r="I216" s="1022"/>
      <c r="J216" s="3455"/>
      <c r="K216" s="3455"/>
      <c r="L216" s="3455"/>
      <c r="M216" s="3455"/>
      <c r="N216" s="3455"/>
      <c r="O216" s="3455"/>
      <c r="P216" s="3455"/>
      <c r="Q216" s="3455"/>
      <c r="R216" s="3455"/>
      <c r="S216" s="3455"/>
      <c r="T216" s="3455"/>
      <c r="U216" s="3455"/>
    </row>
    <row r="217" spans="1:21" s="1009" customFormat="1" ht="14.25" customHeight="1">
      <c r="A217" s="3419" t="s">
        <v>1154</v>
      </c>
      <c r="B217" s="3419" t="s">
        <v>2905</v>
      </c>
      <c r="C217" s="3419">
        <v>8200</v>
      </c>
      <c r="D217" s="3419">
        <v>8150</v>
      </c>
      <c r="E217" s="3419">
        <v>10910</v>
      </c>
      <c r="F217" s="3425">
        <v>1670</v>
      </c>
      <c r="G217" s="3425">
        <v>5150</v>
      </c>
      <c r="I217" s="1022"/>
      <c r="J217" s="3455"/>
      <c r="K217" s="3455"/>
      <c r="L217" s="3455"/>
      <c r="M217" s="3455"/>
      <c r="N217" s="3455"/>
      <c r="O217" s="3455"/>
      <c r="P217" s="3455"/>
      <c r="Q217" s="3455"/>
      <c r="R217" s="3455"/>
      <c r="S217" s="3455"/>
      <c r="T217" s="3455"/>
      <c r="U217" s="3455"/>
    </row>
    <row r="218" spans="1:21" s="1009" customFormat="1" ht="14.25" customHeight="1">
      <c r="A218" s="3419" t="s">
        <v>1154</v>
      </c>
      <c r="B218" s="3419" t="s">
        <v>2906</v>
      </c>
      <c r="C218" s="3419"/>
      <c r="D218" s="3419"/>
      <c r="E218" s="3419"/>
      <c r="F218" s="3425">
        <v>2040</v>
      </c>
      <c r="G218" s="3425"/>
      <c r="I218" s="1022"/>
      <c r="J218" s="3455"/>
      <c r="K218" s="3455"/>
      <c r="L218" s="3455"/>
      <c r="M218" s="3455"/>
      <c r="N218" s="3455"/>
      <c r="O218" s="3455"/>
      <c r="P218" s="3455"/>
      <c r="Q218" s="3455"/>
      <c r="R218" s="3455"/>
      <c r="S218" s="3455"/>
      <c r="T218" s="3455"/>
      <c r="U218" s="3455"/>
    </row>
    <row r="219" spans="1:21" s="1009" customFormat="1" ht="14.25" customHeight="1">
      <c r="A219" s="3419" t="s">
        <v>1154</v>
      </c>
      <c r="B219" s="3419" t="s">
        <v>2907</v>
      </c>
      <c r="C219" s="3419"/>
      <c r="D219" s="3419"/>
      <c r="E219" s="3419"/>
      <c r="F219" s="3425">
        <v>2040</v>
      </c>
      <c r="G219" s="3425"/>
      <c r="I219" s="1022"/>
      <c r="J219" s="3455"/>
      <c r="K219" s="3455"/>
      <c r="L219" s="3455"/>
      <c r="M219" s="3455"/>
      <c r="N219" s="3455"/>
      <c r="O219" s="3455"/>
      <c r="P219" s="3455"/>
      <c r="Q219" s="3455"/>
      <c r="R219" s="3455"/>
      <c r="S219" s="3455"/>
      <c r="T219" s="3455"/>
      <c r="U219" s="3455"/>
    </row>
    <row r="220" spans="1:21" s="1009" customFormat="1" ht="14.25" customHeight="1">
      <c r="A220" s="3419" t="s">
        <v>1154</v>
      </c>
      <c r="B220" s="3419" t="s">
        <v>2908</v>
      </c>
      <c r="C220" s="3419"/>
      <c r="D220" s="3419"/>
      <c r="E220" s="3419"/>
      <c r="F220" s="3425">
        <v>2040</v>
      </c>
      <c r="G220" s="3425"/>
      <c r="I220" s="1022"/>
      <c r="J220" s="3455"/>
      <c r="K220" s="3455"/>
      <c r="L220" s="3455"/>
      <c r="M220" s="3455"/>
      <c r="N220" s="3455"/>
      <c r="O220" s="3455"/>
      <c r="P220" s="3455"/>
      <c r="Q220" s="3455"/>
      <c r="R220" s="3455"/>
      <c r="S220" s="3455"/>
      <c r="T220" s="3455"/>
      <c r="U220" s="3455"/>
    </row>
    <row r="221" spans="1:21" s="1009" customFormat="1" ht="14.25" customHeight="1">
      <c r="A221" s="3419" t="s">
        <v>1154</v>
      </c>
      <c r="B221" s="3419" t="s">
        <v>2909</v>
      </c>
      <c r="C221" s="3428"/>
      <c r="D221" s="3428"/>
      <c r="E221" s="3428"/>
      <c r="F221" s="3427">
        <v>2040</v>
      </c>
      <c r="G221" s="3425"/>
      <c r="I221" s="1022"/>
      <c r="J221" s="3455"/>
      <c r="K221" s="3455"/>
      <c r="L221" s="3455"/>
      <c r="M221" s="3455"/>
      <c r="N221" s="3455"/>
      <c r="O221" s="3455"/>
      <c r="P221" s="3455"/>
      <c r="Q221" s="3455"/>
      <c r="R221" s="3455"/>
      <c r="S221" s="3455"/>
      <c r="T221" s="3455"/>
      <c r="U221" s="3455"/>
    </row>
    <row r="222" spans="1:21" s="1009" customFormat="1" ht="14.25" customHeight="1">
      <c r="A222" s="3419" t="s">
        <v>1154</v>
      </c>
      <c r="B222" s="3419" t="s">
        <v>2910</v>
      </c>
      <c r="C222" s="3428"/>
      <c r="D222" s="3428"/>
      <c r="E222" s="3428"/>
      <c r="F222" s="3427">
        <v>2040</v>
      </c>
      <c r="G222" s="3425"/>
      <c r="I222" s="1022"/>
      <c r="J222" s="3455"/>
      <c r="K222" s="3455"/>
      <c r="L222" s="3455"/>
      <c r="M222" s="3455"/>
      <c r="N222" s="3455"/>
      <c r="O222" s="3455"/>
      <c r="P222" s="3455"/>
      <c r="Q222" s="3455"/>
      <c r="R222" s="3455"/>
      <c r="S222" s="3455"/>
      <c r="T222" s="3455"/>
      <c r="U222" s="3455"/>
    </row>
    <row r="223" spans="1:21" s="1009" customFormat="1" ht="14.25" customHeight="1">
      <c r="A223" s="3419" t="s">
        <v>1154</v>
      </c>
      <c r="B223" s="3419" t="s">
        <v>2911</v>
      </c>
      <c r="C223" s="3428"/>
      <c r="D223" s="3428"/>
      <c r="E223" s="3428"/>
      <c r="F223" s="3427">
        <v>1930</v>
      </c>
      <c r="G223" s="3425"/>
      <c r="I223" s="1022"/>
      <c r="J223" s="3455"/>
      <c r="K223" s="3455"/>
      <c r="L223" s="3455"/>
      <c r="M223" s="3455"/>
      <c r="N223" s="3455"/>
      <c r="O223" s="3455"/>
      <c r="P223" s="3455"/>
      <c r="Q223" s="3455"/>
      <c r="R223" s="3455"/>
      <c r="S223" s="3455"/>
      <c r="T223" s="3455"/>
      <c r="U223" s="3455"/>
    </row>
    <row r="224" spans="1:21" s="1009" customFormat="1" ht="14.25" customHeight="1">
      <c r="A224" s="3419" t="s">
        <v>1154</v>
      </c>
      <c r="B224" s="3419" t="s">
        <v>2912</v>
      </c>
      <c r="C224" s="3428"/>
      <c r="D224" s="3428"/>
      <c r="E224" s="3428"/>
      <c r="F224" s="3427">
        <v>1930</v>
      </c>
      <c r="G224" s="3425"/>
      <c r="I224" s="1022"/>
      <c r="J224" s="3455"/>
      <c r="K224" s="3455"/>
      <c r="L224" s="3455"/>
      <c r="M224" s="3455"/>
      <c r="N224" s="3455"/>
      <c r="O224" s="3455"/>
      <c r="P224" s="3455"/>
      <c r="Q224" s="3455"/>
      <c r="R224" s="3455"/>
      <c r="S224" s="3455"/>
      <c r="T224" s="3455"/>
      <c r="U224" s="3455"/>
    </row>
    <row r="225" spans="1:21" s="1009" customFormat="1" ht="14.25" customHeight="1">
      <c r="A225" s="3419" t="s">
        <v>1154</v>
      </c>
      <c r="B225" s="3419" t="s">
        <v>2913</v>
      </c>
      <c r="C225" s="3419"/>
      <c r="D225" s="3419"/>
      <c r="E225" s="3419"/>
      <c r="F225" s="3425">
        <v>1930</v>
      </c>
      <c r="G225" s="3425"/>
      <c r="I225" s="1022"/>
      <c r="J225" s="3455"/>
      <c r="K225" s="3455"/>
      <c r="L225" s="3455"/>
      <c r="M225" s="3455"/>
      <c r="N225" s="3455"/>
      <c r="O225" s="3455"/>
      <c r="P225" s="3455"/>
      <c r="Q225" s="3455"/>
      <c r="R225" s="3455"/>
      <c r="S225" s="3455"/>
      <c r="T225" s="3455"/>
      <c r="U225" s="3455"/>
    </row>
    <row r="226" spans="1:21" s="1009" customFormat="1" ht="14.25" customHeight="1">
      <c r="A226" s="3419" t="s">
        <v>1154</v>
      </c>
      <c r="B226" s="3419" t="s">
        <v>2914</v>
      </c>
      <c r="C226" s="3419"/>
      <c r="D226" s="3419"/>
      <c r="E226" s="3419"/>
      <c r="F226" s="3425">
        <v>1700</v>
      </c>
      <c r="G226" s="3425"/>
      <c r="I226" s="1022"/>
      <c r="J226" s="3455"/>
      <c r="K226" s="3455"/>
      <c r="L226" s="3455"/>
      <c r="M226" s="3455"/>
      <c r="N226" s="3455"/>
      <c r="O226" s="3455"/>
      <c r="P226" s="3455"/>
      <c r="Q226" s="3455"/>
      <c r="R226" s="3455"/>
      <c r="S226" s="3455"/>
      <c r="T226" s="3455"/>
      <c r="U226" s="3455"/>
    </row>
    <row r="227" spans="1:21" s="1009" customFormat="1" ht="14.25" customHeight="1">
      <c r="A227" s="3419" t="s">
        <v>1154</v>
      </c>
      <c r="B227" s="3419" t="s">
        <v>2915</v>
      </c>
      <c r="C227" s="3419"/>
      <c r="D227" s="3419"/>
      <c r="E227" s="3419"/>
      <c r="F227" s="3425">
        <v>1520</v>
      </c>
      <c r="G227" s="3425"/>
      <c r="I227" s="1022"/>
      <c r="J227" s="3455"/>
      <c r="K227" s="3455"/>
      <c r="L227" s="3455"/>
      <c r="M227" s="3455"/>
      <c r="N227" s="3455"/>
      <c r="O227" s="3455"/>
      <c r="P227" s="3455"/>
      <c r="Q227" s="3455"/>
      <c r="R227" s="3455"/>
      <c r="S227" s="3455"/>
      <c r="T227" s="3455"/>
      <c r="U227" s="3455"/>
    </row>
    <row r="228" spans="1:21" s="1009" customFormat="1" ht="14.25" customHeight="1">
      <c r="A228" s="3419" t="s">
        <v>1154</v>
      </c>
      <c r="B228" s="3419" t="s">
        <v>2916</v>
      </c>
      <c r="C228" s="3419"/>
      <c r="D228" s="3419"/>
      <c r="E228" s="3419"/>
      <c r="F228" s="3425">
        <v>1520</v>
      </c>
      <c r="G228" s="3425"/>
      <c r="I228" s="1022"/>
      <c r="J228" s="3455"/>
      <c r="K228" s="3455"/>
      <c r="L228" s="3455"/>
      <c r="M228" s="3455"/>
      <c r="N228" s="3455"/>
      <c r="O228" s="3455"/>
      <c r="P228" s="3455"/>
      <c r="Q228" s="3455"/>
      <c r="R228" s="3455"/>
      <c r="S228" s="3455"/>
      <c r="T228" s="3455"/>
      <c r="U228" s="3455"/>
    </row>
    <row r="229" spans="1:21" s="1009" customFormat="1" ht="14.25" customHeight="1">
      <c r="A229" s="3419" t="s">
        <v>1154</v>
      </c>
      <c r="B229" s="3419" t="s">
        <v>2917</v>
      </c>
      <c r="C229" s="3419"/>
      <c r="D229" s="3419"/>
      <c r="E229" s="3419"/>
      <c r="F229" s="3425">
        <v>1520</v>
      </c>
      <c r="G229" s="3427"/>
      <c r="I229" s="1022"/>
      <c r="J229" s="3455"/>
      <c r="K229" s="3455"/>
      <c r="L229" s="3455"/>
      <c r="M229" s="3455"/>
      <c r="N229" s="3455"/>
      <c r="O229" s="3455"/>
      <c r="P229" s="3455"/>
      <c r="Q229" s="3455"/>
      <c r="R229" s="3455"/>
      <c r="S229" s="3455"/>
      <c r="T229" s="3455"/>
      <c r="U229" s="3455"/>
    </row>
    <row r="230" spans="1:21" s="1009" customFormat="1" ht="14.25" customHeight="1">
      <c r="A230" s="3419" t="s">
        <v>1154</v>
      </c>
      <c r="B230" s="3419" t="s">
        <v>2918</v>
      </c>
      <c r="C230" s="3419"/>
      <c r="D230" s="3419"/>
      <c r="E230" s="3419"/>
      <c r="F230" s="3425">
        <v>1820</v>
      </c>
      <c r="G230" s="3427"/>
      <c r="I230" s="1022"/>
      <c r="J230" s="3455"/>
      <c r="K230" s="3455"/>
      <c r="L230" s="3455"/>
      <c r="M230" s="3455"/>
      <c r="N230" s="3455"/>
      <c r="O230" s="3455"/>
      <c r="P230" s="3455"/>
      <c r="Q230" s="3455"/>
      <c r="R230" s="3455"/>
      <c r="S230" s="3455"/>
      <c r="T230" s="3455"/>
      <c r="U230" s="3455"/>
    </row>
    <row r="231" spans="1:21" s="1009" customFormat="1" ht="14.25" customHeight="1">
      <c r="A231" s="3419" t="s">
        <v>1154</v>
      </c>
      <c r="B231" s="3419" t="s">
        <v>2919</v>
      </c>
      <c r="C231" s="3419"/>
      <c r="D231" s="3419"/>
      <c r="E231" s="3419"/>
      <c r="F231" s="3425">
        <v>1760</v>
      </c>
      <c r="G231" s="3427"/>
      <c r="I231" s="1022"/>
      <c r="J231" s="3455"/>
      <c r="K231" s="3455"/>
      <c r="L231" s="3455"/>
      <c r="M231" s="3455"/>
      <c r="N231" s="3455"/>
      <c r="O231" s="3455"/>
      <c r="P231" s="3455"/>
      <c r="Q231" s="3455"/>
      <c r="R231" s="3455"/>
      <c r="S231" s="3455"/>
      <c r="T231" s="3455"/>
      <c r="U231" s="3455"/>
    </row>
    <row r="232" spans="1:21" s="1009" customFormat="1" ht="14.25" customHeight="1">
      <c r="A232" s="3419" t="s">
        <v>1154</v>
      </c>
      <c r="B232" s="3419" t="s">
        <v>2920</v>
      </c>
      <c r="C232" s="3419"/>
      <c r="D232" s="3419"/>
      <c r="E232" s="3419"/>
      <c r="F232" s="3425">
        <v>1840</v>
      </c>
      <c r="G232" s="3425"/>
      <c r="I232" s="1022"/>
      <c r="J232" s="3455"/>
      <c r="K232" s="3455"/>
      <c r="L232" s="3455"/>
      <c r="M232" s="3455"/>
      <c r="N232" s="3455"/>
      <c r="O232" s="3455"/>
      <c r="P232" s="3455"/>
      <c r="Q232" s="3455"/>
      <c r="R232" s="3455"/>
      <c r="S232" s="3455"/>
      <c r="T232" s="3455"/>
      <c r="U232" s="3455"/>
    </row>
    <row r="233" spans="1:21" s="1009" customFormat="1" ht="14.25" customHeight="1" thickBot="1">
      <c r="A233" s="3434" t="s">
        <v>1154</v>
      </c>
      <c r="B233" s="3422" t="s">
        <v>2921</v>
      </c>
      <c r="C233" s="3422"/>
      <c r="D233" s="3422"/>
      <c r="E233" s="3422"/>
      <c r="F233" s="3423">
        <v>1770</v>
      </c>
      <c r="G233" s="3438"/>
      <c r="I233" s="1022"/>
      <c r="J233" s="3455"/>
      <c r="K233" s="3455"/>
      <c r="L233" s="3455"/>
      <c r="M233" s="3455"/>
      <c r="N233" s="3455"/>
      <c r="O233" s="3455"/>
      <c r="P233" s="3455"/>
      <c r="Q233" s="3455"/>
      <c r="R233" s="3455"/>
      <c r="S233" s="3455"/>
      <c r="T233" s="3455"/>
      <c r="U233" s="3455"/>
    </row>
    <row r="234" spans="1:21" s="1009" customFormat="1" ht="14.25" customHeight="1">
      <c r="A234" s="3433" t="s">
        <v>1155</v>
      </c>
      <c r="B234" s="1287" t="s">
        <v>2922</v>
      </c>
      <c r="C234" s="1287">
        <v>6980</v>
      </c>
      <c r="D234" s="1287">
        <v>6970</v>
      </c>
      <c r="E234" s="1287">
        <v>8720</v>
      </c>
      <c r="F234" s="3420">
        <v>1350</v>
      </c>
      <c r="G234" s="3436">
        <v>4280</v>
      </c>
      <c r="I234" s="1022"/>
      <c r="J234" s="3455"/>
      <c r="K234" s="3455"/>
      <c r="L234" s="3455"/>
      <c r="M234" s="3455"/>
      <c r="N234" s="3455"/>
      <c r="O234" s="3455"/>
      <c r="P234" s="3455"/>
      <c r="Q234" s="3455"/>
      <c r="R234" s="3455"/>
      <c r="S234" s="3455"/>
      <c r="T234" s="3455"/>
      <c r="U234" s="3455"/>
    </row>
    <row r="235" spans="1:21" s="1009" customFormat="1" ht="14.25" customHeight="1">
      <c r="A235" s="3419" t="s">
        <v>1155</v>
      </c>
      <c r="B235" s="3419" t="s">
        <v>979</v>
      </c>
      <c r="C235" s="3419">
        <v>7620</v>
      </c>
      <c r="D235" s="3419">
        <v>7580</v>
      </c>
      <c r="E235" s="3419">
        <v>9360</v>
      </c>
      <c r="F235" s="3425">
        <v>1490</v>
      </c>
      <c r="G235" s="3425">
        <v>4650</v>
      </c>
      <c r="I235" s="1022"/>
      <c r="J235" s="3455"/>
      <c r="K235" s="3455"/>
      <c r="L235" s="3455"/>
      <c r="M235" s="3455"/>
      <c r="N235" s="3455"/>
      <c r="O235" s="3455"/>
      <c r="P235" s="3455"/>
      <c r="Q235" s="3455"/>
      <c r="R235" s="3455"/>
      <c r="S235" s="3455"/>
      <c r="T235" s="3455"/>
      <c r="U235" s="3455"/>
    </row>
    <row r="236" spans="1:21" s="1009" customFormat="1" ht="14.25" customHeight="1">
      <c r="A236" s="3419" t="s">
        <v>1155</v>
      </c>
      <c r="B236" s="3419" t="s">
        <v>989</v>
      </c>
      <c r="C236" s="3419">
        <v>6650</v>
      </c>
      <c r="D236" s="3419">
        <v>6630</v>
      </c>
      <c r="E236" s="3419">
        <v>8330</v>
      </c>
      <c r="F236" s="3425">
        <v>1250</v>
      </c>
      <c r="G236" s="3425">
        <v>4070</v>
      </c>
      <c r="I236" s="1022"/>
      <c r="J236" s="3455"/>
      <c r="K236" s="3455"/>
      <c r="L236" s="3455"/>
      <c r="M236" s="3455"/>
      <c r="N236" s="3455"/>
      <c r="O236" s="3455"/>
      <c r="P236" s="3455"/>
      <c r="Q236" s="3455"/>
      <c r="R236" s="3455"/>
      <c r="S236" s="3455"/>
      <c r="T236" s="3455"/>
      <c r="U236" s="3455"/>
    </row>
    <row r="237" spans="1:21" s="1009" customFormat="1" ht="14.25" customHeight="1">
      <c r="A237" s="3419" t="s">
        <v>1155</v>
      </c>
      <c r="B237" s="3419" t="s">
        <v>998</v>
      </c>
      <c r="C237" s="3419">
        <v>5850</v>
      </c>
      <c r="D237" s="3419">
        <v>5820</v>
      </c>
      <c r="E237" s="3419">
        <v>7260</v>
      </c>
      <c r="F237" s="3425">
        <v>1140</v>
      </c>
      <c r="G237" s="3425">
        <v>3570</v>
      </c>
      <c r="I237" s="1022"/>
      <c r="J237" s="3455"/>
      <c r="K237" s="3455"/>
      <c r="L237" s="3455"/>
      <c r="M237" s="3455"/>
      <c r="N237" s="3455"/>
      <c r="O237" s="3455"/>
      <c r="P237" s="3455"/>
      <c r="Q237" s="3455"/>
      <c r="R237" s="3455"/>
      <c r="S237" s="3455"/>
      <c r="T237" s="3455"/>
      <c r="U237" s="3455"/>
    </row>
    <row r="238" spans="1:21" s="1009" customFormat="1" ht="14.25" customHeight="1">
      <c r="A238" s="3419" t="s">
        <v>1155</v>
      </c>
      <c r="B238" s="3419" t="s">
        <v>2923</v>
      </c>
      <c r="C238" s="3419">
        <v>6920</v>
      </c>
      <c r="D238" s="3419">
        <v>6890</v>
      </c>
      <c r="E238" s="3419">
        <v>8640</v>
      </c>
      <c r="F238" s="3425">
        <v>1310</v>
      </c>
      <c r="G238" s="3425">
        <v>4230</v>
      </c>
      <c r="I238" s="1022"/>
      <c r="J238" s="3455"/>
      <c r="K238" s="3455"/>
      <c r="L238" s="3455"/>
      <c r="M238" s="3455"/>
      <c r="N238" s="3455"/>
      <c r="O238" s="3455"/>
      <c r="P238" s="3455"/>
      <c r="Q238" s="3455"/>
      <c r="R238" s="3455"/>
      <c r="S238" s="3455"/>
      <c r="T238" s="3455"/>
      <c r="U238" s="3455"/>
    </row>
    <row r="239" spans="1:21" s="1009" customFormat="1" ht="14.25" customHeight="1">
      <c r="A239" s="3419" t="s">
        <v>1155</v>
      </c>
      <c r="B239" s="3419" t="s">
        <v>2924</v>
      </c>
      <c r="C239" s="3419">
        <v>6780</v>
      </c>
      <c r="D239" s="3419">
        <v>6750</v>
      </c>
      <c r="E239" s="3419">
        <v>8440</v>
      </c>
      <c r="F239" s="3425">
        <v>1160</v>
      </c>
      <c r="G239" s="3425">
        <v>4140</v>
      </c>
      <c r="I239" s="1022"/>
      <c r="J239" s="3455"/>
      <c r="K239" s="3455"/>
      <c r="L239" s="3455"/>
      <c r="M239" s="3455"/>
      <c r="N239" s="3455"/>
      <c r="O239" s="3455"/>
      <c r="P239" s="3455"/>
      <c r="Q239" s="3455"/>
      <c r="R239" s="3455"/>
      <c r="S239" s="3455"/>
      <c r="T239" s="3455"/>
      <c r="U239" s="3455"/>
    </row>
    <row r="240" spans="1:21" s="1009" customFormat="1" ht="14.25" customHeight="1">
      <c r="A240" s="3419" t="s">
        <v>1155</v>
      </c>
      <c r="B240" s="3419" t="s">
        <v>2925</v>
      </c>
      <c r="C240" s="3419">
        <v>5420</v>
      </c>
      <c r="D240" s="3419">
        <v>5380</v>
      </c>
      <c r="E240" s="3419">
        <v>6640</v>
      </c>
      <c r="F240" s="3425">
        <v>1020</v>
      </c>
      <c r="G240" s="3425">
        <v>3300</v>
      </c>
      <c r="I240" s="1022"/>
      <c r="J240" s="3455"/>
      <c r="K240" s="3455"/>
      <c r="L240" s="3455"/>
      <c r="M240" s="3455"/>
      <c r="N240" s="3455"/>
      <c r="O240" s="3455"/>
      <c r="P240" s="3455"/>
      <c r="Q240" s="3455"/>
      <c r="R240" s="3455"/>
      <c r="S240" s="3455"/>
      <c r="T240" s="3455"/>
      <c r="U240" s="3455"/>
    </row>
    <row r="241" spans="1:21" s="1009" customFormat="1" ht="14.25" customHeight="1">
      <c r="A241" s="3419" t="s">
        <v>1155</v>
      </c>
      <c r="B241" s="3419" t="s">
        <v>2926</v>
      </c>
      <c r="C241" s="3419">
        <v>6660</v>
      </c>
      <c r="D241" s="3419">
        <v>6640</v>
      </c>
      <c r="E241" s="3419">
        <v>8340</v>
      </c>
      <c r="F241" s="3425">
        <v>1130</v>
      </c>
      <c r="G241" s="3425">
        <v>4080</v>
      </c>
      <c r="I241" s="1022"/>
      <c r="J241" s="3455"/>
      <c r="K241" s="3455"/>
      <c r="L241" s="3455"/>
      <c r="M241" s="3455"/>
      <c r="N241" s="3455"/>
      <c r="O241" s="3455"/>
      <c r="P241" s="3455"/>
      <c r="Q241" s="3455"/>
      <c r="R241" s="3455"/>
      <c r="S241" s="3455"/>
      <c r="T241" s="3455"/>
      <c r="U241" s="3455"/>
    </row>
    <row r="242" spans="1:21" s="1009" customFormat="1" ht="14.25" customHeight="1">
      <c r="A242" s="3419" t="s">
        <v>1155</v>
      </c>
      <c r="B242" s="3419" t="s">
        <v>1028</v>
      </c>
      <c r="C242" s="3419">
        <v>6580</v>
      </c>
      <c r="D242" s="3419">
        <v>6550</v>
      </c>
      <c r="E242" s="3419">
        <v>8090</v>
      </c>
      <c r="F242" s="3425">
        <v>1240</v>
      </c>
      <c r="G242" s="3425">
        <v>4020</v>
      </c>
      <c r="I242" s="1022"/>
      <c r="J242" s="3455"/>
      <c r="K242" s="3455"/>
      <c r="L242" s="3455"/>
      <c r="M242" s="3455"/>
      <c r="N242" s="3455"/>
      <c r="O242" s="3455"/>
      <c r="P242" s="3455"/>
      <c r="Q242" s="3455"/>
      <c r="R242" s="3455"/>
      <c r="S242" s="3455"/>
      <c r="T242" s="3455"/>
      <c r="U242" s="3455"/>
    </row>
    <row r="243" spans="1:21" s="1009" customFormat="1" ht="14.25" customHeight="1">
      <c r="A243" s="3419" t="s">
        <v>1155</v>
      </c>
      <c r="B243" s="3419" t="s">
        <v>1038</v>
      </c>
      <c r="C243" s="3419">
        <v>6000</v>
      </c>
      <c r="D243" s="3419">
        <v>5970</v>
      </c>
      <c r="E243" s="3419">
        <v>7370</v>
      </c>
      <c r="F243" s="3425">
        <v>1070</v>
      </c>
      <c r="G243" s="3425">
        <v>3670</v>
      </c>
      <c r="I243" s="1022"/>
      <c r="J243" s="3455"/>
      <c r="K243" s="3455"/>
      <c r="L243" s="3455"/>
      <c r="M243" s="3455"/>
      <c r="N243" s="3455"/>
      <c r="O243" s="3455"/>
      <c r="P243" s="3455"/>
      <c r="Q243" s="3455"/>
      <c r="R243" s="3455"/>
      <c r="S243" s="3455"/>
      <c r="T243" s="3455"/>
      <c r="U243" s="3455"/>
    </row>
    <row r="244" spans="1:21" s="1009" customFormat="1" ht="14.25" customHeight="1">
      <c r="A244" s="3419" t="s">
        <v>1155</v>
      </c>
      <c r="B244" s="3419" t="s">
        <v>2927</v>
      </c>
      <c r="C244" s="3419">
        <v>5840</v>
      </c>
      <c r="D244" s="3419">
        <v>5810</v>
      </c>
      <c r="E244" s="3419">
        <v>7240</v>
      </c>
      <c r="F244" s="3425">
        <v>1100</v>
      </c>
      <c r="G244" s="3432">
        <v>3560</v>
      </c>
      <c r="I244" s="1022"/>
      <c r="J244" s="3455"/>
      <c r="K244" s="3455"/>
      <c r="L244" s="3455"/>
      <c r="M244" s="3455"/>
      <c r="N244" s="3455"/>
      <c r="O244" s="3455"/>
      <c r="P244" s="3455"/>
      <c r="Q244" s="3455"/>
      <c r="R244" s="3455"/>
      <c r="S244" s="3455"/>
      <c r="T244" s="3455"/>
      <c r="U244" s="3455"/>
    </row>
    <row r="245" spans="1:21" s="1009" customFormat="1" ht="14.25" customHeight="1">
      <c r="A245" s="1287" t="s">
        <v>1155</v>
      </c>
      <c r="B245" s="1287" t="s">
        <v>1053</v>
      </c>
      <c r="C245" s="1287">
        <v>6040</v>
      </c>
      <c r="D245" s="1287">
        <v>6000</v>
      </c>
      <c r="E245" s="1287">
        <v>7420</v>
      </c>
      <c r="F245" s="3420">
        <v>1140</v>
      </c>
      <c r="G245" s="3420">
        <v>3690</v>
      </c>
      <c r="I245" s="1022"/>
      <c r="J245" s="3455"/>
      <c r="K245" s="3455"/>
      <c r="L245" s="3455"/>
      <c r="M245" s="3455"/>
      <c r="N245" s="3455"/>
      <c r="O245" s="3455"/>
      <c r="P245" s="3455"/>
      <c r="Q245" s="3455"/>
      <c r="R245" s="3455"/>
      <c r="S245" s="3455"/>
      <c r="T245" s="3455"/>
      <c r="U245" s="3455"/>
    </row>
    <row r="246" spans="1:21" s="1009" customFormat="1" ht="14.25" customHeight="1">
      <c r="A246" s="3419" t="s">
        <v>1155</v>
      </c>
      <c r="B246" s="3419" t="s">
        <v>1060</v>
      </c>
      <c r="C246" s="3419">
        <v>5890</v>
      </c>
      <c r="D246" s="3419">
        <v>5860</v>
      </c>
      <c r="E246" s="3419">
        <v>7300</v>
      </c>
      <c r="F246" s="3425">
        <v>1110</v>
      </c>
      <c r="G246" s="3425">
        <v>3590</v>
      </c>
      <c r="I246" s="1022"/>
      <c r="J246" s="3455"/>
      <c r="K246" s="3455"/>
      <c r="L246" s="3455"/>
      <c r="M246" s="3455"/>
      <c r="N246" s="3455"/>
      <c r="O246" s="3455"/>
      <c r="P246" s="3455"/>
      <c r="Q246" s="3455"/>
      <c r="R246" s="3455"/>
      <c r="S246" s="3455"/>
      <c r="T246" s="3455"/>
      <c r="U246" s="3455"/>
    </row>
    <row r="247" spans="1:21" s="1009" customFormat="1" ht="14.25" customHeight="1">
      <c r="A247" s="3419" t="s">
        <v>1155</v>
      </c>
      <c r="B247" s="3419" t="s">
        <v>2928</v>
      </c>
      <c r="C247" s="3419">
        <v>6480</v>
      </c>
      <c r="D247" s="3419">
        <v>6450</v>
      </c>
      <c r="E247" s="3419">
        <v>8010</v>
      </c>
      <c r="F247" s="3425">
        <v>1170</v>
      </c>
      <c r="G247" s="3425">
        <v>3960</v>
      </c>
      <c r="I247" s="1022"/>
      <c r="J247" s="3455"/>
      <c r="K247" s="3455"/>
      <c r="L247" s="3455"/>
      <c r="M247" s="3455"/>
      <c r="N247" s="3455"/>
      <c r="O247" s="3455"/>
      <c r="P247" s="3455"/>
      <c r="Q247" s="3455"/>
      <c r="R247" s="3455"/>
      <c r="S247" s="3455"/>
      <c r="T247" s="3455"/>
      <c r="U247" s="3455"/>
    </row>
    <row r="248" spans="1:21" s="1009" customFormat="1" ht="14.25" customHeight="1">
      <c r="A248" s="3419" t="s">
        <v>1155</v>
      </c>
      <c r="B248" s="3419" t="s">
        <v>1075</v>
      </c>
      <c r="C248" s="3419">
        <v>6860</v>
      </c>
      <c r="D248" s="3419">
        <v>6840</v>
      </c>
      <c r="E248" s="3419">
        <v>8520</v>
      </c>
      <c r="F248" s="3425">
        <v>1240</v>
      </c>
      <c r="G248" s="3425">
        <v>4200</v>
      </c>
      <c r="I248" s="1022"/>
      <c r="J248" s="3455"/>
      <c r="K248" s="3455"/>
      <c r="L248" s="3455"/>
      <c r="M248" s="3455"/>
      <c r="N248" s="3455"/>
      <c r="O248" s="3455"/>
      <c r="P248" s="3455"/>
      <c r="Q248" s="3455"/>
      <c r="R248" s="3455"/>
      <c r="S248" s="3455"/>
      <c r="T248" s="3455"/>
      <c r="U248" s="3455"/>
    </row>
    <row r="249" spans="1:21" s="1009" customFormat="1" ht="14.25" customHeight="1">
      <c r="A249" s="3419" t="s">
        <v>1155</v>
      </c>
      <c r="B249" s="3419" t="s">
        <v>2929</v>
      </c>
      <c r="C249" s="3419">
        <v>7180</v>
      </c>
      <c r="D249" s="3419">
        <v>7140</v>
      </c>
      <c r="E249" s="3419">
        <v>8900</v>
      </c>
      <c r="F249" s="3425">
        <v>1350</v>
      </c>
      <c r="G249" s="3425">
        <v>4380</v>
      </c>
      <c r="I249" s="1022"/>
      <c r="J249" s="3455"/>
      <c r="K249" s="3455"/>
      <c r="L249" s="3455"/>
      <c r="M249" s="3455"/>
      <c r="N249" s="3455"/>
      <c r="O249" s="3455"/>
      <c r="P249" s="3455"/>
      <c r="Q249" s="3455"/>
      <c r="R249" s="3455"/>
      <c r="S249" s="3455"/>
      <c r="T249" s="3455"/>
      <c r="U249" s="3455"/>
    </row>
    <row r="250" spans="1:21" s="1009" customFormat="1" ht="14.25" customHeight="1">
      <c r="A250" s="3419" t="s">
        <v>1155</v>
      </c>
      <c r="B250" s="3419" t="s">
        <v>1089</v>
      </c>
      <c r="C250" s="3419">
        <v>6880</v>
      </c>
      <c r="D250" s="3419">
        <v>6860</v>
      </c>
      <c r="E250" s="3419">
        <v>8550</v>
      </c>
      <c r="F250" s="3425">
        <v>1220</v>
      </c>
      <c r="G250" s="3425">
        <v>4210</v>
      </c>
      <c r="I250" s="1022"/>
      <c r="J250" s="3455"/>
      <c r="K250" s="3455"/>
      <c r="L250" s="3455"/>
      <c r="M250" s="3455"/>
      <c r="N250" s="3455"/>
      <c r="O250" s="3455"/>
      <c r="P250" s="3455"/>
      <c r="Q250" s="3455"/>
      <c r="R250" s="3455"/>
      <c r="S250" s="3455"/>
      <c r="T250" s="3455"/>
      <c r="U250" s="3455"/>
    </row>
    <row r="251" spans="1:21" s="1009" customFormat="1" ht="14.25" customHeight="1">
      <c r="A251" s="3419" t="s">
        <v>1155</v>
      </c>
      <c r="B251" s="3419" t="s">
        <v>1097</v>
      </c>
      <c r="C251" s="3419"/>
      <c r="D251" s="3419"/>
      <c r="E251" s="3419"/>
      <c r="F251" s="3425">
        <v>1100</v>
      </c>
      <c r="G251" s="3425"/>
      <c r="I251" s="1022"/>
      <c r="J251" s="3455"/>
      <c r="K251" s="3455"/>
      <c r="L251" s="3455"/>
      <c r="M251" s="3455"/>
      <c r="N251" s="3455"/>
      <c r="O251" s="3455"/>
      <c r="P251" s="3455"/>
      <c r="Q251" s="3455"/>
      <c r="R251" s="3455"/>
      <c r="S251" s="3455"/>
      <c r="T251" s="3455"/>
      <c r="U251" s="3455"/>
    </row>
    <row r="252" spans="1:21" s="1009" customFormat="1" ht="14.25" customHeight="1">
      <c r="A252" s="3419" t="s">
        <v>1155</v>
      </c>
      <c r="B252" s="3419" t="s">
        <v>2930</v>
      </c>
      <c r="C252" s="3419">
        <v>7240</v>
      </c>
      <c r="D252" s="3419">
        <v>7200</v>
      </c>
      <c r="E252" s="3419">
        <v>9040</v>
      </c>
      <c r="F252" s="3425">
        <v>1380</v>
      </c>
      <c r="G252" s="3425">
        <v>4420</v>
      </c>
      <c r="I252" s="1022"/>
      <c r="J252" s="3455"/>
      <c r="K252" s="3455"/>
      <c r="L252" s="3455"/>
      <c r="M252" s="3455"/>
      <c r="N252" s="3455"/>
      <c r="O252" s="3455"/>
      <c r="P252" s="3455"/>
      <c r="Q252" s="3455"/>
      <c r="R252" s="3455"/>
      <c r="S252" s="3455"/>
      <c r="T252" s="3455"/>
      <c r="U252" s="3455"/>
    </row>
    <row r="253" spans="1:21" s="1009" customFormat="1" ht="14.25" customHeight="1">
      <c r="A253" s="3419" t="s">
        <v>1155</v>
      </c>
      <c r="B253" s="3419" t="s">
        <v>1132</v>
      </c>
      <c r="C253" s="3419">
        <v>6670</v>
      </c>
      <c r="D253" s="3419">
        <v>6650</v>
      </c>
      <c r="E253" s="3419">
        <v>8350</v>
      </c>
      <c r="F253" s="3425">
        <v>1260</v>
      </c>
      <c r="G253" s="3425">
        <v>4080</v>
      </c>
      <c r="I253" s="1022"/>
      <c r="J253" s="3455"/>
      <c r="K253" s="3455"/>
      <c r="L253" s="3455"/>
      <c r="M253" s="3455"/>
      <c r="N253" s="3455"/>
      <c r="O253" s="3455"/>
      <c r="P253" s="3455"/>
      <c r="Q253" s="3455"/>
      <c r="R253" s="3455"/>
      <c r="S253" s="3455"/>
      <c r="T253" s="3455"/>
      <c r="U253" s="3455"/>
    </row>
    <row r="254" spans="1:21" s="1009" customFormat="1" ht="14.25" customHeight="1">
      <c r="A254" s="3419" t="s">
        <v>1155</v>
      </c>
      <c r="B254" s="3419" t="s">
        <v>1135</v>
      </c>
      <c r="C254" s="3428">
        <v>7630</v>
      </c>
      <c r="D254" s="3428">
        <v>7590</v>
      </c>
      <c r="E254" s="3428">
        <v>9380</v>
      </c>
      <c r="F254" s="3427">
        <v>1320</v>
      </c>
      <c r="G254" s="3425">
        <v>4660</v>
      </c>
      <c r="I254" s="1022"/>
      <c r="J254" s="3455"/>
      <c r="K254" s="3455"/>
      <c r="L254" s="3455"/>
      <c r="M254" s="3455"/>
      <c r="N254" s="3455"/>
      <c r="O254" s="3455"/>
      <c r="P254" s="3455"/>
      <c r="Q254" s="3455"/>
      <c r="R254" s="3455"/>
      <c r="S254" s="3455"/>
      <c r="T254" s="3455"/>
      <c r="U254" s="3455"/>
    </row>
    <row r="255" spans="1:21" s="1009" customFormat="1" ht="14.25" customHeight="1">
      <c r="A255" s="3419" t="s">
        <v>1155</v>
      </c>
      <c r="B255" s="3419" t="s">
        <v>1138</v>
      </c>
      <c r="C255" s="3428">
        <v>6940</v>
      </c>
      <c r="D255" s="3428">
        <v>6890</v>
      </c>
      <c r="E255" s="3428">
        <v>8650</v>
      </c>
      <c r="F255" s="3427">
        <v>1210</v>
      </c>
      <c r="G255" s="3425">
        <v>4230</v>
      </c>
      <c r="I255" s="1022"/>
      <c r="J255" s="3455"/>
      <c r="K255" s="3455"/>
      <c r="L255" s="3455"/>
      <c r="M255" s="3455"/>
      <c r="N255" s="3455"/>
      <c r="O255" s="3455"/>
      <c r="P255" s="3455"/>
      <c r="Q255" s="3455"/>
      <c r="R255" s="3455"/>
      <c r="S255" s="3455"/>
      <c r="T255" s="3455"/>
      <c r="U255" s="3455"/>
    </row>
    <row r="256" spans="1:21" s="1009" customFormat="1" ht="14.25" customHeight="1">
      <c r="A256" s="3419" t="s">
        <v>1155</v>
      </c>
      <c r="B256" s="3419" t="s">
        <v>2931</v>
      </c>
      <c r="C256" s="3419">
        <v>7520</v>
      </c>
      <c r="D256" s="3419">
        <v>7490</v>
      </c>
      <c r="E256" s="3419">
        <v>9240</v>
      </c>
      <c r="F256" s="3425">
        <v>1270</v>
      </c>
      <c r="G256" s="3425">
        <v>4590</v>
      </c>
      <c r="I256" s="1022"/>
      <c r="J256" s="3455"/>
      <c r="K256" s="3455"/>
      <c r="L256" s="3455"/>
      <c r="M256" s="3455"/>
      <c r="N256" s="3455"/>
      <c r="O256" s="3455"/>
      <c r="P256" s="3455"/>
      <c r="Q256" s="3455"/>
      <c r="R256" s="3455"/>
      <c r="S256" s="3455"/>
      <c r="T256" s="3455"/>
      <c r="U256" s="3455"/>
    </row>
    <row r="257" spans="1:21" s="1009" customFormat="1" ht="14.25" customHeight="1">
      <c r="A257" s="3419" t="s">
        <v>1155</v>
      </c>
      <c r="B257" s="3419" t="s">
        <v>1124</v>
      </c>
      <c r="C257" s="3419">
        <v>6280</v>
      </c>
      <c r="D257" s="3419">
        <v>6230</v>
      </c>
      <c r="E257" s="3419">
        <v>7740</v>
      </c>
      <c r="F257" s="3425">
        <v>1080</v>
      </c>
      <c r="G257" s="3425">
        <v>3830</v>
      </c>
      <c r="I257" s="1022"/>
      <c r="J257" s="3455"/>
      <c r="K257" s="3455"/>
      <c r="L257" s="3455"/>
      <c r="M257" s="3455"/>
      <c r="N257" s="3455"/>
      <c r="O257" s="3455"/>
      <c r="P257" s="3455"/>
      <c r="Q257" s="3455"/>
      <c r="R257" s="3455"/>
      <c r="S257" s="3455"/>
      <c r="T257" s="3455"/>
      <c r="U257" s="3455"/>
    </row>
    <row r="258" spans="1:21" s="1009" customFormat="1" ht="14.25" customHeight="1">
      <c r="A258" s="3419" t="s">
        <v>1155</v>
      </c>
      <c r="B258" s="3419" t="s">
        <v>2932</v>
      </c>
      <c r="C258" s="3419">
        <v>6190</v>
      </c>
      <c r="D258" s="3419">
        <v>6160</v>
      </c>
      <c r="E258" s="3419">
        <v>7680</v>
      </c>
      <c r="F258" s="3425">
        <v>1170</v>
      </c>
      <c r="G258" s="3425">
        <v>3780</v>
      </c>
      <c r="I258" s="1022"/>
      <c r="J258" s="3455"/>
      <c r="K258" s="3455"/>
      <c r="L258" s="3455"/>
      <c r="M258" s="3455"/>
      <c r="N258" s="3455"/>
      <c r="O258" s="3455"/>
      <c r="P258" s="3455"/>
      <c r="Q258" s="3455"/>
      <c r="R258" s="3455"/>
      <c r="S258" s="3455"/>
      <c r="T258" s="3455"/>
      <c r="U258" s="3455"/>
    </row>
    <row r="259" spans="1:21" s="1009" customFormat="1" ht="14.25" customHeight="1">
      <c r="A259" s="3419" t="s">
        <v>1155</v>
      </c>
      <c r="B259" s="3419" t="s">
        <v>2933</v>
      </c>
      <c r="C259" s="3419">
        <v>7610</v>
      </c>
      <c r="D259" s="3419">
        <v>7570</v>
      </c>
      <c r="E259" s="3419">
        <v>9350</v>
      </c>
      <c r="F259" s="3425">
        <v>1350</v>
      </c>
      <c r="G259" s="3425">
        <v>4650</v>
      </c>
      <c r="I259" s="1022"/>
      <c r="J259" s="3455"/>
      <c r="K259" s="3455"/>
      <c r="L259" s="3455"/>
      <c r="M259" s="3455"/>
      <c r="N259" s="3455"/>
      <c r="O259" s="3455"/>
      <c r="P259" s="3455"/>
      <c r="Q259" s="3455"/>
      <c r="R259" s="3455"/>
      <c r="S259" s="3455"/>
      <c r="T259" s="3455"/>
      <c r="U259" s="3455"/>
    </row>
    <row r="260" spans="1:21" s="1009" customFormat="1" ht="14.25" customHeight="1">
      <c r="A260" s="3419" t="s">
        <v>1155</v>
      </c>
      <c r="B260" s="3419" t="s">
        <v>2934</v>
      </c>
      <c r="C260" s="3419">
        <v>6920</v>
      </c>
      <c r="D260" s="3419">
        <v>6880</v>
      </c>
      <c r="E260" s="3419">
        <v>8380</v>
      </c>
      <c r="F260" s="3425">
        <v>1160</v>
      </c>
      <c r="G260" s="3425">
        <v>4220</v>
      </c>
      <c r="I260" s="1022"/>
      <c r="J260" s="3455"/>
      <c r="K260" s="3455"/>
      <c r="L260" s="3455"/>
      <c r="M260" s="3455"/>
      <c r="N260" s="3455"/>
      <c r="O260" s="3455"/>
      <c r="P260" s="3455"/>
      <c r="Q260" s="3455"/>
      <c r="R260" s="3455"/>
      <c r="S260" s="3455"/>
      <c r="T260" s="3455"/>
      <c r="U260" s="3455"/>
    </row>
    <row r="261" spans="1:21" s="1009" customFormat="1" ht="14.25" customHeight="1">
      <c r="A261" s="3419" t="s">
        <v>1155</v>
      </c>
      <c r="B261" s="3419" t="s">
        <v>2935</v>
      </c>
      <c r="C261" s="3419">
        <v>6850</v>
      </c>
      <c r="D261" s="3419">
        <v>6810</v>
      </c>
      <c r="E261" s="3419">
        <v>8290</v>
      </c>
      <c r="F261" s="3425">
        <v>1130</v>
      </c>
      <c r="G261" s="3425">
        <v>4180</v>
      </c>
      <c r="I261" s="1022"/>
      <c r="J261" s="3455"/>
      <c r="K261" s="3455"/>
      <c r="L261" s="3455"/>
      <c r="M261" s="3455"/>
      <c r="N261" s="3455"/>
      <c r="O261" s="3455"/>
      <c r="P261" s="3455"/>
      <c r="Q261" s="3455"/>
      <c r="R261" s="3455"/>
      <c r="S261" s="3455"/>
      <c r="T261" s="3455"/>
      <c r="U261" s="3455"/>
    </row>
    <row r="262" spans="1:21" s="1009" customFormat="1" ht="14.25" customHeight="1">
      <c r="A262" s="3419" t="s">
        <v>1155</v>
      </c>
      <c r="B262" s="3419" t="s">
        <v>2936</v>
      </c>
      <c r="C262" s="3419">
        <v>5860</v>
      </c>
      <c r="D262" s="3419">
        <v>5820</v>
      </c>
      <c r="E262" s="3419">
        <v>7640</v>
      </c>
      <c r="F262" s="3425">
        <v>1070</v>
      </c>
      <c r="G262" s="3427">
        <v>3570</v>
      </c>
      <c r="I262" s="1022"/>
      <c r="J262" s="3455"/>
      <c r="K262" s="3455"/>
      <c r="L262" s="3455"/>
      <c r="M262" s="3455"/>
      <c r="N262" s="3455"/>
      <c r="O262" s="3455"/>
      <c r="P262" s="3455"/>
      <c r="Q262" s="3455"/>
      <c r="R262" s="3455"/>
      <c r="S262" s="3455"/>
      <c r="T262" s="3455"/>
      <c r="U262" s="3455"/>
    </row>
    <row r="263" spans="1:21" s="1009" customFormat="1" ht="14.25" customHeight="1">
      <c r="A263" s="3419" t="s">
        <v>1155</v>
      </c>
      <c r="B263" s="3419" t="s">
        <v>2937</v>
      </c>
      <c r="C263" s="3419">
        <v>5870</v>
      </c>
      <c r="D263" s="3419">
        <v>5840</v>
      </c>
      <c r="E263" s="3419">
        <v>7270</v>
      </c>
      <c r="F263" s="3425">
        <v>1190</v>
      </c>
      <c r="G263" s="3425">
        <v>3580</v>
      </c>
      <c r="I263" s="1022"/>
      <c r="J263" s="3455"/>
      <c r="K263" s="3455"/>
      <c r="L263" s="3455"/>
      <c r="M263" s="3455"/>
      <c r="N263" s="3455"/>
      <c r="O263" s="3455"/>
      <c r="P263" s="3455"/>
      <c r="Q263" s="3455"/>
      <c r="R263" s="3455"/>
      <c r="S263" s="3455"/>
      <c r="T263" s="3455"/>
      <c r="U263" s="3455"/>
    </row>
    <row r="264" spans="1:21" s="1009" customFormat="1" ht="14.25" customHeight="1">
      <c r="A264" s="3419" t="s">
        <v>1155</v>
      </c>
      <c r="B264" s="3419" t="s">
        <v>1148</v>
      </c>
      <c r="C264" s="3419">
        <v>6190</v>
      </c>
      <c r="D264" s="3419">
        <v>6150</v>
      </c>
      <c r="E264" s="3419">
        <v>7660</v>
      </c>
      <c r="F264" s="3425">
        <v>1160</v>
      </c>
      <c r="G264" s="3425">
        <v>3770</v>
      </c>
      <c r="I264" s="1022"/>
      <c r="J264" s="3455"/>
      <c r="K264" s="3455"/>
      <c r="L264" s="3455"/>
      <c r="M264" s="3455"/>
      <c r="N264" s="3455"/>
      <c r="O264" s="3455"/>
      <c r="P264" s="3455"/>
      <c r="Q264" s="3455"/>
      <c r="R264" s="3455"/>
      <c r="S264" s="3455"/>
      <c r="T264" s="3455"/>
      <c r="U264" s="3455"/>
    </row>
    <row r="265" spans="1:21" s="1009" customFormat="1" ht="14.25" customHeight="1">
      <c r="A265" s="3419" t="s">
        <v>1155</v>
      </c>
      <c r="B265" s="3419" t="s">
        <v>2938</v>
      </c>
      <c r="C265" s="3419"/>
      <c r="D265" s="3419"/>
      <c r="E265" s="3419"/>
      <c r="F265" s="3425">
        <v>1500</v>
      </c>
      <c r="G265" s="3425"/>
      <c r="I265" s="1022"/>
      <c r="J265" s="3455"/>
      <c r="K265" s="3455"/>
      <c r="L265" s="3455"/>
      <c r="M265" s="3455"/>
      <c r="N265" s="3455"/>
      <c r="O265" s="3455"/>
      <c r="P265" s="3455"/>
      <c r="Q265" s="3455"/>
      <c r="R265" s="3455"/>
      <c r="S265" s="3455"/>
      <c r="T265" s="3455"/>
      <c r="U265" s="3455"/>
    </row>
    <row r="266" spans="1:21" s="1009" customFormat="1" ht="14.25" customHeight="1">
      <c r="A266" s="3419" t="s">
        <v>1155</v>
      </c>
      <c r="B266" s="3419" t="s">
        <v>2939</v>
      </c>
      <c r="C266" s="3419"/>
      <c r="D266" s="3419"/>
      <c r="E266" s="3419"/>
      <c r="F266" s="3425">
        <v>1500</v>
      </c>
      <c r="G266" s="3425"/>
      <c r="I266" s="1022"/>
      <c r="J266" s="3455"/>
      <c r="K266" s="3455"/>
      <c r="L266" s="3455"/>
      <c r="M266" s="3455"/>
      <c r="N266" s="3455"/>
      <c r="O266" s="3455"/>
      <c r="P266" s="3455"/>
      <c r="Q266" s="3455"/>
      <c r="R266" s="3455"/>
      <c r="S266" s="3455"/>
      <c r="T266" s="3455"/>
      <c r="U266" s="3455"/>
    </row>
    <row r="267" spans="1:21" s="1009" customFormat="1" ht="14.25" customHeight="1">
      <c r="A267" s="3419" t="s">
        <v>1155</v>
      </c>
      <c r="B267" s="3419" t="s">
        <v>2940</v>
      </c>
      <c r="C267" s="3419"/>
      <c r="D267" s="3419"/>
      <c r="E267" s="3419"/>
      <c r="F267" s="3425">
        <v>1500</v>
      </c>
      <c r="G267" s="3427"/>
      <c r="I267" s="1022"/>
      <c r="J267" s="3455"/>
      <c r="K267" s="3455"/>
      <c r="L267" s="3455"/>
      <c r="M267" s="3455"/>
      <c r="N267" s="3455"/>
      <c r="O267" s="3455"/>
      <c r="P267" s="3455"/>
      <c r="Q267" s="3455"/>
      <c r="R267" s="3455"/>
      <c r="S267" s="3455"/>
      <c r="T267" s="3455"/>
      <c r="U267" s="3455"/>
    </row>
    <row r="268" spans="1:21" s="1009" customFormat="1" ht="14.25" customHeight="1">
      <c r="A268" s="3419" t="s">
        <v>1155</v>
      </c>
      <c r="B268" s="3419" t="s">
        <v>2941</v>
      </c>
      <c r="C268" s="3419"/>
      <c r="D268" s="3419"/>
      <c r="E268" s="3419"/>
      <c r="F268" s="3425">
        <v>1290</v>
      </c>
      <c r="G268" s="3425"/>
      <c r="I268" s="1022"/>
      <c r="J268" s="3455"/>
      <c r="K268" s="3455"/>
      <c r="L268" s="3455"/>
      <c r="M268" s="3455"/>
      <c r="N268" s="3455"/>
      <c r="O268" s="3455"/>
      <c r="P268" s="3455"/>
      <c r="Q268" s="3455"/>
      <c r="R268" s="3455"/>
      <c r="S268" s="3455"/>
      <c r="T268" s="3455"/>
      <c r="U268" s="3455"/>
    </row>
    <row r="269" spans="1:21" s="1009" customFormat="1" ht="14.25" customHeight="1">
      <c r="A269" s="3419" t="s">
        <v>1155</v>
      </c>
      <c r="B269" s="3419" t="s">
        <v>2942</v>
      </c>
      <c r="C269" s="3419"/>
      <c r="D269" s="3419"/>
      <c r="E269" s="3419"/>
      <c r="F269" s="3425">
        <v>1150</v>
      </c>
      <c r="G269" s="3425"/>
      <c r="I269" s="1022"/>
      <c r="J269" s="3455"/>
      <c r="K269" s="3455"/>
      <c r="L269" s="3455"/>
      <c r="M269" s="3455"/>
      <c r="N269" s="3455"/>
      <c r="O269" s="3455"/>
      <c r="P269" s="3455"/>
      <c r="Q269" s="3455"/>
      <c r="R269" s="3455"/>
      <c r="S269" s="3455"/>
      <c r="T269" s="3455"/>
      <c r="U269" s="3455"/>
    </row>
    <row r="270" spans="1:21" s="1009" customFormat="1" ht="14.25" customHeight="1">
      <c r="A270" s="3419" t="s">
        <v>1155</v>
      </c>
      <c r="B270" s="3419" t="s">
        <v>2943</v>
      </c>
      <c r="C270" s="3419"/>
      <c r="D270" s="3419"/>
      <c r="E270" s="3419"/>
      <c r="F270" s="3425">
        <v>1380</v>
      </c>
      <c r="G270" s="3425"/>
      <c r="I270" s="1022"/>
      <c r="J270" s="3455"/>
      <c r="K270" s="3455"/>
      <c r="L270" s="3455"/>
      <c r="M270" s="3455"/>
      <c r="N270" s="3455"/>
      <c r="O270" s="3455"/>
      <c r="P270" s="3455"/>
      <c r="Q270" s="3455"/>
      <c r="R270" s="3455"/>
      <c r="S270" s="3455"/>
      <c r="T270" s="3455"/>
      <c r="U270" s="3455"/>
    </row>
    <row r="271" spans="1:21" s="1009" customFormat="1" ht="14.25" customHeight="1">
      <c r="A271" s="3419" t="s">
        <v>1155</v>
      </c>
      <c r="B271" s="3419" t="s">
        <v>2944</v>
      </c>
      <c r="C271" s="3419"/>
      <c r="D271" s="3419"/>
      <c r="E271" s="3419"/>
      <c r="F271" s="3425">
        <v>1460</v>
      </c>
      <c r="G271" s="3425"/>
      <c r="I271" s="1022"/>
      <c r="J271" s="3455"/>
      <c r="K271" s="3455"/>
      <c r="L271" s="3455"/>
      <c r="M271" s="3455"/>
      <c r="N271" s="3455"/>
      <c r="O271" s="3455"/>
      <c r="P271" s="3455"/>
      <c r="Q271" s="3455"/>
      <c r="R271" s="3455"/>
      <c r="S271" s="3455"/>
      <c r="T271" s="3455"/>
      <c r="U271" s="3455"/>
    </row>
    <row r="272" spans="1:21" s="1009" customFormat="1" ht="14.25" customHeight="1">
      <c r="A272" s="3419" t="s">
        <v>1155</v>
      </c>
      <c r="B272" s="3419" t="s">
        <v>2945</v>
      </c>
      <c r="C272" s="3428"/>
      <c r="D272" s="3428"/>
      <c r="E272" s="3428"/>
      <c r="F272" s="3427">
        <v>1460</v>
      </c>
      <c r="G272" s="3425"/>
      <c r="I272" s="1022"/>
      <c r="J272" s="3455"/>
      <c r="K272" s="3455"/>
      <c r="L272" s="3455"/>
      <c r="M272" s="3455"/>
      <c r="N272" s="3455"/>
      <c r="O272" s="3455"/>
      <c r="P272" s="3455"/>
      <c r="Q272" s="3455"/>
      <c r="R272" s="3455"/>
      <c r="S272" s="3455"/>
      <c r="T272" s="3455"/>
      <c r="U272" s="3455"/>
    </row>
    <row r="273" spans="1:21" s="1009" customFormat="1" ht="14.25" customHeight="1">
      <c r="A273" s="3419" t="s">
        <v>1155</v>
      </c>
      <c r="B273" s="3419" t="s">
        <v>2946</v>
      </c>
      <c r="C273" s="3419"/>
      <c r="D273" s="3419"/>
      <c r="E273" s="3419"/>
      <c r="F273" s="3425">
        <v>1490</v>
      </c>
      <c r="G273" s="3425"/>
      <c r="I273" s="1022"/>
      <c r="J273" s="3455"/>
      <c r="K273" s="3455"/>
      <c r="L273" s="3455"/>
      <c r="M273" s="3455"/>
      <c r="N273" s="3455"/>
      <c r="O273" s="3455"/>
      <c r="P273" s="3455"/>
      <c r="Q273" s="3455"/>
      <c r="R273" s="3455"/>
      <c r="S273" s="3455"/>
      <c r="T273" s="3455"/>
      <c r="U273" s="3455"/>
    </row>
    <row r="274" spans="1:21" s="1009" customFormat="1" ht="14.25" customHeight="1">
      <c r="A274" s="3419" t="s">
        <v>1155</v>
      </c>
      <c r="B274" s="3419" t="s">
        <v>2947</v>
      </c>
      <c r="C274" s="3419"/>
      <c r="D274" s="3419"/>
      <c r="E274" s="3419"/>
      <c r="F274" s="3425">
        <v>1490</v>
      </c>
      <c r="G274" s="3425"/>
      <c r="I274" s="1022"/>
      <c r="J274" s="3455"/>
      <c r="K274" s="3455"/>
      <c r="L274" s="3455"/>
      <c r="M274" s="3455"/>
      <c r="N274" s="3455"/>
      <c r="O274" s="3455"/>
      <c r="P274" s="3455"/>
      <c r="Q274" s="3455"/>
      <c r="R274" s="3455"/>
      <c r="S274" s="3455"/>
      <c r="T274" s="3455"/>
      <c r="U274" s="3455"/>
    </row>
    <row r="275" spans="1:21" s="1009" customFormat="1" ht="14.25" customHeight="1">
      <c r="A275" s="3419" t="s">
        <v>1155</v>
      </c>
      <c r="B275" s="3419" t="s">
        <v>2948</v>
      </c>
      <c r="C275" s="3419"/>
      <c r="D275" s="3419"/>
      <c r="E275" s="3419"/>
      <c r="F275" s="3425">
        <v>1220</v>
      </c>
      <c r="G275" s="3425"/>
      <c r="I275" s="1022"/>
      <c r="J275" s="3455"/>
      <c r="K275" s="3455"/>
      <c r="L275" s="3455"/>
      <c r="M275" s="3455"/>
      <c r="N275" s="3455"/>
      <c r="O275" s="3455"/>
      <c r="P275" s="3455"/>
      <c r="Q275" s="3455"/>
      <c r="R275" s="3455"/>
      <c r="S275" s="3455"/>
      <c r="T275" s="3455"/>
      <c r="U275" s="3455"/>
    </row>
    <row r="276" spans="1:21" s="1009" customFormat="1" ht="14.25" customHeight="1" thickBot="1">
      <c r="A276" s="3434" t="s">
        <v>1155</v>
      </c>
      <c r="B276" s="3422" t="s">
        <v>2949</v>
      </c>
      <c r="C276" s="3422"/>
      <c r="D276" s="3422"/>
      <c r="E276" s="3422"/>
      <c r="F276" s="3423">
        <v>1380</v>
      </c>
      <c r="G276" s="3435"/>
      <c r="I276" s="1022"/>
      <c r="J276" s="3455"/>
      <c r="K276" s="3455"/>
      <c r="L276" s="3455"/>
      <c r="M276" s="3455"/>
      <c r="N276" s="3455"/>
      <c r="O276" s="3455"/>
      <c r="P276" s="3455"/>
      <c r="Q276" s="3455"/>
      <c r="R276" s="3455"/>
      <c r="S276" s="3455"/>
      <c r="T276" s="3455"/>
      <c r="U276" s="3455"/>
    </row>
    <row r="277" spans="1:21" s="1009" customFormat="1" ht="14.25" customHeight="1">
      <c r="A277" s="3433" t="s">
        <v>1156</v>
      </c>
      <c r="B277" s="1287" t="s">
        <v>2950</v>
      </c>
      <c r="C277" s="1287">
        <v>5790</v>
      </c>
      <c r="D277" s="1287">
        <v>5740</v>
      </c>
      <c r="E277" s="1287">
        <v>6730</v>
      </c>
      <c r="F277" s="3420">
        <v>1110</v>
      </c>
      <c r="G277" s="3420">
        <v>3460</v>
      </c>
      <c r="I277" s="1022"/>
      <c r="J277" s="3455"/>
      <c r="K277" s="3455"/>
      <c r="L277" s="3455"/>
      <c r="M277" s="3455"/>
      <c r="N277" s="3455"/>
      <c r="O277" s="3455"/>
      <c r="P277" s="3455"/>
      <c r="Q277" s="3455"/>
      <c r="R277" s="3455"/>
      <c r="S277" s="3455"/>
      <c r="T277" s="3455"/>
      <c r="U277" s="3455"/>
    </row>
    <row r="278" spans="1:21" s="1009" customFormat="1" ht="14.25" customHeight="1">
      <c r="A278" s="3419" t="s">
        <v>1156</v>
      </c>
      <c r="B278" s="3419" t="s">
        <v>980</v>
      </c>
      <c r="C278" s="3419">
        <v>5740</v>
      </c>
      <c r="D278" s="3419">
        <v>5670</v>
      </c>
      <c r="E278" s="3419">
        <v>6680</v>
      </c>
      <c r="F278" s="3425">
        <v>1070</v>
      </c>
      <c r="G278" s="3425">
        <v>3420</v>
      </c>
      <c r="I278" s="1022"/>
      <c r="J278" s="3455"/>
      <c r="K278" s="3455"/>
      <c r="L278" s="3455"/>
      <c r="M278" s="3455"/>
      <c r="N278" s="3455"/>
      <c r="O278" s="3455"/>
      <c r="P278" s="3455"/>
      <c r="Q278" s="3455"/>
      <c r="R278" s="3455"/>
      <c r="S278" s="3455"/>
      <c r="T278" s="3455"/>
      <c r="U278" s="3455"/>
    </row>
    <row r="279" spans="1:21" s="1009" customFormat="1" ht="14.25" customHeight="1">
      <c r="A279" s="3419" t="s">
        <v>1156</v>
      </c>
      <c r="B279" s="3419" t="s">
        <v>2951</v>
      </c>
      <c r="C279" s="3419">
        <v>4760</v>
      </c>
      <c r="D279" s="3419">
        <v>4720</v>
      </c>
      <c r="E279" s="3419">
        <v>5540</v>
      </c>
      <c r="F279" s="3425">
        <v>810</v>
      </c>
      <c r="G279" s="3425">
        <v>2850</v>
      </c>
      <c r="I279" s="1022"/>
      <c r="J279" s="3455"/>
      <c r="K279" s="3455"/>
      <c r="L279" s="3455"/>
      <c r="M279" s="3455"/>
      <c r="N279" s="3455"/>
      <c r="O279" s="3455"/>
      <c r="P279" s="3455"/>
      <c r="Q279" s="3455"/>
      <c r="R279" s="3455"/>
      <c r="S279" s="3455"/>
      <c r="T279" s="3455"/>
      <c r="U279" s="3455"/>
    </row>
    <row r="280" spans="1:21" s="1009" customFormat="1" ht="14.25" customHeight="1">
      <c r="A280" s="3419" t="s">
        <v>1156</v>
      </c>
      <c r="B280" s="3419" t="s">
        <v>2952</v>
      </c>
      <c r="C280" s="3419">
        <v>4010</v>
      </c>
      <c r="D280" s="3419">
        <v>3950</v>
      </c>
      <c r="E280" s="3419">
        <v>4710</v>
      </c>
      <c r="F280" s="3425">
        <v>800</v>
      </c>
      <c r="G280" s="3425">
        <v>2390</v>
      </c>
      <c r="I280" s="1022"/>
      <c r="J280" s="3455"/>
      <c r="K280" s="3455"/>
      <c r="L280" s="3455"/>
      <c r="M280" s="3455"/>
      <c r="N280" s="3455"/>
      <c r="O280" s="3455"/>
      <c r="P280" s="3455"/>
      <c r="Q280" s="3455"/>
      <c r="R280" s="3455"/>
      <c r="S280" s="3455"/>
      <c r="T280" s="3455"/>
      <c r="U280" s="3455"/>
    </row>
    <row r="281" spans="1:21" s="1009" customFormat="1" ht="14.25" customHeight="1">
      <c r="A281" s="3419" t="s">
        <v>1156</v>
      </c>
      <c r="B281" s="3419" t="s">
        <v>2953</v>
      </c>
      <c r="C281" s="3419">
        <v>4480</v>
      </c>
      <c r="D281" s="3419">
        <v>4420</v>
      </c>
      <c r="E281" s="3419">
        <v>5230</v>
      </c>
      <c r="F281" s="3425">
        <v>870</v>
      </c>
      <c r="G281" s="3425">
        <v>2660</v>
      </c>
      <c r="I281" s="1022"/>
      <c r="J281" s="3455"/>
      <c r="K281" s="3455"/>
      <c r="L281" s="3455"/>
      <c r="M281" s="3455"/>
      <c r="N281" s="3455"/>
      <c r="O281" s="3455"/>
      <c r="P281" s="3455"/>
      <c r="Q281" s="3455"/>
      <c r="R281" s="3455"/>
      <c r="S281" s="3455"/>
      <c r="T281" s="3455"/>
      <c r="U281" s="3455"/>
    </row>
    <row r="282" spans="1:21" s="1009" customFormat="1" ht="14.25" customHeight="1">
      <c r="A282" s="3419" t="s">
        <v>1156</v>
      </c>
      <c r="B282" s="3419" t="s">
        <v>2954</v>
      </c>
      <c r="C282" s="3419">
        <v>5360</v>
      </c>
      <c r="D282" s="3419">
        <v>5300</v>
      </c>
      <c r="E282" s="3419">
        <v>6190</v>
      </c>
      <c r="F282" s="3425">
        <v>950</v>
      </c>
      <c r="G282" s="3425">
        <v>3190</v>
      </c>
      <c r="I282" s="1022"/>
      <c r="J282" s="3455"/>
      <c r="K282" s="3455"/>
      <c r="L282" s="3455"/>
      <c r="M282" s="3455"/>
      <c r="N282" s="3455"/>
      <c r="O282" s="3455"/>
      <c r="P282" s="3455"/>
      <c r="Q282" s="3455"/>
      <c r="R282" s="3455"/>
      <c r="S282" s="3455"/>
      <c r="T282" s="3455"/>
      <c r="U282" s="3455"/>
    </row>
    <row r="283" spans="1:21" s="1009" customFormat="1" ht="14.25" customHeight="1">
      <c r="A283" s="3419" t="s">
        <v>1156</v>
      </c>
      <c r="B283" s="3419" t="s">
        <v>1021</v>
      </c>
      <c r="C283" s="3419">
        <v>4950</v>
      </c>
      <c r="D283" s="3419">
        <v>4900</v>
      </c>
      <c r="E283" s="3419">
        <v>5720</v>
      </c>
      <c r="F283" s="3425">
        <v>920</v>
      </c>
      <c r="G283" s="3425">
        <v>2950</v>
      </c>
      <c r="I283" s="1022"/>
      <c r="J283" s="3455"/>
      <c r="K283" s="3455"/>
      <c r="L283" s="3455"/>
      <c r="M283" s="3455"/>
      <c r="N283" s="3455"/>
      <c r="O283" s="3455"/>
      <c r="P283" s="3455"/>
      <c r="Q283" s="3455"/>
      <c r="R283" s="3455"/>
      <c r="S283" s="3455"/>
      <c r="T283" s="3455"/>
      <c r="U283" s="3455"/>
    </row>
    <row r="284" spans="1:21" s="1009" customFormat="1" ht="14.25" customHeight="1">
      <c r="A284" s="3419" t="s">
        <v>1156</v>
      </c>
      <c r="B284" s="3419" t="s">
        <v>1029</v>
      </c>
      <c r="C284" s="3419">
        <v>5610</v>
      </c>
      <c r="D284" s="3419">
        <v>5560</v>
      </c>
      <c r="E284" s="3419">
        <v>6520</v>
      </c>
      <c r="F284" s="3425">
        <v>1030</v>
      </c>
      <c r="G284" s="3425">
        <v>3360</v>
      </c>
      <c r="I284" s="1022"/>
      <c r="J284" s="3455"/>
      <c r="K284" s="3455"/>
      <c r="L284" s="3455"/>
      <c r="M284" s="3455"/>
      <c r="N284" s="3455"/>
      <c r="O284" s="3455"/>
      <c r="P284" s="3455"/>
      <c r="Q284" s="3455"/>
      <c r="R284" s="3455"/>
      <c r="S284" s="3455"/>
      <c r="T284" s="3455"/>
      <c r="U284" s="3455"/>
    </row>
    <row r="285" spans="1:21" s="1009" customFormat="1" ht="14.25" customHeight="1">
      <c r="A285" s="3419" t="s">
        <v>1156</v>
      </c>
      <c r="B285" s="3419" t="s">
        <v>1039</v>
      </c>
      <c r="C285" s="3419">
        <v>5340</v>
      </c>
      <c r="D285" s="3419">
        <v>5290</v>
      </c>
      <c r="E285" s="3419">
        <v>6170</v>
      </c>
      <c r="F285" s="3425">
        <v>1080</v>
      </c>
      <c r="G285" s="3425">
        <v>3180</v>
      </c>
      <c r="I285" s="1022"/>
      <c r="J285" s="3455"/>
      <c r="K285" s="3455"/>
      <c r="L285" s="3455"/>
      <c r="M285" s="3455"/>
      <c r="N285" s="3455"/>
      <c r="O285" s="3455"/>
      <c r="P285" s="3455"/>
      <c r="Q285" s="3455"/>
      <c r="R285" s="3455"/>
      <c r="S285" s="3455"/>
      <c r="T285" s="3455"/>
      <c r="U285" s="3455"/>
    </row>
    <row r="286" spans="1:21" s="1009" customFormat="1" ht="14.25" customHeight="1">
      <c r="A286" s="3419" t="s">
        <v>1156</v>
      </c>
      <c r="B286" s="3419" t="s">
        <v>1046</v>
      </c>
      <c r="C286" s="3419">
        <v>4890</v>
      </c>
      <c r="D286" s="3419">
        <v>4840</v>
      </c>
      <c r="E286" s="3419">
        <v>5640</v>
      </c>
      <c r="F286" s="3425">
        <v>960</v>
      </c>
      <c r="G286" s="3425">
        <v>2910</v>
      </c>
      <c r="I286" s="1022"/>
      <c r="J286" s="3455"/>
      <c r="K286" s="3455"/>
      <c r="L286" s="3455"/>
      <c r="M286" s="3455"/>
      <c r="N286" s="3455"/>
      <c r="O286" s="3455"/>
      <c r="P286" s="3455"/>
      <c r="Q286" s="3455"/>
      <c r="R286" s="3455"/>
      <c r="S286" s="3455"/>
      <c r="T286" s="3455"/>
      <c r="U286" s="3455"/>
    </row>
    <row r="287" spans="1:21" s="1009" customFormat="1" ht="14.25" customHeight="1">
      <c r="A287" s="3419" t="s">
        <v>1156</v>
      </c>
      <c r="B287" s="3419" t="s">
        <v>2955</v>
      </c>
      <c r="C287" s="3419">
        <v>4960</v>
      </c>
      <c r="D287" s="3419">
        <v>4920</v>
      </c>
      <c r="E287" s="3419">
        <v>5730</v>
      </c>
      <c r="F287" s="3425">
        <v>930</v>
      </c>
      <c r="G287" s="3425">
        <v>2960</v>
      </c>
      <c r="I287" s="1022"/>
      <c r="J287" s="3455"/>
      <c r="K287" s="3455"/>
      <c r="L287" s="3455"/>
      <c r="M287" s="3455"/>
      <c r="N287" s="3455"/>
      <c r="O287" s="3455"/>
      <c r="P287" s="3455"/>
      <c r="Q287" s="3455"/>
      <c r="R287" s="3455"/>
      <c r="S287" s="3455"/>
      <c r="T287" s="3455"/>
      <c r="U287" s="3455"/>
    </row>
    <row r="288" spans="1:21" s="1009" customFormat="1" ht="14.25" customHeight="1">
      <c r="A288" s="3419" t="s">
        <v>1156</v>
      </c>
      <c r="B288" s="3419" t="s">
        <v>1067</v>
      </c>
      <c r="C288" s="3419">
        <v>4350</v>
      </c>
      <c r="D288" s="3419">
        <v>4300</v>
      </c>
      <c r="E288" s="3419">
        <v>4900</v>
      </c>
      <c r="F288" s="3425">
        <v>820</v>
      </c>
      <c r="G288" s="3425">
        <v>2590</v>
      </c>
      <c r="I288" s="1022"/>
      <c r="J288" s="3455"/>
      <c r="K288" s="3455"/>
      <c r="L288" s="3455"/>
      <c r="M288" s="3455"/>
      <c r="N288" s="3455"/>
      <c r="O288" s="3455"/>
      <c r="P288" s="3455"/>
      <c r="Q288" s="3455"/>
      <c r="R288" s="3455"/>
      <c r="S288" s="3455"/>
      <c r="T288" s="3455"/>
      <c r="U288" s="3455"/>
    </row>
    <row r="289" spans="1:21" s="1009" customFormat="1" ht="14.25" customHeight="1">
      <c r="A289" s="3419" t="s">
        <v>1156</v>
      </c>
      <c r="B289" s="3419" t="s">
        <v>2956</v>
      </c>
      <c r="C289" s="3419">
        <v>5230</v>
      </c>
      <c r="D289" s="3419">
        <v>5170</v>
      </c>
      <c r="E289" s="3419">
        <v>6060</v>
      </c>
      <c r="F289" s="3419">
        <v>900</v>
      </c>
      <c r="G289" s="3419">
        <v>3120</v>
      </c>
      <c r="H289" s="3441"/>
      <c r="I289" s="1022"/>
      <c r="J289" s="3455"/>
      <c r="K289" s="3455"/>
      <c r="L289" s="3455"/>
      <c r="M289" s="3455"/>
      <c r="N289" s="3455"/>
      <c r="O289" s="3455"/>
      <c r="P289" s="3455"/>
      <c r="Q289" s="3455"/>
      <c r="R289" s="3455"/>
      <c r="S289" s="3455"/>
      <c r="T289" s="3455"/>
      <c r="U289" s="3455"/>
    </row>
    <row r="290" spans="1:21" s="1009" customFormat="1" ht="14.25" customHeight="1">
      <c r="A290" s="1287" t="s">
        <v>1156</v>
      </c>
      <c r="B290" s="1287" t="s">
        <v>1090</v>
      </c>
      <c r="C290" s="1287">
        <v>5550</v>
      </c>
      <c r="D290" s="1287">
        <v>5500</v>
      </c>
      <c r="E290" s="1287">
        <v>6440</v>
      </c>
      <c r="F290" s="3420">
        <v>960</v>
      </c>
      <c r="G290" s="3436">
        <v>3320</v>
      </c>
      <c r="I290" s="1022"/>
      <c r="J290" s="3455"/>
      <c r="K290" s="3455"/>
      <c r="L290" s="3455"/>
      <c r="M290" s="3455"/>
      <c r="N290" s="3455"/>
      <c r="O290" s="3455"/>
      <c r="P290" s="3455"/>
      <c r="Q290" s="3455"/>
      <c r="R290" s="3455"/>
      <c r="S290" s="3455"/>
      <c r="T290" s="3455"/>
      <c r="U290" s="3455"/>
    </row>
    <row r="291" spans="1:21" s="1009" customFormat="1" ht="14.25" customHeight="1">
      <c r="A291" s="3419" t="s">
        <v>1156</v>
      </c>
      <c r="B291" s="3419" t="s">
        <v>1098</v>
      </c>
      <c r="C291" s="3419">
        <v>5440</v>
      </c>
      <c r="D291" s="3419">
        <v>5400</v>
      </c>
      <c r="E291" s="3419">
        <v>6320</v>
      </c>
      <c r="F291" s="3425">
        <v>930</v>
      </c>
      <c r="G291" s="3427">
        <v>3250</v>
      </c>
      <c r="I291" s="1022"/>
      <c r="J291" s="3455"/>
      <c r="K291" s="3455"/>
      <c r="L291" s="3455"/>
      <c r="M291" s="3455"/>
      <c r="N291" s="3455"/>
      <c r="O291" s="3455"/>
      <c r="P291" s="3455"/>
      <c r="Q291" s="3455"/>
      <c r="R291" s="3455"/>
      <c r="S291" s="3455"/>
      <c r="T291" s="3455"/>
      <c r="U291" s="3455"/>
    </row>
    <row r="292" spans="1:21" s="1009" customFormat="1" ht="14.25" customHeight="1">
      <c r="A292" s="3419" t="s">
        <v>1156</v>
      </c>
      <c r="B292" s="3419" t="s">
        <v>1104</v>
      </c>
      <c r="C292" s="3419">
        <v>5400</v>
      </c>
      <c r="D292" s="3419">
        <v>5360</v>
      </c>
      <c r="E292" s="3419">
        <v>6270</v>
      </c>
      <c r="F292" s="3425">
        <v>1040</v>
      </c>
      <c r="G292" s="3425">
        <v>3230</v>
      </c>
      <c r="I292" s="1022"/>
      <c r="J292" s="3455"/>
      <c r="K292" s="3455"/>
      <c r="L292" s="3455"/>
      <c r="M292" s="3455"/>
      <c r="N292" s="3455"/>
      <c r="O292" s="3455"/>
      <c r="P292" s="3455"/>
      <c r="Q292" s="3455"/>
      <c r="R292" s="3455"/>
      <c r="S292" s="3455"/>
      <c r="T292" s="3455"/>
      <c r="U292" s="3455"/>
    </row>
    <row r="293" spans="1:21" s="1009" customFormat="1" ht="14.25" customHeight="1">
      <c r="A293" s="3419" t="s">
        <v>1156</v>
      </c>
      <c r="B293" s="3419" t="s">
        <v>2957</v>
      </c>
      <c r="C293" s="3419">
        <v>5320</v>
      </c>
      <c r="D293" s="3419">
        <v>5270</v>
      </c>
      <c r="E293" s="3419">
        <v>6160</v>
      </c>
      <c r="F293" s="3425">
        <v>990</v>
      </c>
      <c r="G293" s="3425">
        <v>3170</v>
      </c>
      <c r="I293" s="1022"/>
      <c r="J293" s="3455"/>
      <c r="K293" s="3455"/>
      <c r="L293" s="3455"/>
      <c r="M293" s="3455"/>
      <c r="N293" s="3455"/>
      <c r="O293" s="3455"/>
      <c r="P293" s="3455"/>
      <c r="Q293" s="3455"/>
      <c r="R293" s="3455"/>
      <c r="S293" s="3455"/>
      <c r="T293" s="3455"/>
      <c r="U293" s="3455"/>
    </row>
    <row r="294" spans="1:21" s="1009" customFormat="1" ht="14.25" customHeight="1">
      <c r="A294" s="3419" t="s">
        <v>1156</v>
      </c>
      <c r="B294" s="3419" t="s">
        <v>2958</v>
      </c>
      <c r="C294" s="3419">
        <v>5260</v>
      </c>
      <c r="D294" s="3419">
        <v>5210</v>
      </c>
      <c r="E294" s="3419">
        <v>6100</v>
      </c>
      <c r="F294" s="3425">
        <v>950</v>
      </c>
      <c r="G294" s="3425">
        <v>3150</v>
      </c>
      <c r="I294" s="1022"/>
      <c r="J294" s="3455"/>
      <c r="K294" s="3455"/>
      <c r="L294" s="3455"/>
      <c r="M294" s="3455"/>
      <c r="N294" s="3455"/>
      <c r="O294" s="3455"/>
      <c r="P294" s="3455"/>
      <c r="Q294" s="3455"/>
      <c r="R294" s="3455"/>
      <c r="S294" s="3455"/>
      <c r="T294" s="3455"/>
      <c r="U294" s="3455"/>
    </row>
    <row r="295" spans="1:21" s="1009" customFormat="1" ht="14.25" customHeight="1">
      <c r="A295" s="3419" t="s">
        <v>1156</v>
      </c>
      <c r="B295" s="3419" t="s">
        <v>1139</v>
      </c>
      <c r="C295" s="3419">
        <v>5610</v>
      </c>
      <c r="D295" s="3419">
        <v>5570</v>
      </c>
      <c r="E295" s="3419">
        <v>6530</v>
      </c>
      <c r="F295" s="3425">
        <v>960</v>
      </c>
      <c r="G295" s="3425">
        <v>3360</v>
      </c>
      <c r="I295" s="1022"/>
      <c r="J295" s="3455"/>
      <c r="K295" s="3455"/>
      <c r="L295" s="3455"/>
      <c r="M295" s="3455"/>
      <c r="N295" s="3455"/>
      <c r="O295" s="3455"/>
      <c r="P295" s="3455"/>
      <c r="Q295" s="3455"/>
      <c r="R295" s="3455"/>
      <c r="S295" s="3455"/>
      <c r="T295" s="3455"/>
      <c r="U295" s="3455"/>
    </row>
    <row r="296" spans="1:21" s="1009" customFormat="1" ht="14.25" customHeight="1">
      <c r="A296" s="3419" t="s">
        <v>1156</v>
      </c>
      <c r="B296" s="3419" t="s">
        <v>1142</v>
      </c>
      <c r="C296" s="3419">
        <v>5540</v>
      </c>
      <c r="D296" s="3419">
        <v>5490</v>
      </c>
      <c r="E296" s="3419">
        <v>6430</v>
      </c>
      <c r="F296" s="3425">
        <v>980</v>
      </c>
      <c r="G296" s="3425">
        <v>3310</v>
      </c>
      <c r="I296" s="1022"/>
      <c r="J296" s="3455"/>
      <c r="K296" s="3455"/>
      <c r="L296" s="3455"/>
      <c r="M296" s="3455"/>
      <c r="N296" s="3455"/>
      <c r="O296" s="3455"/>
      <c r="P296" s="3455"/>
      <c r="Q296" s="3455"/>
      <c r="R296" s="3455"/>
      <c r="S296" s="3455"/>
      <c r="T296" s="3455"/>
      <c r="U296" s="3455"/>
    </row>
    <row r="297" spans="1:21" s="1009" customFormat="1" ht="14.25" customHeight="1">
      <c r="A297" s="3419" t="s">
        <v>1156</v>
      </c>
      <c r="B297" s="3419" t="s">
        <v>1144</v>
      </c>
      <c r="C297" s="3419">
        <v>5480</v>
      </c>
      <c r="D297" s="3419">
        <v>5420</v>
      </c>
      <c r="E297" s="3419">
        <v>6370</v>
      </c>
      <c r="F297" s="3425">
        <v>990</v>
      </c>
      <c r="G297" s="3425">
        <v>3270</v>
      </c>
      <c r="I297" s="1022"/>
      <c r="J297" s="3455"/>
      <c r="K297" s="3455"/>
      <c r="L297" s="3455"/>
      <c r="M297" s="3455"/>
      <c r="N297" s="3455"/>
      <c r="O297" s="3455"/>
      <c r="P297" s="3455"/>
      <c r="Q297" s="3455"/>
      <c r="R297" s="3455"/>
      <c r="S297" s="3455"/>
      <c r="T297" s="3455"/>
      <c r="U297" s="3455"/>
    </row>
    <row r="298" spans="1:21" s="1009" customFormat="1" ht="14.25" customHeight="1">
      <c r="A298" s="3419" t="s">
        <v>1156</v>
      </c>
      <c r="B298" s="3419" t="s">
        <v>1147</v>
      </c>
      <c r="C298" s="3419">
        <v>5090</v>
      </c>
      <c r="D298" s="3419">
        <v>5050</v>
      </c>
      <c r="E298" s="3419">
        <v>5910</v>
      </c>
      <c r="F298" s="3425">
        <v>900</v>
      </c>
      <c r="G298" s="3425">
        <v>3040</v>
      </c>
      <c r="I298" s="1022"/>
      <c r="J298" s="3455"/>
      <c r="K298" s="3455"/>
      <c r="L298" s="3455"/>
      <c r="M298" s="3455"/>
      <c r="N298" s="3455"/>
      <c r="O298" s="3455"/>
      <c r="P298" s="3455"/>
      <c r="Q298" s="3455"/>
      <c r="R298" s="3455"/>
      <c r="S298" s="3455"/>
      <c r="T298" s="3455"/>
      <c r="U298" s="3455"/>
    </row>
    <row r="299" spans="1:21" s="1009" customFormat="1" ht="14.25" customHeight="1">
      <c r="A299" s="3419" t="s">
        <v>1156</v>
      </c>
      <c r="B299" s="3419" t="s">
        <v>2959</v>
      </c>
      <c r="C299" s="3419">
        <v>5430</v>
      </c>
      <c r="D299" s="3419">
        <v>5380</v>
      </c>
      <c r="E299" s="3419">
        <v>6280</v>
      </c>
      <c r="F299" s="3425">
        <v>1000</v>
      </c>
      <c r="G299" s="3427">
        <v>3240</v>
      </c>
      <c r="I299" s="1022"/>
      <c r="J299" s="3455"/>
      <c r="K299" s="3455"/>
      <c r="L299" s="3455"/>
      <c r="M299" s="3455"/>
      <c r="N299" s="3455"/>
      <c r="O299" s="3455"/>
      <c r="P299" s="3455"/>
      <c r="Q299" s="3455"/>
      <c r="R299" s="3455"/>
      <c r="S299" s="3455"/>
      <c r="T299" s="3455"/>
      <c r="U299" s="3455"/>
    </row>
    <row r="300" spans="1:21" s="1009" customFormat="1" ht="14.25" customHeight="1">
      <c r="A300" s="3419" t="s">
        <v>1156</v>
      </c>
      <c r="B300" s="3419" t="s">
        <v>1119</v>
      </c>
      <c r="C300" s="3419">
        <v>4740</v>
      </c>
      <c r="D300" s="3419">
        <v>4680</v>
      </c>
      <c r="E300" s="3419">
        <v>5450</v>
      </c>
      <c r="F300" s="3425">
        <v>900</v>
      </c>
      <c r="G300" s="3425">
        <v>2830</v>
      </c>
      <c r="I300" s="1022"/>
      <c r="J300" s="3455"/>
      <c r="K300" s="3455"/>
      <c r="L300" s="3455"/>
      <c r="M300" s="3455"/>
      <c r="N300" s="3455"/>
      <c r="O300" s="3455"/>
      <c r="P300" s="3455"/>
      <c r="Q300" s="3455"/>
      <c r="R300" s="3455"/>
      <c r="S300" s="3455"/>
      <c r="T300" s="3455"/>
      <c r="U300" s="3455"/>
    </row>
    <row r="301" spans="1:21" s="1009" customFormat="1" ht="14.25" customHeight="1">
      <c r="A301" s="3419" t="s">
        <v>1156</v>
      </c>
      <c r="B301" s="3419" t="s">
        <v>1125</v>
      </c>
      <c r="C301" s="3419">
        <v>4870</v>
      </c>
      <c r="D301" s="3419">
        <v>4810</v>
      </c>
      <c r="E301" s="3419">
        <v>5560</v>
      </c>
      <c r="F301" s="3425">
        <v>990</v>
      </c>
      <c r="G301" s="3427">
        <v>2910</v>
      </c>
      <c r="I301" s="1022"/>
      <c r="J301" s="3455"/>
      <c r="K301" s="3455"/>
      <c r="L301" s="3455"/>
      <c r="M301" s="3455"/>
      <c r="N301" s="3455"/>
      <c r="O301" s="3455"/>
      <c r="P301" s="3455"/>
      <c r="Q301" s="3455"/>
      <c r="R301" s="3455"/>
      <c r="S301" s="3455"/>
      <c r="T301" s="3455"/>
      <c r="U301" s="3455"/>
    </row>
    <row r="302" spans="1:21" s="1009" customFormat="1" ht="14.25" customHeight="1">
      <c r="A302" s="3419" t="s">
        <v>1156</v>
      </c>
      <c r="B302" s="3419" t="s">
        <v>2960</v>
      </c>
      <c r="C302" s="3419">
        <v>5520</v>
      </c>
      <c r="D302" s="3419">
        <v>5470</v>
      </c>
      <c r="E302" s="3419">
        <v>6410</v>
      </c>
      <c r="F302" s="3425">
        <v>950</v>
      </c>
      <c r="G302" s="3425">
        <v>3300</v>
      </c>
      <c r="I302" s="1022"/>
      <c r="J302" s="3455"/>
      <c r="K302" s="3455"/>
      <c r="L302" s="3455"/>
      <c r="M302" s="3455"/>
      <c r="N302" s="3455"/>
      <c r="O302" s="3455"/>
      <c r="P302" s="3455"/>
      <c r="Q302" s="3455"/>
      <c r="R302" s="3455"/>
      <c r="S302" s="3455"/>
      <c r="T302" s="3455"/>
      <c r="U302" s="3455"/>
    </row>
    <row r="303" spans="1:21" s="1009" customFormat="1" ht="14.25" customHeight="1">
      <c r="A303" s="3419" t="s">
        <v>1156</v>
      </c>
      <c r="B303" s="3419" t="s">
        <v>2961</v>
      </c>
      <c r="C303" s="3419">
        <v>5630</v>
      </c>
      <c r="D303" s="3419">
        <v>5590</v>
      </c>
      <c r="E303" s="3419">
        <v>6550</v>
      </c>
      <c r="F303" s="3425">
        <v>1010</v>
      </c>
      <c r="G303" s="3425">
        <v>3370</v>
      </c>
      <c r="I303" s="1022"/>
      <c r="J303" s="3455"/>
      <c r="K303" s="3455"/>
      <c r="L303" s="3455"/>
      <c r="M303" s="3455"/>
      <c r="N303" s="3455"/>
      <c r="O303" s="3455"/>
      <c r="P303" s="3455"/>
      <c r="Q303" s="3455"/>
      <c r="R303" s="3455"/>
      <c r="S303" s="3455"/>
      <c r="T303" s="3455"/>
      <c r="U303" s="3455"/>
    </row>
    <row r="304" spans="1:21" s="1009" customFormat="1" ht="14.25" customHeight="1">
      <c r="A304" s="3419" t="s">
        <v>1156</v>
      </c>
      <c r="B304" s="3419" t="s">
        <v>2962</v>
      </c>
      <c r="C304" s="3419">
        <v>5680</v>
      </c>
      <c r="D304" s="3419">
        <v>5620</v>
      </c>
      <c r="E304" s="3419">
        <v>6620</v>
      </c>
      <c r="F304" s="3425">
        <v>1050</v>
      </c>
      <c r="G304" s="3427">
        <v>3390</v>
      </c>
      <c r="I304" s="1022"/>
      <c r="J304" s="3455"/>
      <c r="K304" s="3455"/>
      <c r="L304" s="3455"/>
      <c r="M304" s="3455"/>
      <c r="N304" s="3455"/>
      <c r="O304" s="3455"/>
      <c r="P304" s="3455"/>
      <c r="Q304" s="3455"/>
      <c r="R304" s="3455"/>
      <c r="S304" s="3455"/>
      <c r="T304" s="3455"/>
      <c r="U304" s="3455"/>
    </row>
    <row r="305" spans="1:21" s="1009" customFormat="1" ht="14.25" customHeight="1">
      <c r="A305" s="3419" t="s">
        <v>1156</v>
      </c>
      <c r="B305" s="3419" t="s">
        <v>2963</v>
      </c>
      <c r="C305" s="3419">
        <v>5590</v>
      </c>
      <c r="D305" s="3419">
        <v>5530</v>
      </c>
      <c r="E305" s="3419">
        <v>6460</v>
      </c>
      <c r="F305" s="3425">
        <v>900</v>
      </c>
      <c r="G305" s="3425">
        <v>3340</v>
      </c>
      <c r="I305" s="1022"/>
      <c r="J305" s="3455"/>
      <c r="K305" s="3455"/>
      <c r="L305" s="3455"/>
      <c r="M305" s="3455"/>
      <c r="N305" s="3455"/>
      <c r="O305" s="3455"/>
      <c r="P305" s="3455"/>
      <c r="Q305" s="3455"/>
      <c r="R305" s="3455"/>
      <c r="S305" s="3455"/>
      <c r="T305" s="3455"/>
      <c r="U305" s="3455"/>
    </row>
    <row r="306" spans="1:21" s="1009" customFormat="1" ht="14.25" customHeight="1">
      <c r="A306" s="3419" t="s">
        <v>1156</v>
      </c>
      <c r="B306" s="3419" t="s">
        <v>2964</v>
      </c>
      <c r="C306" s="3419">
        <v>5560</v>
      </c>
      <c r="D306" s="3419">
        <v>5510</v>
      </c>
      <c r="E306" s="3419">
        <v>6440</v>
      </c>
      <c r="F306" s="3425">
        <v>900</v>
      </c>
      <c r="G306" s="3427">
        <v>3320</v>
      </c>
      <c r="I306" s="1022"/>
      <c r="J306" s="3455"/>
      <c r="K306" s="3455"/>
      <c r="L306" s="3455"/>
      <c r="M306" s="3455"/>
      <c r="N306" s="3455"/>
      <c r="O306" s="3455"/>
      <c r="P306" s="3455"/>
      <c r="Q306" s="3455"/>
      <c r="R306" s="3455"/>
      <c r="S306" s="3455"/>
      <c r="T306" s="3455"/>
      <c r="U306" s="3455"/>
    </row>
    <row r="307" spans="1:21" s="1009" customFormat="1" ht="14.25" customHeight="1">
      <c r="A307" s="3419" t="s">
        <v>1156</v>
      </c>
      <c r="B307" s="3419" t="s">
        <v>2965</v>
      </c>
      <c r="C307" s="3419">
        <v>5650</v>
      </c>
      <c r="D307" s="3419">
        <v>5600</v>
      </c>
      <c r="E307" s="3419">
        <v>6590</v>
      </c>
      <c r="F307" s="3425">
        <v>930</v>
      </c>
      <c r="G307" s="3425">
        <v>3380</v>
      </c>
      <c r="I307" s="1022"/>
      <c r="J307" s="3455"/>
      <c r="K307" s="3455"/>
      <c r="L307" s="3455"/>
      <c r="M307" s="3455"/>
      <c r="N307" s="3455"/>
      <c r="O307" s="3455"/>
      <c r="P307" s="3455"/>
      <c r="Q307" s="3455"/>
      <c r="R307" s="3455"/>
      <c r="S307" s="3455"/>
      <c r="T307" s="3455"/>
      <c r="U307" s="3455"/>
    </row>
    <row r="308" spans="1:21" s="1009" customFormat="1" ht="14.25" customHeight="1">
      <c r="A308" s="3419" t="s">
        <v>1156</v>
      </c>
      <c r="B308" s="3419" t="s">
        <v>2966</v>
      </c>
      <c r="C308" s="3419">
        <v>5620</v>
      </c>
      <c r="D308" s="3419">
        <v>5580</v>
      </c>
      <c r="E308" s="3419">
        <v>6540</v>
      </c>
      <c r="F308" s="3425">
        <v>910</v>
      </c>
      <c r="G308" s="3425">
        <v>3370</v>
      </c>
      <c r="I308" s="1022"/>
      <c r="J308" s="3455"/>
      <c r="K308" s="3455"/>
      <c r="L308" s="3455"/>
      <c r="M308" s="3455"/>
      <c r="N308" s="3455"/>
      <c r="O308" s="3455"/>
      <c r="P308" s="3455"/>
      <c r="Q308" s="3455"/>
      <c r="R308" s="3455"/>
      <c r="S308" s="3455"/>
      <c r="T308" s="3455"/>
      <c r="U308" s="3455"/>
    </row>
    <row r="309" spans="1:21" s="1009" customFormat="1" ht="14.25" customHeight="1">
      <c r="A309" s="3419" t="s">
        <v>1156</v>
      </c>
      <c r="B309" s="3419" t="s">
        <v>2967</v>
      </c>
      <c r="C309" s="3419">
        <v>5060</v>
      </c>
      <c r="D309" s="3419">
        <v>5020</v>
      </c>
      <c r="E309" s="3419">
        <v>6370</v>
      </c>
      <c r="F309" s="3425">
        <v>800</v>
      </c>
      <c r="G309" s="3427">
        <v>3020</v>
      </c>
      <c r="I309" s="1022"/>
      <c r="J309" s="3455"/>
      <c r="K309" s="3455"/>
      <c r="L309" s="3455"/>
      <c r="M309" s="3455"/>
      <c r="N309" s="3455"/>
      <c r="O309" s="3455"/>
      <c r="P309" s="3455"/>
      <c r="Q309" s="3455"/>
      <c r="R309" s="3455"/>
      <c r="S309" s="3455"/>
      <c r="T309" s="3455"/>
      <c r="U309" s="3455"/>
    </row>
    <row r="310" spans="1:21" s="1009" customFormat="1" ht="14.25" customHeight="1">
      <c r="A310" s="3419" t="s">
        <v>1156</v>
      </c>
      <c r="B310" s="3419" t="s">
        <v>2968</v>
      </c>
      <c r="C310" s="3419">
        <v>5150</v>
      </c>
      <c r="D310" s="3419">
        <v>5110</v>
      </c>
      <c r="E310" s="3419">
        <v>6500</v>
      </c>
      <c r="F310" s="3425">
        <v>880</v>
      </c>
      <c r="G310" s="3425">
        <v>3080</v>
      </c>
      <c r="I310" s="1022"/>
      <c r="J310" s="3455"/>
      <c r="K310" s="3455"/>
      <c r="L310" s="3455"/>
      <c r="M310" s="3455"/>
      <c r="N310" s="3455"/>
      <c r="O310" s="3455"/>
      <c r="P310" s="3455"/>
      <c r="Q310" s="3455"/>
      <c r="R310" s="3455"/>
      <c r="S310" s="3455"/>
      <c r="T310" s="3455"/>
      <c r="U310" s="3455"/>
    </row>
    <row r="311" spans="1:21" s="1009" customFormat="1" ht="14.25" customHeight="1">
      <c r="A311" s="3419" t="s">
        <v>1156</v>
      </c>
      <c r="B311" s="3419" t="s">
        <v>2969</v>
      </c>
      <c r="C311" s="3419">
        <v>4750</v>
      </c>
      <c r="D311" s="3419">
        <v>4710</v>
      </c>
      <c r="E311" s="3419">
        <v>5510</v>
      </c>
      <c r="F311" s="3425">
        <v>880</v>
      </c>
      <c r="G311" s="3425">
        <v>2840</v>
      </c>
      <c r="I311" s="1022"/>
      <c r="J311" s="3455"/>
      <c r="K311" s="3455"/>
      <c r="L311" s="3455"/>
      <c r="M311" s="3455"/>
      <c r="N311" s="3455"/>
      <c r="O311" s="3455"/>
      <c r="P311" s="3455"/>
      <c r="Q311" s="3455"/>
      <c r="R311" s="3455"/>
      <c r="S311" s="3455"/>
      <c r="T311" s="3455"/>
      <c r="U311" s="3455"/>
    </row>
    <row r="312" spans="1:21" s="1009" customFormat="1" ht="14.25" customHeight="1">
      <c r="A312" s="3419" t="s">
        <v>1156</v>
      </c>
      <c r="B312" s="3419" t="s">
        <v>2970</v>
      </c>
      <c r="C312" s="3419">
        <v>4690</v>
      </c>
      <c r="D312" s="3419">
        <v>4640</v>
      </c>
      <c r="E312" s="3419">
        <v>5420</v>
      </c>
      <c r="F312" s="3425">
        <v>800</v>
      </c>
      <c r="G312" s="3425">
        <v>2800</v>
      </c>
      <c r="I312" s="1022"/>
      <c r="J312" s="3455"/>
      <c r="K312" s="3455"/>
      <c r="L312" s="3455"/>
      <c r="M312" s="3455"/>
      <c r="N312" s="3455"/>
      <c r="O312" s="3455"/>
      <c r="P312" s="3455"/>
      <c r="Q312" s="3455"/>
      <c r="R312" s="3455"/>
      <c r="S312" s="3455"/>
      <c r="T312" s="3455"/>
      <c r="U312" s="3455"/>
    </row>
    <row r="313" spans="1:21" s="1009" customFormat="1" ht="14.25" customHeight="1">
      <c r="A313" s="3419" t="s">
        <v>1156</v>
      </c>
      <c r="B313" s="3419" t="s">
        <v>2971</v>
      </c>
      <c r="C313" s="3419">
        <v>4810</v>
      </c>
      <c r="D313" s="3419">
        <v>4760</v>
      </c>
      <c r="E313" s="3419">
        <v>5550</v>
      </c>
      <c r="F313" s="3425">
        <v>920</v>
      </c>
      <c r="G313" s="3425">
        <v>2870</v>
      </c>
      <c r="I313" s="1022"/>
      <c r="J313" s="3455"/>
      <c r="K313" s="3455"/>
      <c r="L313" s="3455"/>
      <c r="M313" s="3455"/>
      <c r="N313" s="3455"/>
      <c r="O313" s="3455"/>
      <c r="P313" s="3455"/>
      <c r="Q313" s="3455"/>
      <c r="R313" s="3455"/>
      <c r="S313" s="3455"/>
      <c r="T313" s="3455"/>
      <c r="U313" s="3455"/>
    </row>
    <row r="314" spans="1:21" s="1009" customFormat="1" ht="14.25" customHeight="1">
      <c r="A314" s="3419" t="s">
        <v>1156</v>
      </c>
      <c r="B314" s="3419" t="s">
        <v>2972</v>
      </c>
      <c r="C314" s="3419"/>
      <c r="D314" s="3419"/>
      <c r="E314" s="3419"/>
      <c r="F314" s="3425">
        <v>1020</v>
      </c>
      <c r="G314" s="3425"/>
      <c r="I314" s="1022"/>
      <c r="J314" s="3455"/>
      <c r="K314" s="3455"/>
      <c r="L314" s="3455"/>
      <c r="M314" s="3455"/>
      <c r="N314" s="3455"/>
      <c r="O314" s="3455"/>
      <c r="P314" s="3455"/>
      <c r="Q314" s="3455"/>
      <c r="R314" s="3455"/>
      <c r="S314" s="3455"/>
      <c r="T314" s="3455"/>
      <c r="U314" s="3455"/>
    </row>
    <row r="315" spans="1:21" s="1009" customFormat="1" ht="14.25" customHeight="1">
      <c r="A315" s="3419" t="s">
        <v>1156</v>
      </c>
      <c r="B315" s="3419" t="s">
        <v>2973</v>
      </c>
      <c r="C315" s="3419"/>
      <c r="D315" s="3419"/>
      <c r="E315" s="3419"/>
      <c r="F315" s="3425">
        <v>1050</v>
      </c>
      <c r="G315" s="3425"/>
      <c r="I315" s="1022"/>
      <c r="J315" s="3455"/>
      <c r="K315" s="3455"/>
      <c r="L315" s="3455"/>
      <c r="M315" s="3455"/>
      <c r="N315" s="3455"/>
      <c r="O315" s="3455"/>
      <c r="P315" s="3455"/>
      <c r="Q315" s="3455"/>
      <c r="R315" s="3455"/>
      <c r="S315" s="3455"/>
      <c r="T315" s="3455"/>
      <c r="U315" s="3455"/>
    </row>
    <row r="316" spans="1:21" s="1009" customFormat="1" ht="14.25" customHeight="1">
      <c r="A316" s="3419" t="s">
        <v>1156</v>
      </c>
      <c r="B316" s="3419" t="s">
        <v>2974</v>
      </c>
      <c r="C316" s="3419"/>
      <c r="D316" s="3419"/>
      <c r="E316" s="3419"/>
      <c r="F316" s="3425">
        <v>900</v>
      </c>
      <c r="G316" s="3432"/>
      <c r="I316" s="1022"/>
      <c r="J316" s="3455"/>
      <c r="K316" s="3455"/>
      <c r="L316" s="3455"/>
      <c r="M316" s="3455"/>
      <c r="N316" s="3455"/>
      <c r="O316" s="3455"/>
      <c r="P316" s="3455"/>
      <c r="Q316" s="3455"/>
      <c r="R316" s="3455"/>
      <c r="S316" s="3455"/>
      <c r="T316" s="3455"/>
      <c r="U316" s="3455"/>
    </row>
    <row r="317" spans="1:21" s="1009" customFormat="1" ht="14.25" customHeight="1">
      <c r="A317" s="1287" t="s">
        <v>1156</v>
      </c>
      <c r="B317" s="1287" t="s">
        <v>2975</v>
      </c>
      <c r="C317" s="1287"/>
      <c r="D317" s="1287"/>
      <c r="E317" s="1287"/>
      <c r="F317" s="3420">
        <v>920</v>
      </c>
      <c r="G317" s="3420"/>
      <c r="I317" s="1006"/>
      <c r="J317" s="3455"/>
      <c r="K317" s="3455"/>
      <c r="L317" s="3455"/>
      <c r="M317" s="3455"/>
      <c r="N317" s="3455"/>
      <c r="O317" s="3455"/>
      <c r="P317" s="3455"/>
      <c r="Q317" s="3455"/>
      <c r="R317" s="3455"/>
      <c r="S317" s="3455"/>
      <c r="T317" s="3455"/>
      <c r="U317" s="3455"/>
    </row>
    <row r="318" spans="1:21" s="1009" customFormat="1" ht="14.25" customHeight="1">
      <c r="A318" s="3419" t="s">
        <v>1156</v>
      </c>
      <c r="B318" s="3419" t="s">
        <v>2976</v>
      </c>
      <c r="C318" s="3419"/>
      <c r="D318" s="3419"/>
      <c r="E318" s="3419"/>
      <c r="F318" s="3425">
        <v>1080</v>
      </c>
      <c r="G318" s="3427"/>
      <c r="I318" s="1006"/>
      <c r="J318" s="3455"/>
      <c r="K318" s="3455"/>
      <c r="L318" s="3455"/>
      <c r="M318" s="3455"/>
      <c r="N318" s="3455"/>
      <c r="O318" s="3455"/>
      <c r="P318" s="3455"/>
      <c r="Q318" s="3455"/>
      <c r="R318" s="3455"/>
      <c r="S318" s="3455"/>
      <c r="T318" s="3455"/>
      <c r="U318" s="3455"/>
    </row>
    <row r="319" spans="1:21" s="1009" customFormat="1" ht="14.25" customHeight="1">
      <c r="A319" s="3419" t="s">
        <v>1156</v>
      </c>
      <c r="B319" s="3419" t="s">
        <v>2977</v>
      </c>
      <c r="C319" s="3419"/>
      <c r="D319" s="3419"/>
      <c r="E319" s="3419"/>
      <c r="F319" s="3425">
        <v>1020</v>
      </c>
      <c r="G319" s="3425"/>
      <c r="I319" s="1006"/>
      <c r="J319" s="3455"/>
      <c r="K319" s="3455"/>
      <c r="L319" s="3455"/>
      <c r="M319" s="3455"/>
      <c r="N319" s="3455"/>
      <c r="O319" s="3455"/>
      <c r="P319" s="3455"/>
      <c r="Q319" s="3455"/>
      <c r="R319" s="3455"/>
      <c r="S319" s="3455"/>
      <c r="T319" s="3455"/>
      <c r="U319" s="3455"/>
    </row>
    <row r="320" spans="1:21" s="1009" customFormat="1" ht="14.25" customHeight="1">
      <c r="A320" s="3419" t="s">
        <v>1156</v>
      </c>
      <c r="B320" s="3419" t="s">
        <v>2978</v>
      </c>
      <c r="C320" s="3419"/>
      <c r="D320" s="3419"/>
      <c r="E320" s="3419"/>
      <c r="F320" s="3425">
        <v>1050</v>
      </c>
      <c r="G320" s="3427"/>
      <c r="I320" s="1006"/>
      <c r="J320" s="3455"/>
      <c r="K320" s="3455"/>
      <c r="L320" s="3455"/>
      <c r="M320" s="3455"/>
      <c r="N320" s="3455"/>
      <c r="O320" s="3455"/>
      <c r="P320" s="3455"/>
      <c r="Q320" s="3455"/>
      <c r="R320" s="3455"/>
      <c r="S320" s="3455"/>
      <c r="T320" s="3455"/>
      <c r="U320" s="3455"/>
    </row>
    <row r="321" spans="1:21" s="1009" customFormat="1" ht="14.25" customHeight="1">
      <c r="A321" s="3419" t="s">
        <v>1156</v>
      </c>
      <c r="B321" s="3419" t="s">
        <v>2979</v>
      </c>
      <c r="C321" s="3419"/>
      <c r="D321" s="3419"/>
      <c r="E321" s="3419"/>
      <c r="F321" s="3425">
        <v>960</v>
      </c>
      <c r="G321" s="3427"/>
      <c r="I321" s="1006"/>
      <c r="J321" s="3455"/>
      <c r="K321" s="3455"/>
      <c r="L321" s="3455"/>
      <c r="M321" s="3455"/>
      <c r="N321" s="3455"/>
      <c r="O321" s="3455"/>
      <c r="P321" s="3455"/>
      <c r="Q321" s="3455"/>
      <c r="R321" s="3455"/>
      <c r="S321" s="3455"/>
      <c r="T321" s="3455"/>
      <c r="U321" s="3455"/>
    </row>
    <row r="322" spans="1:21" s="1009" customFormat="1" ht="14.25" customHeight="1">
      <c r="A322" s="3419" t="s">
        <v>1156</v>
      </c>
      <c r="B322" s="3419" t="s">
        <v>2980</v>
      </c>
      <c r="C322" s="3419"/>
      <c r="D322" s="3419"/>
      <c r="E322" s="3419"/>
      <c r="F322" s="3425">
        <v>960</v>
      </c>
      <c r="G322" s="3425"/>
      <c r="I322" s="1006"/>
      <c r="J322" s="3455"/>
      <c r="K322" s="3455"/>
      <c r="L322" s="3455"/>
      <c r="M322" s="3455"/>
      <c r="N322" s="3455"/>
      <c r="O322" s="3455"/>
      <c r="P322" s="3455"/>
      <c r="Q322" s="3455"/>
      <c r="R322" s="3455"/>
      <c r="S322" s="3455"/>
      <c r="T322" s="3455"/>
      <c r="U322" s="3455"/>
    </row>
    <row r="323" spans="1:21" s="1009" customFormat="1" ht="14.25" customHeight="1">
      <c r="A323" s="3419" t="s">
        <v>1156</v>
      </c>
      <c r="B323" s="3419" t="s">
        <v>2981</v>
      </c>
      <c r="C323" s="3419"/>
      <c r="D323" s="3419"/>
      <c r="E323" s="3419"/>
      <c r="F323" s="3425">
        <v>880</v>
      </c>
      <c r="G323" s="3427"/>
      <c r="I323" s="1006"/>
      <c r="J323" s="3455"/>
      <c r="K323" s="3455"/>
      <c r="L323" s="3455"/>
      <c r="M323" s="3455"/>
      <c r="N323" s="3455"/>
      <c r="O323" s="3455"/>
      <c r="P323" s="3455"/>
      <c r="Q323" s="3455"/>
      <c r="R323" s="3455"/>
      <c r="S323" s="3455"/>
      <c r="T323" s="3455"/>
      <c r="U323" s="3455"/>
    </row>
    <row r="324" spans="1:21" s="1009" customFormat="1" ht="14.25" customHeight="1">
      <c r="A324" s="3419" t="s">
        <v>1156</v>
      </c>
      <c r="B324" s="3419" t="s">
        <v>2982</v>
      </c>
      <c r="C324" s="3419"/>
      <c r="D324" s="3419"/>
      <c r="E324" s="3419"/>
      <c r="F324" s="3425">
        <v>930</v>
      </c>
      <c r="G324" s="3427"/>
      <c r="I324" s="1006"/>
      <c r="J324" s="3455"/>
      <c r="K324" s="3455"/>
      <c r="L324" s="3455"/>
      <c r="M324" s="3455"/>
      <c r="N324" s="3455"/>
      <c r="O324" s="3455"/>
      <c r="P324" s="3455"/>
      <c r="Q324" s="3455"/>
      <c r="R324" s="3455"/>
      <c r="S324" s="3455"/>
      <c r="T324" s="3455"/>
      <c r="U324" s="3455"/>
    </row>
    <row r="325" spans="1:21" s="1009" customFormat="1" ht="14.25" customHeight="1">
      <c r="A325" s="3419" t="s">
        <v>1156</v>
      </c>
      <c r="B325" s="3419" t="s">
        <v>2983</v>
      </c>
      <c r="C325" s="3419"/>
      <c r="D325" s="3419"/>
      <c r="E325" s="3419"/>
      <c r="F325" s="3425">
        <v>900</v>
      </c>
      <c r="G325" s="3425"/>
      <c r="I325" s="1006"/>
      <c r="J325" s="3455"/>
      <c r="K325" s="3455"/>
      <c r="L325" s="3455"/>
      <c r="M325" s="3455"/>
      <c r="N325" s="3455"/>
      <c r="O325" s="3455"/>
      <c r="P325" s="3455"/>
      <c r="Q325" s="3455"/>
      <c r="R325" s="3455"/>
      <c r="S325" s="3455"/>
      <c r="T325" s="3455"/>
      <c r="U325" s="3455"/>
    </row>
    <row r="326" spans="1:21" s="1009" customFormat="1" ht="14.25" customHeight="1" thickBot="1">
      <c r="A326" s="3434" t="s">
        <v>1156</v>
      </c>
      <c r="B326" s="3422" t="s">
        <v>2984</v>
      </c>
      <c r="C326" s="3422"/>
      <c r="D326" s="3422"/>
      <c r="E326" s="3422"/>
      <c r="F326" s="3423">
        <v>790</v>
      </c>
      <c r="G326" s="3438"/>
      <c r="I326" s="1006"/>
      <c r="J326" s="3455"/>
      <c r="K326" s="3455"/>
      <c r="L326" s="3455"/>
      <c r="M326" s="3455"/>
      <c r="N326" s="3455"/>
      <c r="O326" s="3455"/>
      <c r="P326" s="3455"/>
      <c r="Q326" s="3455"/>
      <c r="R326" s="3455"/>
      <c r="S326" s="3455"/>
      <c r="T326" s="3455"/>
      <c r="U326" s="3455"/>
    </row>
    <row r="327" spans="1:21" s="1009" customFormat="1" ht="14.25" customHeight="1">
      <c r="A327" s="3433" t="s">
        <v>1157</v>
      </c>
      <c r="B327" s="2598" t="s">
        <v>2985</v>
      </c>
      <c r="C327" s="2598">
        <v>3750</v>
      </c>
      <c r="D327" s="2598">
        <v>3710</v>
      </c>
      <c r="E327" s="2598">
        <v>4080</v>
      </c>
      <c r="F327" s="3442">
        <v>860</v>
      </c>
      <c r="G327" s="3442">
        <v>2210</v>
      </c>
      <c r="I327" s="1006"/>
      <c r="J327" s="3455"/>
      <c r="K327" s="3455"/>
      <c r="L327" s="3455"/>
      <c r="M327" s="3455"/>
      <c r="N327" s="3455"/>
      <c r="O327" s="3455"/>
      <c r="P327" s="3455"/>
      <c r="Q327" s="3455"/>
      <c r="R327" s="3455"/>
      <c r="S327" s="3455"/>
      <c r="T327" s="3455"/>
      <c r="U327" s="3455"/>
    </row>
    <row r="328" spans="1:21" s="1009" customFormat="1" ht="14.25" customHeight="1">
      <c r="A328" s="3419" t="s">
        <v>1157</v>
      </c>
      <c r="B328" s="3419" t="s">
        <v>981</v>
      </c>
      <c r="C328" s="3419">
        <v>3330</v>
      </c>
      <c r="D328" s="3419">
        <v>3290</v>
      </c>
      <c r="E328" s="3419">
        <v>3610</v>
      </c>
      <c r="F328" s="3419">
        <v>850</v>
      </c>
      <c r="G328" s="3419">
        <v>1960</v>
      </c>
      <c r="H328" s="3441"/>
      <c r="I328" s="1006"/>
      <c r="J328" s="3455"/>
      <c r="K328" s="3455"/>
      <c r="L328" s="3455"/>
      <c r="M328" s="3455"/>
      <c r="N328" s="3455"/>
      <c r="O328" s="3455"/>
      <c r="P328" s="3455"/>
      <c r="Q328" s="3455"/>
      <c r="R328" s="3455"/>
      <c r="S328" s="3455"/>
      <c r="T328" s="3455"/>
      <c r="U328" s="3455"/>
    </row>
    <row r="329" spans="1:21" s="1009" customFormat="1" ht="14.25" customHeight="1">
      <c r="A329" s="3419" t="s">
        <v>1157</v>
      </c>
      <c r="B329" s="3419" t="s">
        <v>2986</v>
      </c>
      <c r="C329" s="3419">
        <v>2730</v>
      </c>
      <c r="D329" s="3419">
        <v>2690</v>
      </c>
      <c r="E329" s="3419">
        <v>3100</v>
      </c>
      <c r="F329" s="3419">
        <v>660</v>
      </c>
      <c r="G329" s="3419">
        <v>1610</v>
      </c>
      <c r="H329" s="3441"/>
      <c r="I329" s="1006"/>
      <c r="J329" s="3455"/>
      <c r="K329" s="3455"/>
      <c r="L329" s="3455"/>
      <c r="M329" s="3455"/>
      <c r="N329" s="3455"/>
      <c r="O329" s="3455"/>
      <c r="P329" s="3455"/>
      <c r="Q329" s="3455"/>
      <c r="R329" s="3455"/>
      <c r="S329" s="3455"/>
      <c r="T329" s="3455"/>
      <c r="U329" s="3455"/>
    </row>
    <row r="330" spans="1:21" s="1009" customFormat="1" ht="14.25" customHeight="1">
      <c r="A330" s="3419" t="s">
        <v>1157</v>
      </c>
      <c r="B330" s="3419" t="s">
        <v>2987</v>
      </c>
      <c r="C330" s="3419">
        <v>3270</v>
      </c>
      <c r="D330" s="3419">
        <v>3240</v>
      </c>
      <c r="E330" s="3419">
        <v>3560</v>
      </c>
      <c r="F330" s="3419">
        <v>680</v>
      </c>
      <c r="G330" s="3428">
        <v>1940</v>
      </c>
      <c r="H330" s="3441"/>
      <c r="I330" s="1006"/>
      <c r="J330" s="3455"/>
      <c r="K330" s="3455"/>
      <c r="L330" s="3455"/>
      <c r="M330" s="3455"/>
      <c r="N330" s="3455"/>
      <c r="O330" s="3455"/>
      <c r="P330" s="3455"/>
      <c r="Q330" s="3455"/>
      <c r="R330" s="3455"/>
      <c r="S330" s="3455"/>
      <c r="T330" s="3455"/>
      <c r="U330" s="3455"/>
    </row>
    <row r="331" spans="1:21" s="1009" customFormat="1" ht="14.25" customHeight="1">
      <c r="A331" s="3419" t="s">
        <v>1157</v>
      </c>
      <c r="B331" s="3419" t="s">
        <v>1008</v>
      </c>
      <c r="C331" s="3419">
        <v>3770</v>
      </c>
      <c r="D331" s="3419">
        <v>3740</v>
      </c>
      <c r="E331" s="3419">
        <v>4110</v>
      </c>
      <c r="F331" s="3419">
        <v>730</v>
      </c>
      <c r="G331" s="3419">
        <v>2230</v>
      </c>
      <c r="H331" s="3441"/>
      <c r="I331" s="1006"/>
      <c r="J331" s="3455"/>
      <c r="K331" s="3455"/>
      <c r="L331" s="3455"/>
      <c r="M331" s="3455"/>
      <c r="N331" s="3455"/>
      <c r="O331" s="3455"/>
      <c r="P331" s="3455"/>
      <c r="Q331" s="3455"/>
      <c r="R331" s="3455"/>
      <c r="S331" s="3455"/>
      <c r="T331" s="3455"/>
      <c r="U331" s="3455"/>
    </row>
    <row r="332" spans="1:21" s="1009" customFormat="1" ht="14.25" customHeight="1">
      <c r="A332" s="3419" t="s">
        <v>1157</v>
      </c>
      <c r="B332" s="3419" t="s">
        <v>2988</v>
      </c>
      <c r="C332" s="3419">
        <v>3520</v>
      </c>
      <c r="D332" s="3419">
        <v>3480</v>
      </c>
      <c r="E332" s="3419">
        <v>3830</v>
      </c>
      <c r="F332" s="3419">
        <v>720</v>
      </c>
      <c r="G332" s="3419">
        <v>2090</v>
      </c>
      <c r="H332" s="3441"/>
      <c r="I332" s="1006"/>
      <c r="J332" s="3455"/>
      <c r="K332" s="3455"/>
      <c r="L332" s="3455"/>
      <c r="M332" s="3455"/>
      <c r="N332" s="3455"/>
      <c r="O332" s="3455"/>
      <c r="P332" s="3455"/>
      <c r="Q332" s="3455"/>
      <c r="R332" s="3455"/>
      <c r="S332" s="3455"/>
      <c r="T332" s="3455"/>
      <c r="U332" s="3455"/>
    </row>
    <row r="333" spans="1:21" s="1009" customFormat="1" ht="14.25" customHeight="1">
      <c r="A333" s="3419" t="s">
        <v>1157</v>
      </c>
      <c r="B333" s="3419" t="s">
        <v>2989</v>
      </c>
      <c r="C333" s="3419">
        <v>3840</v>
      </c>
      <c r="D333" s="3419">
        <v>3800</v>
      </c>
      <c r="E333" s="3419">
        <v>4200</v>
      </c>
      <c r="F333" s="3419">
        <v>760</v>
      </c>
      <c r="G333" s="3419">
        <v>2270</v>
      </c>
      <c r="H333" s="3441"/>
      <c r="I333" s="1006"/>
      <c r="J333" s="3455"/>
      <c r="K333" s="3455"/>
      <c r="L333" s="3455"/>
      <c r="M333" s="3455"/>
      <c r="N333" s="3455"/>
      <c r="O333" s="3455"/>
      <c r="P333" s="3455"/>
      <c r="Q333" s="3455"/>
      <c r="R333" s="3455"/>
      <c r="S333" s="3455"/>
      <c r="T333" s="3455"/>
      <c r="U333" s="3455"/>
    </row>
    <row r="334" spans="1:21" s="1009" customFormat="1" ht="14.25" customHeight="1">
      <c r="A334" s="3419" t="s">
        <v>1157</v>
      </c>
      <c r="B334" s="3419" t="s">
        <v>1030</v>
      </c>
      <c r="C334" s="3419">
        <v>3960</v>
      </c>
      <c r="D334" s="3419">
        <v>3910</v>
      </c>
      <c r="E334" s="3419">
        <v>4340</v>
      </c>
      <c r="F334" s="3419">
        <v>780</v>
      </c>
      <c r="G334" s="3419">
        <v>2340</v>
      </c>
      <c r="H334" s="3441"/>
      <c r="I334" s="1006"/>
      <c r="J334" s="3455"/>
      <c r="K334" s="3455"/>
      <c r="L334" s="3455"/>
      <c r="M334" s="3455"/>
      <c r="N334" s="3455"/>
      <c r="O334" s="3455"/>
      <c r="P334" s="3455"/>
      <c r="Q334" s="3455"/>
      <c r="R334" s="3455"/>
      <c r="S334" s="3455"/>
      <c r="T334" s="3455"/>
      <c r="U334" s="3455"/>
    </row>
    <row r="335" spans="1:21" s="1009" customFormat="1" ht="14.25" customHeight="1">
      <c r="A335" s="3419" t="s">
        <v>1157</v>
      </c>
      <c r="B335" s="3419" t="s">
        <v>1040</v>
      </c>
      <c r="C335" s="3419">
        <v>3710</v>
      </c>
      <c r="D335" s="3419">
        <v>3670</v>
      </c>
      <c r="E335" s="3419">
        <v>4030</v>
      </c>
      <c r="F335" s="3419">
        <v>750</v>
      </c>
      <c r="G335" s="3428">
        <v>2200</v>
      </c>
      <c r="H335" s="3441"/>
      <c r="I335" s="1006"/>
      <c r="J335" s="3455"/>
      <c r="K335" s="3455"/>
      <c r="L335" s="3455"/>
      <c r="M335" s="3455"/>
      <c r="N335" s="3455"/>
      <c r="O335" s="3455"/>
      <c r="P335" s="3455"/>
      <c r="Q335" s="3455"/>
      <c r="R335" s="3455"/>
      <c r="S335" s="3455"/>
      <c r="T335" s="3455"/>
      <c r="U335" s="3455"/>
    </row>
    <row r="336" spans="1:21" s="1009" customFormat="1" ht="14.25" customHeight="1">
      <c r="A336" s="3419" t="s">
        <v>1157</v>
      </c>
      <c r="B336" s="3419" t="s">
        <v>2990</v>
      </c>
      <c r="C336" s="3419">
        <v>3570</v>
      </c>
      <c r="D336" s="3419">
        <v>3530</v>
      </c>
      <c r="E336" s="3419">
        <v>3880</v>
      </c>
      <c r="F336" s="3419">
        <v>770</v>
      </c>
      <c r="G336" s="3419">
        <v>2110</v>
      </c>
      <c r="H336" s="3441"/>
      <c r="I336" s="1006"/>
      <c r="J336" s="3455"/>
      <c r="K336" s="3455"/>
      <c r="L336" s="3455"/>
      <c r="M336" s="3455"/>
      <c r="N336" s="3455"/>
      <c r="O336" s="3455"/>
      <c r="P336" s="3455"/>
      <c r="Q336" s="3455"/>
      <c r="R336" s="3455"/>
      <c r="S336" s="3455"/>
      <c r="T336" s="3455"/>
      <c r="U336" s="3455"/>
    </row>
    <row r="337" spans="1:21" s="1009" customFormat="1" ht="14.25" customHeight="1">
      <c r="A337" s="3419" t="s">
        <v>1157</v>
      </c>
      <c r="B337" s="3419" t="s">
        <v>2991</v>
      </c>
      <c r="C337" s="3419">
        <v>3780</v>
      </c>
      <c r="D337" s="3419">
        <v>3750</v>
      </c>
      <c r="E337" s="3419">
        <v>4130</v>
      </c>
      <c r="F337" s="3419">
        <v>750</v>
      </c>
      <c r="G337" s="3419">
        <v>2240</v>
      </c>
      <c r="H337" s="3441"/>
      <c r="I337" s="1006"/>
      <c r="J337" s="3455"/>
      <c r="K337" s="3455"/>
      <c r="L337" s="3455"/>
      <c r="M337" s="3455"/>
      <c r="N337" s="3455"/>
      <c r="O337" s="3455"/>
      <c r="P337" s="3455"/>
      <c r="Q337" s="3455"/>
      <c r="R337" s="3455"/>
      <c r="S337" s="3455"/>
      <c r="T337" s="3455"/>
      <c r="U337" s="3455"/>
    </row>
    <row r="338" spans="1:21" s="1009" customFormat="1" ht="14.25" customHeight="1">
      <c r="A338" s="3419" t="s">
        <v>1157</v>
      </c>
      <c r="B338" s="3419" t="s">
        <v>1068</v>
      </c>
      <c r="C338" s="3419">
        <v>3600</v>
      </c>
      <c r="D338" s="3419">
        <v>3570</v>
      </c>
      <c r="E338" s="3419">
        <v>3920</v>
      </c>
      <c r="F338" s="3419">
        <v>790</v>
      </c>
      <c r="G338" s="3428">
        <v>2140</v>
      </c>
      <c r="H338" s="3441"/>
      <c r="I338" s="1006"/>
      <c r="J338" s="3455"/>
      <c r="K338" s="3455"/>
      <c r="L338" s="3455"/>
      <c r="M338" s="3455"/>
      <c r="N338" s="3455"/>
      <c r="O338" s="3455"/>
      <c r="P338" s="3455"/>
      <c r="Q338" s="3455"/>
      <c r="R338" s="3455"/>
      <c r="S338" s="3455"/>
      <c r="T338" s="3455"/>
      <c r="U338" s="3455"/>
    </row>
    <row r="339" spans="1:21" s="1009" customFormat="1" ht="14.25" customHeight="1">
      <c r="A339" s="3419" t="s">
        <v>1157</v>
      </c>
      <c r="B339" s="3419" t="s">
        <v>1076</v>
      </c>
      <c r="C339" s="3419">
        <v>3540</v>
      </c>
      <c r="D339" s="3419">
        <v>3500</v>
      </c>
      <c r="E339" s="3419">
        <v>3850</v>
      </c>
      <c r="F339" s="3419">
        <v>780</v>
      </c>
      <c r="G339" s="3428">
        <v>2100</v>
      </c>
      <c r="H339" s="3441"/>
      <c r="I339" s="1006"/>
      <c r="J339" s="3455"/>
      <c r="K339" s="3455"/>
      <c r="L339" s="3455"/>
      <c r="M339" s="3455"/>
      <c r="N339" s="3455"/>
      <c r="O339" s="3455"/>
      <c r="P339" s="3455"/>
      <c r="Q339" s="3455"/>
      <c r="R339" s="3455"/>
      <c r="S339" s="3455"/>
      <c r="T339" s="3455"/>
      <c r="U339" s="3455"/>
    </row>
    <row r="340" spans="1:21" s="1009" customFormat="1" ht="14.25" customHeight="1">
      <c r="A340" s="3419" t="s">
        <v>1157</v>
      </c>
      <c r="B340" s="3419" t="s">
        <v>2992</v>
      </c>
      <c r="C340" s="3419">
        <v>3850</v>
      </c>
      <c r="D340" s="3419">
        <v>3810</v>
      </c>
      <c r="E340" s="3419">
        <v>4210</v>
      </c>
      <c r="F340" s="3419">
        <v>750</v>
      </c>
      <c r="G340" s="3428">
        <v>2280</v>
      </c>
      <c r="H340" s="3441"/>
      <c r="I340" s="1006"/>
      <c r="J340" s="3455"/>
      <c r="K340" s="3455"/>
      <c r="L340" s="3455"/>
      <c r="M340" s="3455"/>
      <c r="N340" s="3455"/>
      <c r="O340" s="3455"/>
      <c r="P340" s="3455"/>
      <c r="Q340" s="3455"/>
      <c r="R340" s="3455"/>
      <c r="S340" s="3455"/>
      <c r="T340" s="3455"/>
      <c r="U340" s="3455"/>
    </row>
    <row r="341" spans="1:21" s="1009" customFormat="1" ht="14.25" customHeight="1">
      <c r="A341" s="3419" t="s">
        <v>1157</v>
      </c>
      <c r="B341" s="3419" t="s">
        <v>1054</v>
      </c>
      <c r="C341" s="3419">
        <v>3780</v>
      </c>
      <c r="D341" s="3419">
        <v>3750</v>
      </c>
      <c r="E341" s="3419">
        <v>4140</v>
      </c>
      <c r="F341" s="3419">
        <v>720</v>
      </c>
      <c r="G341" s="3419">
        <v>2240</v>
      </c>
      <c r="H341" s="3441"/>
      <c r="I341" s="1006"/>
      <c r="J341" s="3455"/>
      <c r="K341" s="3455"/>
      <c r="L341" s="3455"/>
      <c r="M341" s="3455"/>
      <c r="N341" s="3455"/>
      <c r="O341" s="3455"/>
      <c r="P341" s="3455"/>
      <c r="Q341" s="3455"/>
      <c r="R341" s="3455"/>
      <c r="S341" s="3455"/>
      <c r="T341" s="3455"/>
      <c r="U341" s="3455"/>
    </row>
    <row r="342" spans="1:21" s="1009" customFormat="1" ht="14.25" customHeight="1">
      <c r="A342" s="3419" t="s">
        <v>1157</v>
      </c>
      <c r="B342" s="3419" t="s">
        <v>2993</v>
      </c>
      <c r="C342" s="3419">
        <v>3670</v>
      </c>
      <c r="D342" s="3419">
        <v>3620</v>
      </c>
      <c r="E342" s="3419">
        <v>3990</v>
      </c>
      <c r="F342" s="3419">
        <v>760</v>
      </c>
      <c r="G342" s="3419">
        <v>2170</v>
      </c>
      <c r="H342" s="3441"/>
      <c r="I342" s="1006"/>
      <c r="J342" s="3455"/>
      <c r="K342" s="3455"/>
      <c r="L342" s="3455"/>
      <c r="M342" s="3455"/>
      <c r="N342" s="3455"/>
      <c r="O342" s="3455"/>
      <c r="P342" s="3455"/>
      <c r="Q342" s="3455"/>
      <c r="R342" s="3455"/>
      <c r="S342" s="3455"/>
      <c r="T342" s="3455"/>
      <c r="U342" s="3455"/>
    </row>
    <row r="343" spans="1:21" s="1009" customFormat="1" ht="14.25" customHeight="1">
      <c r="A343" s="3419" t="s">
        <v>1157</v>
      </c>
      <c r="B343" s="3419" t="s">
        <v>1105</v>
      </c>
      <c r="C343" s="3419">
        <v>3760</v>
      </c>
      <c r="D343" s="3419">
        <v>3720</v>
      </c>
      <c r="E343" s="3419">
        <v>4090</v>
      </c>
      <c r="F343" s="3419">
        <v>780</v>
      </c>
      <c r="G343" s="3419">
        <v>2220</v>
      </c>
      <c r="H343" s="3441"/>
      <c r="I343" s="1006"/>
      <c r="J343" s="3455"/>
      <c r="K343" s="3455"/>
      <c r="L343" s="3455"/>
      <c r="M343" s="3455"/>
      <c r="N343" s="3455"/>
      <c r="O343" s="3455"/>
      <c r="P343" s="3455"/>
      <c r="Q343" s="3455"/>
      <c r="R343" s="3455"/>
      <c r="S343" s="3455"/>
      <c r="T343" s="3455"/>
      <c r="U343" s="3455"/>
    </row>
    <row r="344" spans="1:21" s="1009" customFormat="1" ht="14.25" customHeight="1">
      <c r="A344" s="3419" t="s">
        <v>1157</v>
      </c>
      <c r="B344" s="3419" t="s">
        <v>1113</v>
      </c>
      <c r="C344" s="3419">
        <v>3680</v>
      </c>
      <c r="D344" s="3419">
        <v>3640</v>
      </c>
      <c r="E344" s="3419">
        <v>4010</v>
      </c>
      <c r="F344" s="3419">
        <v>750</v>
      </c>
      <c r="G344" s="3419">
        <v>2180</v>
      </c>
      <c r="H344" s="3441"/>
      <c r="I344" s="1006"/>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5" thickBot="1">
      <c r="A357" s="3444" t="s">
        <v>1157</v>
      </c>
      <c r="B357" s="3444" t="s">
        <v>3004</v>
      </c>
      <c r="C357" s="3444">
        <v>3690</v>
      </c>
      <c r="D357" s="3444">
        <v>3650</v>
      </c>
      <c r="E357" s="3444">
        <v>4020</v>
      </c>
      <c r="F357" s="3444">
        <v>700</v>
      </c>
      <c r="G357" s="3444">
        <v>2190</v>
      </c>
      <c r="H357" s="3441"/>
    </row>
    <row r="358" spans="1:8">
      <c r="A358" s="3445" t="s">
        <v>2762</v>
      </c>
      <c r="B358" s="3446" t="s">
        <v>3005</v>
      </c>
      <c r="C358" s="3446">
        <v>2080</v>
      </c>
      <c r="D358" s="3446">
        <v>2040</v>
      </c>
      <c r="E358" s="3446">
        <v>2010</v>
      </c>
      <c r="F358" s="3446">
        <v>530</v>
      </c>
      <c r="G358" s="3447">
        <v>1230</v>
      </c>
      <c r="H358" s="3441"/>
    </row>
    <row r="359" spans="1:8">
      <c r="A359" s="3448" t="s">
        <v>2762</v>
      </c>
      <c r="B359" s="3428" t="s">
        <v>3006</v>
      </c>
      <c r="C359" s="3428">
        <v>1850</v>
      </c>
      <c r="D359" s="3428">
        <v>1820</v>
      </c>
      <c r="E359" s="3428">
        <v>1780</v>
      </c>
      <c r="F359" s="3428">
        <v>520</v>
      </c>
      <c r="G359" s="3440">
        <v>1100</v>
      </c>
      <c r="H359" s="3441"/>
    </row>
    <row r="360" spans="1:8">
      <c r="A360" s="3448" t="s">
        <v>2762</v>
      </c>
      <c r="B360" s="3428" t="s">
        <v>3007</v>
      </c>
      <c r="C360" s="3428">
        <v>2020</v>
      </c>
      <c r="D360" s="3428">
        <v>1990</v>
      </c>
      <c r="E360" s="3428">
        <v>1950</v>
      </c>
      <c r="F360" s="3428">
        <v>500</v>
      </c>
      <c r="G360" s="3440">
        <v>1200</v>
      </c>
      <c r="H360" s="3441"/>
    </row>
    <row r="361" spans="1:8">
      <c r="A361" s="3448" t="s">
        <v>2762</v>
      </c>
      <c r="B361" s="3428" t="s">
        <v>999</v>
      </c>
      <c r="C361" s="3428">
        <v>2260</v>
      </c>
      <c r="D361" s="3428">
        <v>2220</v>
      </c>
      <c r="E361" s="3428">
        <v>2180</v>
      </c>
      <c r="F361" s="3428">
        <v>580</v>
      </c>
      <c r="G361" s="3440">
        <v>1340</v>
      </c>
      <c r="H361" s="3441"/>
    </row>
    <row r="362" spans="1:8">
      <c r="A362" s="3448" t="s">
        <v>2762</v>
      </c>
      <c r="B362" s="3428" t="s">
        <v>3008</v>
      </c>
      <c r="C362" s="3428">
        <v>2650</v>
      </c>
      <c r="D362" s="3428">
        <v>2610</v>
      </c>
      <c r="E362" s="3428">
        <v>2570</v>
      </c>
      <c r="F362" s="3428">
        <v>630</v>
      </c>
      <c r="G362" s="3440">
        <v>1570</v>
      </c>
      <c r="H362" s="3441"/>
    </row>
    <row r="363" spans="1:8">
      <c r="A363" s="3448" t="s">
        <v>2762</v>
      </c>
      <c r="B363" s="3428" t="s">
        <v>3009</v>
      </c>
      <c r="C363" s="3428">
        <v>2390</v>
      </c>
      <c r="D363" s="3428">
        <v>2360</v>
      </c>
      <c r="E363" s="3428">
        <v>2320</v>
      </c>
      <c r="F363" s="3428">
        <v>600</v>
      </c>
      <c r="G363" s="3440">
        <v>1420</v>
      </c>
      <c r="H363" s="3441"/>
    </row>
    <row r="364" spans="1:8">
      <c r="A364" s="3448" t="s">
        <v>2762</v>
      </c>
      <c r="B364" s="3428" t="s">
        <v>3010</v>
      </c>
      <c r="C364" s="3428">
        <v>2050</v>
      </c>
      <c r="D364" s="3428">
        <v>2030</v>
      </c>
      <c r="E364" s="3428">
        <v>1990</v>
      </c>
      <c r="F364" s="3428">
        <v>550</v>
      </c>
      <c r="G364" s="3440">
        <v>1220</v>
      </c>
      <c r="H364" s="3441"/>
    </row>
    <row r="365" spans="1:8">
      <c r="A365" s="3448" t="s">
        <v>2762</v>
      </c>
      <c r="B365" s="3428" t="s">
        <v>1047</v>
      </c>
      <c r="C365" s="3428">
        <v>2140</v>
      </c>
      <c r="D365" s="3428">
        <v>2100</v>
      </c>
      <c r="E365" s="3428">
        <v>2060</v>
      </c>
      <c r="F365" s="3428">
        <v>540</v>
      </c>
      <c r="G365" s="3440">
        <v>1270</v>
      </c>
      <c r="H365" s="3441"/>
    </row>
    <row r="366" spans="1:8">
      <c r="A366" s="3448" t="s">
        <v>2762</v>
      </c>
      <c r="B366" s="3428" t="s">
        <v>3011</v>
      </c>
      <c r="C366" s="3428">
        <v>2410</v>
      </c>
      <c r="D366" s="3428">
        <v>2370</v>
      </c>
      <c r="E366" s="3428">
        <v>2330</v>
      </c>
      <c r="F366" s="3428">
        <v>570</v>
      </c>
      <c r="G366" s="3440">
        <v>1440</v>
      </c>
      <c r="H366" s="3441"/>
    </row>
    <row r="367" spans="1:8">
      <c r="A367" s="3448" t="s">
        <v>2762</v>
      </c>
      <c r="B367" s="3428" t="s">
        <v>3012</v>
      </c>
      <c r="C367" s="3428">
        <v>2300</v>
      </c>
      <c r="D367" s="3428">
        <v>2260</v>
      </c>
      <c r="E367" s="3428">
        <v>2220</v>
      </c>
      <c r="F367" s="3428">
        <v>560</v>
      </c>
      <c r="G367" s="3440">
        <v>1370</v>
      </c>
      <c r="H367" s="3441"/>
    </row>
    <row r="368" spans="1:8">
      <c r="A368" s="3448" t="s">
        <v>2762</v>
      </c>
      <c r="B368" s="3428" t="s">
        <v>3013</v>
      </c>
      <c r="C368" s="3428">
        <v>2430</v>
      </c>
      <c r="D368" s="3428">
        <v>2390</v>
      </c>
      <c r="E368" s="3428">
        <v>2350</v>
      </c>
      <c r="F368" s="3428">
        <v>570</v>
      </c>
      <c r="G368" s="3440">
        <v>1450</v>
      </c>
      <c r="H368" s="3441"/>
    </row>
    <row r="369" spans="1:8">
      <c r="A369" s="3448" t="s">
        <v>2762</v>
      </c>
      <c r="B369" s="3428" t="s">
        <v>1061</v>
      </c>
      <c r="C369" s="3428">
        <v>2320</v>
      </c>
      <c r="D369" s="3428">
        <v>2290</v>
      </c>
      <c r="E369" s="3428">
        <v>2250</v>
      </c>
      <c r="F369" s="3428">
        <v>550</v>
      </c>
      <c r="G369" s="3440">
        <v>1380</v>
      </c>
      <c r="H369" s="3441"/>
    </row>
    <row r="370" spans="1:8">
      <c r="A370" s="3448" t="s">
        <v>2762</v>
      </c>
      <c r="B370" s="3428" t="s">
        <v>1069</v>
      </c>
      <c r="C370" s="3428">
        <v>2190</v>
      </c>
      <c r="D370" s="3428">
        <v>2170</v>
      </c>
      <c r="E370" s="3428">
        <v>2130</v>
      </c>
      <c r="F370" s="3428">
        <v>530</v>
      </c>
      <c r="G370" s="3440">
        <v>1310</v>
      </c>
      <c r="H370" s="3441"/>
    </row>
    <row r="371" spans="1:8">
      <c r="A371" s="3448" t="s">
        <v>2762</v>
      </c>
      <c r="B371" s="3428" t="s">
        <v>1077</v>
      </c>
      <c r="C371" s="3428">
        <v>2460</v>
      </c>
      <c r="D371" s="3428">
        <v>2420</v>
      </c>
      <c r="E371" s="3428">
        <v>2370</v>
      </c>
      <c r="F371" s="3428">
        <v>560</v>
      </c>
      <c r="G371" s="3440">
        <v>1470</v>
      </c>
      <c r="H371" s="3441"/>
    </row>
    <row r="372" spans="1:8">
      <c r="A372" s="3448" t="s">
        <v>2762</v>
      </c>
      <c r="B372" s="3428" t="s">
        <v>3014</v>
      </c>
      <c r="C372" s="3428">
        <v>2250</v>
      </c>
      <c r="D372" s="3428">
        <v>2210</v>
      </c>
      <c r="E372" s="3428">
        <v>2180</v>
      </c>
      <c r="F372" s="3428">
        <v>550</v>
      </c>
      <c r="G372" s="3440">
        <v>1340</v>
      </c>
      <c r="H372" s="3441"/>
    </row>
    <row r="373" spans="1:8">
      <c r="A373" s="3448" t="s">
        <v>2762</v>
      </c>
      <c r="B373" s="3428" t="s">
        <v>1106</v>
      </c>
      <c r="C373" s="3428">
        <v>2210</v>
      </c>
      <c r="D373" s="3428">
        <v>2190</v>
      </c>
      <c r="E373" s="3428">
        <v>2150</v>
      </c>
      <c r="F373" s="3428">
        <v>530</v>
      </c>
      <c r="G373" s="3440">
        <v>1320</v>
      </c>
      <c r="H373" s="3441"/>
    </row>
    <row r="374" spans="1:8">
      <c r="A374" s="3448" t="s">
        <v>2762</v>
      </c>
      <c r="B374" s="3428" t="s">
        <v>1114</v>
      </c>
      <c r="C374" s="3428">
        <v>2320</v>
      </c>
      <c r="D374" s="3428">
        <v>2280</v>
      </c>
      <c r="E374" s="3428">
        <v>2230</v>
      </c>
      <c r="F374" s="3428">
        <v>580</v>
      </c>
      <c r="G374" s="3440">
        <v>1380</v>
      </c>
      <c r="H374" s="3441"/>
    </row>
    <row r="375" spans="1:8">
      <c r="A375" s="3448" t="s">
        <v>2762</v>
      </c>
      <c r="B375" s="3428" t="s">
        <v>3015</v>
      </c>
      <c r="C375" s="3428">
        <v>2090</v>
      </c>
      <c r="D375" s="3428">
        <v>2050</v>
      </c>
      <c r="E375" s="3428">
        <v>2020</v>
      </c>
      <c r="F375" s="3428">
        <v>520</v>
      </c>
      <c r="G375" s="3440">
        <v>1240</v>
      </c>
      <c r="H375" s="3441"/>
    </row>
    <row r="376" spans="1:8">
      <c r="A376" s="3448" t="s">
        <v>2762</v>
      </c>
      <c r="B376" s="3428" t="s">
        <v>1126</v>
      </c>
      <c r="C376" s="3428">
        <v>2010</v>
      </c>
      <c r="D376" s="3428">
        <v>1980</v>
      </c>
      <c r="E376" s="3428">
        <v>1940</v>
      </c>
      <c r="F376" s="3428">
        <v>540</v>
      </c>
      <c r="G376" s="3440">
        <v>1190</v>
      </c>
      <c r="H376" s="3441"/>
    </row>
    <row r="377" spans="1:8" ht="15" thickBot="1">
      <c r="A377" s="3450" t="s">
        <v>2762</v>
      </c>
      <c r="B377" s="3444" t="s">
        <v>3016</v>
      </c>
      <c r="C377" s="3444">
        <v>1930</v>
      </c>
      <c r="D377" s="3444">
        <v>1890</v>
      </c>
      <c r="E377" s="3444">
        <v>1860</v>
      </c>
      <c r="F377" s="3444">
        <v>530</v>
      </c>
      <c r="G377" s="3451">
        <v>1150</v>
      </c>
      <c r="H377" s="3441"/>
    </row>
    <row r="378" spans="1:8">
      <c r="A378" s="3445" t="s">
        <v>2763</v>
      </c>
      <c r="B378" s="3446" t="s">
        <v>3017</v>
      </c>
      <c r="C378" s="3446">
        <v>1520</v>
      </c>
      <c r="D378" s="3446">
        <v>1490</v>
      </c>
      <c r="E378" s="3446">
        <v>1460</v>
      </c>
      <c r="F378" s="3446">
        <v>460</v>
      </c>
      <c r="G378" s="3447">
        <v>940</v>
      </c>
      <c r="H378" s="3441"/>
    </row>
    <row r="379" spans="1:8">
      <c r="A379" s="3448" t="s">
        <v>2763</v>
      </c>
      <c r="B379" s="3428" t="s">
        <v>3018</v>
      </c>
      <c r="C379" s="3428">
        <v>1500</v>
      </c>
      <c r="D379" s="3428">
        <v>1470</v>
      </c>
      <c r="E379" s="3428">
        <v>1430</v>
      </c>
      <c r="F379" s="3428">
        <v>460</v>
      </c>
      <c r="G379" s="3440">
        <v>920</v>
      </c>
      <c r="H379" s="3441"/>
    </row>
    <row r="380" spans="1:8">
      <c r="A380" s="3448" t="s">
        <v>2763</v>
      </c>
      <c r="B380" s="3428" t="s">
        <v>3019</v>
      </c>
      <c r="C380" s="3428">
        <v>1620</v>
      </c>
      <c r="D380" s="3428">
        <v>1590</v>
      </c>
      <c r="E380" s="3428">
        <v>1560</v>
      </c>
      <c r="F380" s="3428">
        <v>480</v>
      </c>
      <c r="G380" s="3440">
        <v>1000</v>
      </c>
      <c r="H380" s="3441"/>
    </row>
    <row r="381" spans="1:8">
      <c r="A381" s="3448" t="s">
        <v>2763</v>
      </c>
      <c r="B381" s="3428" t="s">
        <v>3020</v>
      </c>
      <c r="C381" s="3428">
        <v>1460</v>
      </c>
      <c r="D381" s="3428">
        <v>1430</v>
      </c>
      <c r="E381" s="3428">
        <v>1390</v>
      </c>
      <c r="F381" s="3428">
        <v>450</v>
      </c>
      <c r="G381" s="3440">
        <v>900</v>
      </c>
      <c r="H381" s="3441"/>
    </row>
    <row r="382" spans="1:8">
      <c r="A382" s="3448" t="s">
        <v>2763</v>
      </c>
      <c r="B382" s="3428" t="s">
        <v>3021</v>
      </c>
      <c r="C382" s="3428">
        <v>1310</v>
      </c>
      <c r="D382" s="3428">
        <v>1280</v>
      </c>
      <c r="E382" s="3428">
        <v>1250</v>
      </c>
      <c r="F382" s="3428">
        <v>440</v>
      </c>
      <c r="G382" s="3440">
        <v>800</v>
      </c>
      <c r="H382" s="3441"/>
    </row>
    <row r="383" spans="1:8">
      <c r="A383" s="3448" t="s">
        <v>2763</v>
      </c>
      <c r="B383" s="3428" t="s">
        <v>3022</v>
      </c>
      <c r="C383" s="3428">
        <v>1260</v>
      </c>
      <c r="D383" s="3428">
        <v>1230</v>
      </c>
      <c r="E383" s="3428">
        <v>1200</v>
      </c>
      <c r="F383" s="3428">
        <v>420</v>
      </c>
      <c r="G383" s="3440">
        <v>770</v>
      </c>
      <c r="H383" s="3441"/>
    </row>
    <row r="384" spans="1:8" ht="15" thickBot="1">
      <c r="A384" s="3449" t="s">
        <v>2763</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1" t="s">
        <v>3186</v>
      </c>
      <c r="B1" s="3981"/>
      <c r="C1" s="3981"/>
      <c r="D1" s="3981"/>
      <c r="E1" s="3981"/>
      <c r="F1" s="3982"/>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2738</v>
      </c>
      <c r="C4" s="3498" t="s">
        <v>1212</v>
      </c>
      <c r="D4" s="3498" t="s">
        <v>3185</v>
      </c>
      <c r="E4" s="3498" t="s">
        <v>905</v>
      </c>
      <c r="F4" s="3498" t="s">
        <v>3190</v>
      </c>
    </row>
    <row r="5" spans="1:6">
      <c r="A5" s="3499" t="s">
        <v>2761</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2762</v>
      </c>
      <c r="B16" s="3501">
        <v>2230</v>
      </c>
      <c r="C16" s="3501">
        <v>2200</v>
      </c>
      <c r="D16" s="3501">
        <v>2180</v>
      </c>
      <c r="E16" s="3501">
        <v>570</v>
      </c>
      <c r="F16" s="3501">
        <v>1330</v>
      </c>
    </row>
    <row r="17" spans="1:6">
      <c r="A17" s="3499" t="s">
        <v>2763</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581" t="s">
        <v>2029</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2204</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577" t="s">
        <v>1592</v>
      </c>
    </row>
    <row r="22" spans="1:1" ht="52.2">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577" t="str">
        <f>IF(项目基本情况!A17="出让","本次评估设定估价对象剩余土地使用年限为"&amp;项目基本情况!D20&amp;"。","")</f>
        <v>本次评估设定估价对象剩余土地使用年限为。</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577" t="str">
        <f>IF(项目基本情况!B9="市场价格","——",IF(项目基本情况!E8="抵押价格",定义!C54,IF(项目基本情况!E8="已注销",定义!C55,定义!C56)))</f>
        <v>——</v>
      </c>
    </row>
    <row r="27" spans="1:1" ht="17.399999999999999">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7" t="str">
        <f>IF(项目基本情况!B9="市场价格","——",IF(项目基本情况!E9="——","",定义!C57))</f>
        <v>——</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8"/>
    <col min="2" max="16384" width="9" style="969"/>
  </cols>
  <sheetData>
    <row r="1" spans="1:14" ht="15.6">
      <c r="A1" s="3335"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5.6">
      <c r="A93" s="3335"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SUMPRODUCT((A95:A184=ROUNDDOWN([3]基准地价修正!G3,1))*(B94:M94=[3]基准地价修正!G2)*(B95:M184))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5.6">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5.6">
      <c r="A185" s="3335"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5.6">
      <c r="A277" s="3335"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5.6">
      <c r="A369" s="3335"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SUMPRODUCT((A371:A460=ROUNDDOWN([3]基准地价修正!G3,1))*(B370:M370=[3]基准地价修正!G2)*(B371:M460))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4" customWidth="1"/>
    <col min="2" max="2" width="13.88671875" style="3494" customWidth="1"/>
    <col min="3" max="7" width="8.88671875" style="3459"/>
    <col min="8" max="16384" width="8.88671875" style="1579"/>
  </cols>
  <sheetData>
    <row r="1" spans="1:7">
      <c r="A1" s="3983" t="s">
        <v>3024</v>
      </c>
      <c r="B1" s="3983"/>
    </row>
    <row r="2" spans="1:7" ht="15" thickBot="1">
      <c r="A2" s="3460"/>
      <c r="B2" s="3460"/>
    </row>
    <row r="3" spans="1:7" ht="15" thickBot="1">
      <c r="A3" s="3460"/>
      <c r="B3" s="3460"/>
      <c r="C3" s="3461" t="s">
        <v>3025</v>
      </c>
      <c r="D3" s="3461" t="s">
        <v>3026</v>
      </c>
      <c r="E3" s="3461" t="s">
        <v>3027</v>
      </c>
      <c r="F3" s="3461" t="s">
        <v>3028</v>
      </c>
      <c r="G3" s="3461" t="s">
        <v>3029</v>
      </c>
    </row>
    <row r="4" spans="1:7" ht="1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3986" t="s">
        <v>1858</v>
      </c>
      <c r="C1" s="3986"/>
      <c r="D1" s="3986"/>
      <c r="E1" s="3986"/>
      <c r="F1" s="3986"/>
      <c r="G1" s="3985" t="s">
        <v>1859</v>
      </c>
      <c r="H1" s="3985"/>
      <c r="I1" s="3985"/>
      <c r="J1" s="3985"/>
      <c r="K1" s="3985"/>
      <c r="L1" s="3985"/>
      <c r="N1" s="3985" t="s">
        <v>1860</v>
      </c>
      <c r="O1" s="3985"/>
      <c r="P1" s="3985"/>
      <c r="Q1" s="3985"/>
      <c r="S1" s="3985" t="s">
        <v>1861</v>
      </c>
      <c r="T1" s="3985"/>
      <c r="U1" s="3985"/>
      <c r="V1" s="3985"/>
      <c r="X1" s="3984" t="s">
        <v>1921</v>
      </c>
      <c r="Y1" s="3985"/>
      <c r="Z1" s="3985"/>
      <c r="AA1" s="3985"/>
      <c r="AB1" s="3985"/>
      <c r="AD1" s="3984" t="s">
        <v>1925</v>
      </c>
      <c r="AE1" s="3985"/>
      <c r="AF1" s="3985"/>
      <c r="AG1" s="3985"/>
      <c r="AH1" s="3985"/>
    </row>
    <row r="2" spans="1:34" s="2615" customFormat="1" ht="1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2446</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2445</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2444</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2443</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2442</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2291</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2290</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2289</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2288</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2285</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2284</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3988">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3988"/>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3988"/>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3994"/>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3993">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8"/>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88"/>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94"/>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93">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8"/>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8"/>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9"/>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3987">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8"/>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8"/>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9"/>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3987">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8"/>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8"/>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9"/>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3990">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91"/>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91"/>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92"/>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3987">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88"/>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88"/>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3989"/>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3987">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8">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88">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89">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3987">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8">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88">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89">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3987">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8">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88">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89">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3987">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8">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88">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89">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3987">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8">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88">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89">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3987">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8">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88">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89">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3987">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8">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88">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89">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3987">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8">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88">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89">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3987">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88">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88">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3989">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3987">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88">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88">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3989">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W17" sqref="W17"/>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5">
        <f>基准地价!G23</f>
        <v>45839</v>
      </c>
      <c r="B1" s="3343" t="s">
        <v>3262</v>
      </c>
      <c r="C1" s="3344"/>
      <c r="D1" s="3344"/>
      <c r="E1" s="3344"/>
      <c r="F1" s="3344"/>
      <c r="G1" s="3344"/>
      <c r="H1" s="3344"/>
      <c r="I1" s="3344"/>
      <c r="J1" s="3345"/>
      <c r="K1" s="3344" t="s">
        <v>2789</v>
      </c>
      <c r="L1" s="3344"/>
      <c r="M1" s="3344"/>
      <c r="N1" s="3344"/>
      <c r="O1" s="3344"/>
      <c r="P1" s="3344"/>
      <c r="Q1" s="3345"/>
      <c r="R1" s="3995" t="s">
        <v>2797</v>
      </c>
      <c r="S1" s="3996"/>
      <c r="T1" s="3996"/>
      <c r="U1" s="3996"/>
      <c r="V1" s="3996"/>
      <c r="W1" s="3996"/>
      <c r="X1" s="3345"/>
      <c r="Y1" s="3995" t="s">
        <v>2808</v>
      </c>
      <c r="Z1" s="3996"/>
      <c r="AA1" s="3996"/>
      <c r="AB1" s="3996"/>
      <c r="AC1" s="3996"/>
      <c r="AD1" s="3996"/>
    </row>
    <row r="2" spans="1:44" ht="15" thickBot="1">
      <c r="A2" s="3336"/>
      <c r="B2" s="3346"/>
      <c r="C2" s="3347"/>
      <c r="D2" s="3348" t="s">
        <v>2791</v>
      </c>
      <c r="E2" s="3349" t="s">
        <v>2792</v>
      </c>
      <c r="F2" s="3349" t="s">
        <v>2793</v>
      </c>
      <c r="G2" s="3349" t="s">
        <v>2794</v>
      </c>
      <c r="H2" s="3349" t="s">
        <v>2795</v>
      </c>
      <c r="I2" s="3349" t="s">
        <v>2737</v>
      </c>
      <c r="J2" s="3350"/>
      <c r="K2" s="3348" t="s">
        <v>2791</v>
      </c>
      <c r="L2" s="3349" t="s">
        <v>2792</v>
      </c>
      <c r="M2" s="3349" t="s">
        <v>2793</v>
      </c>
      <c r="N2" s="3349" t="s">
        <v>2794</v>
      </c>
      <c r="O2" s="3349" t="s">
        <v>2795</v>
      </c>
      <c r="P2" s="3349" t="s">
        <v>2737</v>
      </c>
      <c r="Q2" s="3350"/>
      <c r="R2" s="3348" t="s">
        <v>2798</v>
      </c>
      <c r="S2" s="3349" t="s">
        <v>2799</v>
      </c>
      <c r="T2" s="3349" t="s">
        <v>2800</v>
      </c>
      <c r="U2" s="3349" t="s">
        <v>2801</v>
      </c>
      <c r="V2" s="3349" t="s">
        <v>2802</v>
      </c>
      <c r="W2" s="3349" t="s">
        <v>2803</v>
      </c>
      <c r="X2" s="3350"/>
      <c r="Y2" s="3348" t="s">
        <v>2791</v>
      </c>
      <c r="Z2" s="3349" t="s">
        <v>1470</v>
      </c>
      <c r="AA2" s="3349" t="s">
        <v>2809</v>
      </c>
      <c r="AB2" s="3349" t="s">
        <v>1469</v>
      </c>
      <c r="AC2" s="3349" t="s">
        <v>2795</v>
      </c>
      <c r="AD2" s="3349" t="s">
        <v>2454</v>
      </c>
      <c r="AF2" t="s">
        <v>3310</v>
      </c>
      <c r="AG2" t="s">
        <v>2738</v>
      </c>
      <c r="AH2" t="s">
        <v>1212</v>
      </c>
      <c r="AI2" t="s">
        <v>851</v>
      </c>
      <c r="AJ2" t="s">
        <v>905</v>
      </c>
      <c r="AK2" t="s">
        <v>2736</v>
      </c>
      <c r="AM2" t="s">
        <v>3310</v>
      </c>
      <c r="AN2" t="s">
        <v>2738</v>
      </c>
      <c r="AO2" t="s">
        <v>1212</v>
      </c>
      <c r="AP2" t="s">
        <v>851</v>
      </c>
      <c r="AQ2" t="s">
        <v>905</v>
      </c>
      <c r="AR2" t="s">
        <v>2736</v>
      </c>
    </row>
    <row r="3" spans="1:44">
      <c r="A3" s="3337" t="s">
        <v>2780</v>
      </c>
      <c r="B3" s="3351"/>
      <c r="C3" s="3352"/>
      <c r="D3" s="3352">
        <f>ROUND(AVERAGEIF(D4:D24,"&lt;&gt;0"),2)</f>
        <v>0.37</v>
      </c>
      <c r="E3" s="3352">
        <f>ROUND(AVERAGEIF(E4:E24,"&lt;&gt;0"),2)</f>
        <v>0.16</v>
      </c>
      <c r="F3" s="3352">
        <f>ROUND(AVERAGEIF(F4:F24,"&lt;&gt;0"),2)</f>
        <v>-0.12</v>
      </c>
      <c r="G3" s="3352">
        <f>ROUND(AVERAGEIF(G4:G24,"&lt;&gt;0"),2)</f>
        <v>0.44</v>
      </c>
      <c r="H3" s="3352">
        <f>ROUND(AVERAGEIF(H4:H24,"&lt;&gt;0"),2)</f>
        <v>0.5</v>
      </c>
      <c r="I3" s="3352">
        <f>F3</f>
        <v>-0.12</v>
      </c>
      <c r="J3" s="3353"/>
      <c r="K3" s="3354">
        <f>ROUND(AVERAGEIF(K4:K24,"&lt;&gt;0"),4)</f>
        <v>3.7000000000000002E-3</v>
      </c>
      <c r="L3" s="3355">
        <f>ROUND(AVERAGEIF(L4:L24,"&lt;&gt;0"),4)</f>
        <v>1.6000000000000001E-3</v>
      </c>
      <c r="M3" s="3355">
        <f>ROUND(AVERAGEIF(M4:M24,"&lt;&gt;0"),4)</f>
        <v>-1.1999999999999999E-3</v>
      </c>
      <c r="N3" s="3355">
        <f>ROUND(AVERAGEIF(N4:N24,"&lt;&gt;0"),4)</f>
        <v>4.4000000000000003E-3</v>
      </c>
      <c r="O3" s="3355">
        <f>ROUND(AVERAGEIF(O4:O24,"&lt;&gt;0"),4)</f>
        <v>5.0000000000000001E-3</v>
      </c>
      <c r="P3" s="3355">
        <f>M3</f>
        <v>-1.1999999999999999E-3</v>
      </c>
      <c r="Q3" s="3353"/>
      <c r="R3" s="3370">
        <f>ROUND(SUMPRODUCT(PRODUCT(1+K4:K24)),4)</f>
        <v>1.0680000000000001</v>
      </c>
      <c r="S3" s="3371">
        <f>ROUND(SUMPRODUCT(PRODUCT(1+L4:L24)),4)</f>
        <v>1.0290999999999999</v>
      </c>
      <c r="T3" s="3371">
        <f>ROUND(SUMPRODUCT(PRODUCT(1+M4:M24)),4)</f>
        <v>0.97850000000000004</v>
      </c>
      <c r="U3" s="3371">
        <f>ROUND(SUMPRODUCT(PRODUCT(1+N4:N24)),4)</f>
        <v>1.0807</v>
      </c>
      <c r="V3" s="3371">
        <f>ROUND(SUMPRODUCT(PRODUCT(1+O4:O24)),4)</f>
        <v>1.093</v>
      </c>
      <c r="W3" s="3370">
        <f>T3</f>
        <v>0.97850000000000004</v>
      </c>
      <c r="X3" s="3353"/>
      <c r="Y3" s="3378">
        <f>ROUND(AVERAGEIF(Y11:Y24,"&lt;&gt;0"),4)</f>
        <v>8.0999999999999996E-3</v>
      </c>
      <c r="Z3" s="3379">
        <f>ROUND(AVERAGEIF(Z11:Z24,"&lt;&gt;0"),4)</f>
        <v>3.7000000000000002E-3</v>
      </c>
      <c r="AA3" s="3380">
        <f>ROUND(AVERAGEIF(AA11:AA24,"&lt;&gt;0"),4)</f>
        <v>1.2999999999999999E-3</v>
      </c>
      <c r="AB3" s="3378">
        <f>ROUND(AVERAGEIF(AB11:AB24,"&lt;&gt;0"),4)</f>
        <v>8.8000000000000005E-3</v>
      </c>
      <c r="AC3" s="3381">
        <f>ROUND(AVERAGEIF(AC11:AC24,"&lt;&gt;0"),4)</f>
        <v>6.1999999999999998E-3</v>
      </c>
      <c r="AD3" s="3378">
        <f>AA3</f>
        <v>1.2999999999999999E-3</v>
      </c>
    </row>
    <row r="4" spans="1:44">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44">
      <c r="A5" s="3658" t="s">
        <v>3312</v>
      </c>
      <c r="B5" s="3398">
        <v>2025</v>
      </c>
      <c r="C5" s="3399">
        <v>4</v>
      </c>
      <c r="D5" s="3399">
        <v>0</v>
      </c>
      <c r="E5" s="3399">
        <v>0</v>
      </c>
      <c r="F5" s="3399">
        <v>0</v>
      </c>
      <c r="G5" s="3399">
        <v>0</v>
      </c>
      <c r="H5" s="3399">
        <v>0</v>
      </c>
      <c r="I5" s="3400">
        <f t="shared" ref="I5" si="0">F5</f>
        <v>0</v>
      </c>
      <c r="J5" s="3360"/>
      <c r="K5" s="3361">
        <f t="shared" ref="K5" si="1">D5/100</f>
        <v>0</v>
      </c>
      <c r="L5" s="3362">
        <f t="shared" ref="L5" si="2">E5/100</f>
        <v>0</v>
      </c>
      <c r="M5" s="3362">
        <f t="shared" ref="M5" si="3">F5/100</f>
        <v>0</v>
      </c>
      <c r="N5" s="3362">
        <f t="shared" ref="N5" si="4">G5/100</f>
        <v>0</v>
      </c>
      <c r="O5" s="3362">
        <f t="shared" ref="O5" si="5">H5/100</f>
        <v>0</v>
      </c>
      <c r="P5" s="3362">
        <f t="shared" ref="P5:P11" si="6">M5</f>
        <v>0</v>
      </c>
      <c r="Q5" s="3360"/>
      <c r="R5" s="3376">
        <f>ROUND(IF(项目基本情况!$B$8="出让",SUMPRODUCT(PRODUCT(1+K5:$K$24)),SUMPRODUCT(PRODUCT(1+K5:$K$23))),4)</f>
        <v>1.0577000000000001</v>
      </c>
      <c r="S5" s="3376">
        <f>ROUND(IF(项目基本情况!$B$8="出让",SUMPRODUCT(PRODUCT(1+L5:$L$24)),SUMPRODUCT(PRODUCT(1+L5:$L$23))),4)</f>
        <v>1.0275000000000001</v>
      </c>
      <c r="T5" s="3376">
        <f>ROUND(IF(项目基本情况!$B$8="出让",SUMPRODUCT(PRODUCT(1+M5:$M$24)),SUMPRODUCT(PRODUCT(1+M5:$M$23))),4)</f>
        <v>0.98089999999999999</v>
      </c>
      <c r="U5" s="3376">
        <f>ROUND(IF(项目基本情况!$B$8="出让",SUMPRODUCT(PRODUCT(1+N5:$N$24)),SUMPRODUCT(PRODUCT(1+N5:$N$23))),4)</f>
        <v>1.0689</v>
      </c>
      <c r="V5" s="3376">
        <f>ROUND(IF(项目基本情况!$B$8="出让",SUMPRODUCT(PRODUCT(1+O5:$O$24)),SUMPRODUCT(PRODUCT(1+O5:$O$23))),4)</f>
        <v>1.0891</v>
      </c>
      <c r="W5" s="3376">
        <f t="shared" ref="W5:W11" si="7">T5</f>
        <v>0.98089999999999999</v>
      </c>
      <c r="X5" s="3360"/>
      <c r="Y5" s="3385">
        <f t="shared" ref="Y5" si="8">IF(D5=0,0,ROUND(AVERAGE(D5:D18)/100,4))</f>
        <v>0</v>
      </c>
      <c r="Z5" s="3385">
        <f t="shared" ref="Z5" si="9">IF(E5=0,0,ROUND(AVERAGE(E5:E18)/100,4))</f>
        <v>0</v>
      </c>
      <c r="AA5" s="3385">
        <f t="shared" ref="AA5" si="10">IF(F5=0,0,ROUND(AVERAGE(F5:F18)/100,4))</f>
        <v>0</v>
      </c>
      <c r="AB5" s="3385">
        <f t="shared" ref="AB5" si="11">IF(G5=0,0,ROUND(AVERAGE(G5:G18)/100,4))</f>
        <v>0</v>
      </c>
      <c r="AC5" s="3385">
        <f t="shared" ref="AC5" si="12">IF(H5=0,0,ROUND(AVERAGE(H5:H18)/100,4))</f>
        <v>0</v>
      </c>
      <c r="AD5" s="3385">
        <f t="shared" ref="AD5" si="13">AA5</f>
        <v>0</v>
      </c>
      <c r="AF5" s="3675">
        <f t="shared" ref="AF5" si="14">$AF$24*R5</f>
        <v>105.77000000000001</v>
      </c>
      <c r="AG5" s="3675">
        <f t="shared" ref="AG5" si="15">$AG$24*S5</f>
        <v>102.75000000000001</v>
      </c>
      <c r="AH5" s="3675">
        <f t="shared" ref="AH5" si="16">$AH$24*T5</f>
        <v>98.09</v>
      </c>
      <c r="AI5" s="3675">
        <f t="shared" ref="AI5" si="17">$AI$24*U5</f>
        <v>106.89</v>
      </c>
      <c r="AJ5" s="3675">
        <f t="shared" ref="AJ5" si="18">$AJ$24*V5</f>
        <v>108.91</v>
      </c>
      <c r="AK5" s="3675">
        <f t="shared" ref="AK5" si="19">$AK$24*W5</f>
        <v>98.09</v>
      </c>
      <c r="AM5" s="3674">
        <v>100</v>
      </c>
      <c r="AN5" s="3674">
        <v>100</v>
      </c>
      <c r="AO5" s="3674">
        <v>100</v>
      </c>
      <c r="AP5" s="3674">
        <v>100</v>
      </c>
      <c r="AQ5" s="3674">
        <v>100</v>
      </c>
      <c r="AR5" s="3674">
        <v>100</v>
      </c>
    </row>
    <row r="6" spans="1:44">
      <c r="A6" s="3658" t="s">
        <v>3311</v>
      </c>
      <c r="B6" s="3398">
        <v>2025</v>
      </c>
      <c r="C6" s="3399">
        <v>3</v>
      </c>
      <c r="D6" s="3399">
        <v>0</v>
      </c>
      <c r="E6" s="3399">
        <v>0</v>
      </c>
      <c r="F6" s="3399">
        <v>0</v>
      </c>
      <c r="G6" s="3399">
        <v>0</v>
      </c>
      <c r="H6" s="3399">
        <v>0</v>
      </c>
      <c r="I6" s="3400">
        <f t="shared" ref="I6" si="20">F6</f>
        <v>0</v>
      </c>
      <c r="J6" s="3360"/>
      <c r="K6" s="3361">
        <f t="shared" ref="K6" si="21">D6/100</f>
        <v>0</v>
      </c>
      <c r="L6" s="3362">
        <f t="shared" ref="L6" si="22">E6/100</f>
        <v>0</v>
      </c>
      <c r="M6" s="3362">
        <f t="shared" ref="M6" si="23">F6/100</f>
        <v>0</v>
      </c>
      <c r="N6" s="3362">
        <f t="shared" ref="N6" si="24">G6/100</f>
        <v>0</v>
      </c>
      <c r="O6" s="3362">
        <f t="shared" ref="O6" si="25">H6/100</f>
        <v>0</v>
      </c>
      <c r="P6" s="3362">
        <f t="shared" si="6"/>
        <v>0</v>
      </c>
      <c r="Q6" s="3360"/>
      <c r="R6" s="3376">
        <f>ROUND(IF(项目基本情况!$B$8="出让",SUMPRODUCT(PRODUCT(1+K6:$K$24)),SUMPRODUCT(PRODUCT(1+K6:$K$23))),4)</f>
        <v>1.0577000000000001</v>
      </c>
      <c r="S6" s="3376">
        <f>ROUND(IF(项目基本情况!$B$8="出让",SUMPRODUCT(PRODUCT(1+L6:$L$24)),SUMPRODUCT(PRODUCT(1+L6:$L$23))),4)</f>
        <v>1.0275000000000001</v>
      </c>
      <c r="T6" s="3376">
        <f>ROUND(IF(项目基本情况!$B$8="出让",SUMPRODUCT(PRODUCT(1+M6:$M$24)),SUMPRODUCT(PRODUCT(1+M6:$M$23))),4)</f>
        <v>0.98089999999999999</v>
      </c>
      <c r="U6" s="3376">
        <f>ROUND(IF(项目基本情况!$B$8="出让",SUMPRODUCT(PRODUCT(1+N6:$N$24)),SUMPRODUCT(PRODUCT(1+N6:$N$23))),4)</f>
        <v>1.0689</v>
      </c>
      <c r="V6" s="3376">
        <f>ROUND(IF(项目基本情况!$B$8="出让",SUMPRODUCT(PRODUCT(1+O6:$O$24)),SUMPRODUCT(PRODUCT(1+O6:$O$23))),4)</f>
        <v>1.0891</v>
      </c>
      <c r="W6" s="3376">
        <f t="shared" si="7"/>
        <v>0.98089999999999999</v>
      </c>
      <c r="X6" s="3360"/>
      <c r="Y6" s="3385">
        <f t="shared" ref="Y6" si="26">IF(D6=0,0,ROUND(AVERAGE(D6:D19)/100,4))</f>
        <v>0</v>
      </c>
      <c r="Z6" s="3385">
        <f t="shared" ref="Z6" si="27">IF(E6=0,0,ROUND(AVERAGE(E6:E19)/100,4))</f>
        <v>0</v>
      </c>
      <c r="AA6" s="3385">
        <f t="shared" ref="AA6" si="28">IF(F6=0,0,ROUND(AVERAGE(F6:F19)/100,4))</f>
        <v>0</v>
      </c>
      <c r="AB6" s="3385">
        <f t="shared" ref="AB6" si="29">IF(G6=0,0,ROUND(AVERAGE(G6:G19)/100,4))</f>
        <v>0</v>
      </c>
      <c r="AC6" s="3385">
        <f t="shared" ref="AC6" si="30">IF(H6=0,0,ROUND(AVERAGE(H6:H19)/100,4))</f>
        <v>0</v>
      </c>
      <c r="AD6" s="3385">
        <f t="shared" ref="AD6" si="31">AA6</f>
        <v>0</v>
      </c>
      <c r="AF6" s="3675">
        <f t="shared" ref="AF6" si="32">$AF$24*R6</f>
        <v>105.77000000000001</v>
      </c>
      <c r="AG6" s="3675">
        <f t="shared" ref="AG6" si="33">$AG$24*S6</f>
        <v>102.75000000000001</v>
      </c>
      <c r="AH6" s="3675">
        <f t="shared" ref="AH6" si="34">$AH$24*T6</f>
        <v>98.09</v>
      </c>
      <c r="AI6" s="3675">
        <f t="shared" ref="AI6" si="35">$AI$24*U6</f>
        <v>106.89</v>
      </c>
      <c r="AJ6" s="3675">
        <f t="shared" ref="AJ6" si="36">$AJ$24*V6</f>
        <v>108.91</v>
      </c>
      <c r="AK6" s="3675">
        <f t="shared" ref="AK6" si="37">$AK$24*W6</f>
        <v>98.09</v>
      </c>
      <c r="AM6" s="3675">
        <f>AM5/(1+D5/100)</f>
        <v>100</v>
      </c>
      <c r="AN6" s="3675">
        <f t="shared" ref="AN6:AR6" si="38">AN5/(1+E5/100)</f>
        <v>100</v>
      </c>
      <c r="AO6" s="3675">
        <f t="shared" si="38"/>
        <v>100</v>
      </c>
      <c r="AP6" s="3675">
        <f t="shared" si="38"/>
        <v>100</v>
      </c>
      <c r="AQ6" s="3675">
        <f t="shared" si="38"/>
        <v>100</v>
      </c>
      <c r="AR6" s="3675">
        <f t="shared" si="38"/>
        <v>100</v>
      </c>
    </row>
    <row r="7" spans="1:44">
      <c r="A7" s="3340" t="s">
        <v>3313</v>
      </c>
      <c r="B7" s="3401">
        <v>2025</v>
      </c>
      <c r="C7" s="3402">
        <v>2</v>
      </c>
      <c r="D7" s="3402">
        <v>0.05</v>
      </c>
      <c r="E7" s="3402">
        <v>-0.62</v>
      </c>
      <c r="F7" s="3402">
        <v>-1.05</v>
      </c>
      <c r="G7" s="3402">
        <v>0.09</v>
      </c>
      <c r="H7" s="3403">
        <v>0.17</v>
      </c>
      <c r="I7" s="3404">
        <f t="shared" ref="I7" si="39">F7</f>
        <v>-1.05</v>
      </c>
      <c r="J7" s="3363"/>
      <c r="K7" s="3364">
        <f t="shared" ref="K7" si="40">D7/100</f>
        <v>5.0000000000000001E-4</v>
      </c>
      <c r="L7" s="3365">
        <f t="shared" ref="L7" si="41">E7/100</f>
        <v>-6.1999999999999998E-3</v>
      </c>
      <c r="M7" s="3365">
        <f t="shared" ref="M7" si="42">F7/100</f>
        <v>-1.0500000000000001E-2</v>
      </c>
      <c r="N7" s="3365">
        <f t="shared" ref="N7" si="43">G7/100</f>
        <v>8.9999999999999998E-4</v>
      </c>
      <c r="O7" s="3365">
        <f t="shared" ref="O7" si="44">H7/100</f>
        <v>1.7000000000000001E-3</v>
      </c>
      <c r="P7" s="3365">
        <f t="shared" si="6"/>
        <v>-1.0500000000000001E-2</v>
      </c>
      <c r="Q7" s="3363"/>
      <c r="R7" s="3363">
        <f>ROUND(IF(项目基本情况!$B$8="出让",SUMPRODUCT(PRODUCT(1+K7:$K$24)),SUMPRODUCT(PRODUCT(1+K7:$K$23))),4)</f>
        <v>1.0577000000000001</v>
      </c>
      <c r="S7" s="3363">
        <f>ROUND(IF(项目基本情况!$B$8="出让",SUMPRODUCT(PRODUCT(1+L7:$L$24)),SUMPRODUCT(PRODUCT(1+L7:$L$23))),4)</f>
        <v>1.0275000000000001</v>
      </c>
      <c r="T7" s="3363">
        <f>ROUND(IF(项目基本情况!$B$8="出让",SUMPRODUCT(PRODUCT(1+M7:$M$24)),SUMPRODUCT(PRODUCT(1+M7:$M$23))),4)</f>
        <v>0.98089999999999999</v>
      </c>
      <c r="U7" s="3363">
        <f>ROUND(IF(项目基本情况!$B$8="出让",SUMPRODUCT(PRODUCT(1+N7:$N$24)),SUMPRODUCT(PRODUCT(1+N7:$N$23))),4)</f>
        <v>1.0689</v>
      </c>
      <c r="V7" s="3363">
        <f>ROUND(IF(项目基本情况!$B$8="出让",SUMPRODUCT(PRODUCT(1+O7:$O$24)),SUMPRODUCT(PRODUCT(1+O7:$O$23))),4)</f>
        <v>1.0891</v>
      </c>
      <c r="W7" s="3363">
        <f t="shared" si="7"/>
        <v>0.98089999999999999</v>
      </c>
      <c r="X7" s="3360"/>
      <c r="Y7" s="3385">
        <f t="shared" ref="Y7" si="45">IF(D7=0,0,ROUND(AVERAGE(D7:D20)/100,4))</f>
        <v>2.3E-3</v>
      </c>
      <c r="Z7" s="3385">
        <f t="shared" ref="Z7" si="46">IF(E7=0,0,ROUND(AVERAGE(E7:E20)/100,4))</f>
        <v>1E-3</v>
      </c>
      <c r="AA7" s="3385">
        <f t="shared" ref="AA7" si="47">IF(F7=0,0,ROUND(AVERAGE(F7:F20)/100,4))</f>
        <v>-1.9E-3</v>
      </c>
      <c r="AB7" s="3385">
        <f t="shared" ref="AB7" si="48">IF(G7=0,0,ROUND(AVERAGE(G7:G20)/100,4))</f>
        <v>2.8999999999999998E-3</v>
      </c>
      <c r="AC7" s="3385">
        <f t="shared" ref="AC7" si="49">IF(H7=0,0,ROUND(AVERAGE(H7:H20)/100,4))</f>
        <v>4.7000000000000002E-3</v>
      </c>
      <c r="AD7" s="3385">
        <f t="shared" ref="AD7" si="50">AA7</f>
        <v>-1.9E-3</v>
      </c>
      <c r="AF7" s="3675">
        <f t="shared" ref="AF7" si="51">$AF$24*R7</f>
        <v>105.77000000000001</v>
      </c>
      <c r="AG7" s="3675">
        <f t="shared" ref="AG7" si="52">$AG$24*S7</f>
        <v>102.75000000000001</v>
      </c>
      <c r="AH7" s="3675">
        <f t="shared" ref="AH7" si="53">$AH$24*T7</f>
        <v>98.09</v>
      </c>
      <c r="AI7" s="3675">
        <f t="shared" ref="AI7" si="54">$AI$24*U7</f>
        <v>106.89</v>
      </c>
      <c r="AJ7" s="3675">
        <f t="shared" ref="AJ7" si="55">$AJ$24*V7</f>
        <v>108.91</v>
      </c>
      <c r="AK7" s="3675">
        <f t="shared" ref="AK7" si="56">$AK$24*W7</f>
        <v>98.09</v>
      </c>
      <c r="AM7" s="3675">
        <f t="shared" ref="AM7:AM24" si="57">AM6/(1+D6/100)</f>
        <v>100</v>
      </c>
      <c r="AN7" s="3675">
        <f t="shared" ref="AN7:AN24" si="58">AN6/(1+E6/100)</f>
        <v>100</v>
      </c>
      <c r="AO7" s="3675">
        <f t="shared" ref="AO7:AO24" si="59">AO6/(1+F6/100)</f>
        <v>100</v>
      </c>
      <c r="AP7" s="3675">
        <f t="shared" ref="AP7:AP24" si="60">AP6/(1+G6/100)</f>
        <v>100</v>
      </c>
      <c r="AQ7" s="3675">
        <f t="shared" ref="AQ7:AQ24" si="61">AQ6/(1+H6/100)</f>
        <v>100</v>
      </c>
      <c r="AR7" s="3675">
        <f t="shared" ref="AR7:AR24" si="62">AR6/(1+I6/100)</f>
        <v>100</v>
      </c>
    </row>
    <row r="8" spans="1:44">
      <c r="A8" s="3658" t="s">
        <v>3259</v>
      </c>
      <c r="B8" s="3398">
        <v>2025</v>
      </c>
      <c r="C8" s="3399">
        <v>1</v>
      </c>
      <c r="D8" s="3399">
        <v>0.56999999999999995</v>
      </c>
      <c r="E8" s="3399">
        <v>-0.56999999999999995</v>
      </c>
      <c r="F8" s="3399">
        <v>-0.9</v>
      </c>
      <c r="G8" s="3399">
        <v>1.1200000000000001</v>
      </c>
      <c r="H8" s="3399">
        <v>0.42</v>
      </c>
      <c r="I8" s="3400">
        <f t="shared" ref="I8" si="63">F8</f>
        <v>-0.9</v>
      </c>
      <c r="J8" s="3360"/>
      <c r="K8" s="3361">
        <f t="shared" ref="K8" si="64">D8/100</f>
        <v>5.6999999999999993E-3</v>
      </c>
      <c r="L8" s="3362">
        <f t="shared" ref="L8" si="65">E8/100</f>
        <v>-5.6999999999999993E-3</v>
      </c>
      <c r="M8" s="3362">
        <f t="shared" ref="M8" si="66">F8/100</f>
        <v>-9.0000000000000011E-3</v>
      </c>
      <c r="N8" s="3362">
        <f t="shared" ref="N8" si="67">G8/100</f>
        <v>1.1200000000000002E-2</v>
      </c>
      <c r="O8" s="3362">
        <f t="shared" ref="O8" si="68">H8/100</f>
        <v>4.1999999999999997E-3</v>
      </c>
      <c r="P8" s="3362">
        <f t="shared" si="6"/>
        <v>-9.0000000000000011E-3</v>
      </c>
      <c r="Q8" s="3360"/>
      <c r="R8" s="3376">
        <f>ROUND(IF(项目基本情况!$B$8="出让",SUMPRODUCT(PRODUCT(1+K8:$K$24)),SUMPRODUCT(PRODUCT(1+K8:$K$23))),4)</f>
        <v>1.0571999999999999</v>
      </c>
      <c r="S8" s="3376">
        <f>ROUND(IF(项目基本情况!$B$8="出让",SUMPRODUCT(PRODUCT(1+L8:$L$24)),SUMPRODUCT(PRODUCT(1+L8:$L$23))),4)</f>
        <v>1.0339</v>
      </c>
      <c r="T8" s="3376">
        <f>ROUND(IF(项目基本情况!$B$8="出让",SUMPRODUCT(PRODUCT(1+M8:$M$24)),SUMPRODUCT(PRODUCT(1+M8:$M$23))),4)</f>
        <v>0.99129999999999996</v>
      </c>
      <c r="U8" s="3376">
        <f>ROUND(IF(项目基本情况!$B$8="出让",SUMPRODUCT(PRODUCT(1+N8:$N$24)),SUMPRODUCT(PRODUCT(1+N8:$N$23))),4)</f>
        <v>1.0679000000000001</v>
      </c>
      <c r="V8" s="3376">
        <f>ROUND(IF(项目基本情况!$B$8="出让",SUMPRODUCT(PRODUCT(1+O8:$O$24)),SUMPRODUCT(PRODUCT(1+O8:$O$23))),4)</f>
        <v>1.0871999999999999</v>
      </c>
      <c r="W8" s="3376">
        <f t="shared" si="7"/>
        <v>0.99129999999999996</v>
      </c>
      <c r="X8" s="3360"/>
      <c r="Y8" s="3385">
        <f t="shared" ref="Y8" si="69">IF(D8=0,0,ROUND(AVERAGE(D8:D21)/100,4))</f>
        <v>3.0000000000000001E-3</v>
      </c>
      <c r="Z8" s="3385">
        <f t="shared" ref="Z8" si="70">IF(E8=0,0,ROUND(AVERAGE(E8:E21)/100,4))</f>
        <v>1.6000000000000001E-3</v>
      </c>
      <c r="AA8" s="3385">
        <f t="shared" ref="AA8" si="71">IF(F8=0,0,ROUND(AVERAGE(F8:F21)/100,4))</f>
        <v>-1.1000000000000001E-3</v>
      </c>
      <c r="AB8" s="3385">
        <f t="shared" ref="AB8" si="72">IF(G8=0,0,ROUND(AVERAGE(G8:G21)/100,4))</f>
        <v>3.7000000000000002E-3</v>
      </c>
      <c r="AC8" s="3385">
        <f t="shared" ref="AC8" si="73">IF(H8=0,0,ROUND(AVERAGE(H8:H21)/100,4))</f>
        <v>4.8999999999999998E-3</v>
      </c>
      <c r="AD8" s="3385">
        <f t="shared" ref="AD8" si="74">AA8</f>
        <v>-1.1000000000000001E-3</v>
      </c>
      <c r="AF8" s="3675">
        <f t="shared" ref="AF8:AF22" si="75">$AF$24*R8</f>
        <v>105.72</v>
      </c>
      <c r="AG8" s="3675">
        <f t="shared" ref="AG8:AG22" si="76">$AG$24*S8</f>
        <v>103.39</v>
      </c>
      <c r="AH8" s="3675">
        <f t="shared" ref="AH8:AH22" si="77">$AH$24*T8</f>
        <v>99.13</v>
      </c>
      <c r="AI8" s="3675">
        <f t="shared" ref="AI8:AI22" si="78">$AI$24*U8</f>
        <v>106.79</v>
      </c>
      <c r="AJ8" s="3675">
        <f t="shared" ref="AJ8:AJ22" si="79">$AJ$24*V8</f>
        <v>108.72</v>
      </c>
      <c r="AK8" s="3675">
        <f t="shared" ref="AK8:AK22" si="80">$AK$24*W8</f>
        <v>99.13</v>
      </c>
      <c r="AM8" s="3675">
        <f t="shared" si="57"/>
        <v>99.950024987506254</v>
      </c>
      <c r="AN8" s="3675">
        <f t="shared" si="58"/>
        <v>100.6238679814852</v>
      </c>
      <c r="AO8" s="3675">
        <f t="shared" si="59"/>
        <v>101.06114199090449</v>
      </c>
      <c r="AP8" s="3675">
        <f t="shared" si="60"/>
        <v>99.910080927165566</v>
      </c>
      <c r="AQ8" s="3675">
        <f t="shared" si="61"/>
        <v>99.830288509533787</v>
      </c>
      <c r="AR8" s="3675">
        <f t="shared" si="62"/>
        <v>101.06114199090449</v>
      </c>
    </row>
    <row r="9" spans="1:44">
      <c r="A9" s="3658" t="s">
        <v>3314</v>
      </c>
      <c r="B9" s="3398">
        <v>2024</v>
      </c>
      <c r="C9" s="3399">
        <v>4</v>
      </c>
      <c r="D9" s="3399">
        <v>-1.02</v>
      </c>
      <c r="E9" s="3399">
        <v>-0.48</v>
      </c>
      <c r="F9" s="3399">
        <v>-0.75</v>
      </c>
      <c r="G9" s="3399">
        <v>-1.05</v>
      </c>
      <c r="H9" s="3399">
        <v>0.08</v>
      </c>
      <c r="I9" s="3400">
        <f t="shared" ref="I9" si="81">F9</f>
        <v>-0.75</v>
      </c>
      <c r="J9" s="3360"/>
      <c r="K9" s="3361">
        <f t="shared" ref="K9" si="82">D9/100</f>
        <v>-1.0200000000000001E-2</v>
      </c>
      <c r="L9" s="3362">
        <f t="shared" ref="L9" si="83">E9/100</f>
        <v>-4.7999999999999996E-3</v>
      </c>
      <c r="M9" s="3362">
        <f t="shared" ref="M9" si="84">F9/100</f>
        <v>-7.4999999999999997E-3</v>
      </c>
      <c r="N9" s="3362">
        <f t="shared" ref="N9" si="85">G9/100</f>
        <v>-1.0500000000000001E-2</v>
      </c>
      <c r="O9" s="3362">
        <f t="shared" ref="O9" si="86">H9/100</f>
        <v>8.0000000000000004E-4</v>
      </c>
      <c r="P9" s="3362">
        <f t="shared" si="6"/>
        <v>-7.4999999999999997E-3</v>
      </c>
      <c r="Q9" s="3360"/>
      <c r="R9" s="3376">
        <f>ROUND(IF(项目基本情况!$B$8="出让",SUMPRODUCT(PRODUCT(1+K9:$K$24)),SUMPRODUCT(PRODUCT(1+K9:$K$23))),4)</f>
        <v>1.0511999999999999</v>
      </c>
      <c r="S9" s="3376">
        <f>ROUND(IF(项目基本情况!$B$8="出让",SUMPRODUCT(PRODUCT(1+L9:$L$24)),SUMPRODUCT(PRODUCT(1+L9:$L$23))),4)</f>
        <v>1.0398000000000001</v>
      </c>
      <c r="T9" s="3376">
        <f>ROUND(IF(项目基本情况!$B$8="出让",SUMPRODUCT(PRODUCT(1+M9:$M$24)),SUMPRODUCT(PRODUCT(1+M9:$M$23))),4)</f>
        <v>1.0003</v>
      </c>
      <c r="U9" s="3376">
        <f>ROUND(IF(项目基本情况!$B$8="出让",SUMPRODUCT(PRODUCT(1+N9:$N$24)),SUMPRODUCT(PRODUCT(1+N9:$N$23))),4)</f>
        <v>1.0561</v>
      </c>
      <c r="V9" s="3376">
        <f>ROUND(IF(项目基本情况!$B$8="出让",SUMPRODUCT(PRODUCT(1+O9:$O$24)),SUMPRODUCT(PRODUCT(1+O9:$O$23))),4)</f>
        <v>1.0827</v>
      </c>
      <c r="W9" s="3376">
        <f t="shared" si="7"/>
        <v>1.0003</v>
      </c>
      <c r="X9" s="3363"/>
      <c r="Y9" s="3365">
        <f t="shared" ref="Y9" si="87">IF(D9=0,0,ROUND(AVERAGE(D9:D22)/100,4))</f>
        <v>2.8999999999999998E-3</v>
      </c>
      <c r="Z9" s="3365">
        <f t="shared" ref="Z9" si="88">IF(E9=0,0,ROUND(AVERAGE(E9:E22)/100,4))</f>
        <v>2.3E-3</v>
      </c>
      <c r="AA9" s="3365">
        <f t="shared" ref="AA9" si="89">IF(F9=0,0,ROUND(AVERAGE(F9:F22)/100,4))</f>
        <v>-2.9999999999999997E-4</v>
      </c>
      <c r="AB9" s="3365">
        <f t="shared" ref="AB9" si="90">IF(G9=0,0,ROUND(AVERAGE(G9:G22)/100,4))</f>
        <v>3.3E-3</v>
      </c>
      <c r="AC9" s="3365">
        <f t="shared" ref="AC9" si="91">IF(H9=0,0,ROUND(AVERAGE(H9:H22)/100,4))</f>
        <v>5.0000000000000001E-3</v>
      </c>
      <c r="AD9" s="3365">
        <f t="shared" ref="AD9" si="92">AA9</f>
        <v>-2.9999999999999997E-4</v>
      </c>
      <c r="AF9" s="3675">
        <f t="shared" si="75"/>
        <v>105.11999999999999</v>
      </c>
      <c r="AG9" s="3675">
        <f t="shared" si="76"/>
        <v>103.98</v>
      </c>
      <c r="AH9" s="3675">
        <f t="shared" si="77"/>
        <v>100.03</v>
      </c>
      <c r="AI9" s="3675">
        <f t="shared" si="78"/>
        <v>105.61</v>
      </c>
      <c r="AJ9" s="3675">
        <f t="shared" si="79"/>
        <v>108.27</v>
      </c>
      <c r="AK9" s="3675">
        <f t="shared" si="80"/>
        <v>100.03</v>
      </c>
      <c r="AM9" s="3675">
        <f t="shared" si="57"/>
        <v>99.383538816253605</v>
      </c>
      <c r="AN9" s="3675">
        <f t="shared" si="58"/>
        <v>101.20071204011386</v>
      </c>
      <c r="AO9" s="3675">
        <f t="shared" si="59"/>
        <v>101.97895256398031</v>
      </c>
      <c r="AP9" s="3675">
        <f t="shared" si="60"/>
        <v>98.80348192955455</v>
      </c>
      <c r="AQ9" s="3675">
        <f t="shared" si="61"/>
        <v>99.412754938790869</v>
      </c>
      <c r="AR9" s="3675">
        <f t="shared" si="62"/>
        <v>101.97895256398031</v>
      </c>
    </row>
    <row r="10" spans="1:44">
      <c r="A10" s="3658" t="s">
        <v>3255</v>
      </c>
      <c r="B10" s="3398">
        <v>2024</v>
      </c>
      <c r="C10" s="3399">
        <v>3</v>
      </c>
      <c r="D10" s="3399">
        <v>-1.19</v>
      </c>
      <c r="E10" s="3399">
        <v>-0.47</v>
      </c>
      <c r="F10" s="3399">
        <v>-0.28999999999999998</v>
      </c>
      <c r="G10" s="3399">
        <v>-0.74</v>
      </c>
      <c r="H10" s="3399">
        <v>-0.21</v>
      </c>
      <c r="I10" s="3400">
        <f t="shared" ref="I10" si="93">F10</f>
        <v>-0.28999999999999998</v>
      </c>
      <c r="J10" s="3360"/>
      <c r="K10" s="3361">
        <f t="shared" ref="K10" si="94">D10/100</f>
        <v>-1.1899999999999999E-2</v>
      </c>
      <c r="L10" s="3362">
        <f t="shared" ref="L10" si="95">E10/100</f>
        <v>-4.6999999999999993E-3</v>
      </c>
      <c r="M10" s="3362">
        <f t="shared" ref="M10" si="96">F10/100</f>
        <v>-2.8999999999999998E-3</v>
      </c>
      <c r="N10" s="3362">
        <f t="shared" ref="N10" si="97">G10/100</f>
        <v>-7.4000000000000003E-3</v>
      </c>
      <c r="O10" s="3362">
        <f t="shared" ref="O10" si="98">H10/100</f>
        <v>-2.0999999999999999E-3</v>
      </c>
      <c r="P10" s="3362">
        <f t="shared" si="6"/>
        <v>-2.8999999999999998E-3</v>
      </c>
      <c r="Q10" s="3360"/>
      <c r="R10" s="3376">
        <f>ROUND(IF(项目基本情况!$B$8="出让",SUMPRODUCT(PRODUCT(1+K10:$K$24)),SUMPRODUCT(PRODUCT(1+K10:$K$23))),4)</f>
        <v>1.0620000000000001</v>
      </c>
      <c r="S10" s="3376">
        <f>ROUND(IF(项目基本情况!$B$8="出让",SUMPRODUCT(PRODUCT(1+L10:$L$24)),SUMPRODUCT(PRODUCT(1+L10:$L$23))),4)</f>
        <v>1.0448</v>
      </c>
      <c r="T10" s="3376">
        <f>ROUND(IF(项目基本情况!$B$8="出让",SUMPRODUCT(PRODUCT(1+M10:$M$24)),SUMPRODUCT(PRODUCT(1+M10:$M$23))),4)</f>
        <v>1.0079</v>
      </c>
      <c r="U10" s="3376">
        <f>ROUND(IF(项目基本情况!$B$8="出让",SUMPRODUCT(PRODUCT(1+N10:$N$24)),SUMPRODUCT(PRODUCT(1+N10:$N$23))),4)</f>
        <v>1.0672999999999999</v>
      </c>
      <c r="V10" s="3376">
        <f>ROUND(IF(项目基本情况!$B$8="出让",SUMPRODUCT(PRODUCT(1+O10:$O$24)),SUMPRODUCT(PRODUCT(1+O10:$O$23))),4)</f>
        <v>1.0818000000000001</v>
      </c>
      <c r="W10" s="3376">
        <f t="shared" si="7"/>
        <v>1.0079</v>
      </c>
      <c r="X10" s="3360"/>
      <c r="Y10" s="3385">
        <f t="shared" ref="Y10:AC11" si="99">IF(D10=0,0,ROUND(AVERAGE(D10:D23)/100,4))</f>
        <v>4.3E-3</v>
      </c>
      <c r="Z10" s="3385">
        <f t="shared" si="99"/>
        <v>3.0999999999999999E-3</v>
      </c>
      <c r="AA10" s="3385">
        <f t="shared" si="99"/>
        <v>5.9999999999999995E-4</v>
      </c>
      <c r="AB10" s="3385">
        <f t="shared" si="99"/>
        <v>4.7000000000000002E-3</v>
      </c>
      <c r="AC10" s="3385">
        <f t="shared" si="99"/>
        <v>5.5999999999999999E-3</v>
      </c>
      <c r="AD10" s="3385">
        <f t="shared" ref="AD10" si="100">AA10</f>
        <v>5.9999999999999995E-4</v>
      </c>
      <c r="AF10" s="3675">
        <f t="shared" si="75"/>
        <v>106.2</v>
      </c>
      <c r="AG10" s="3675">
        <f t="shared" si="76"/>
        <v>104.47999999999999</v>
      </c>
      <c r="AH10" s="3675">
        <f t="shared" si="77"/>
        <v>100.79</v>
      </c>
      <c r="AI10" s="3675">
        <f t="shared" si="78"/>
        <v>106.72999999999999</v>
      </c>
      <c r="AJ10" s="3675">
        <f t="shared" si="79"/>
        <v>108.18</v>
      </c>
      <c r="AK10" s="3675">
        <f t="shared" si="80"/>
        <v>100.79</v>
      </c>
      <c r="AM10" s="3675">
        <f t="shared" si="57"/>
        <v>100.40769732900949</v>
      </c>
      <c r="AN10" s="3675">
        <f t="shared" si="58"/>
        <v>101.68881836828162</v>
      </c>
      <c r="AO10" s="3675">
        <f t="shared" si="59"/>
        <v>102.74957437176857</v>
      </c>
      <c r="AP10" s="3675">
        <f t="shared" si="60"/>
        <v>99.851927164784783</v>
      </c>
      <c r="AQ10" s="3675">
        <f t="shared" si="61"/>
        <v>99.333288308144361</v>
      </c>
      <c r="AR10" s="3675">
        <f t="shared" si="62"/>
        <v>102.74957437176857</v>
      </c>
    </row>
    <row r="11" spans="1:44">
      <c r="A11" s="3339" t="s">
        <v>3260</v>
      </c>
      <c r="B11" s="3398">
        <v>2024</v>
      </c>
      <c r="C11" s="3399">
        <v>2</v>
      </c>
      <c r="D11" s="3399">
        <v>-0.59</v>
      </c>
      <c r="E11" s="3399">
        <v>-0.21</v>
      </c>
      <c r="F11" s="3399">
        <v>-1.38</v>
      </c>
      <c r="G11" s="3399">
        <v>-1.24</v>
      </c>
      <c r="H11" s="3405">
        <v>0.34</v>
      </c>
      <c r="I11" s="3400">
        <f t="shared" ref="I11:I24" si="101">F11</f>
        <v>-1.38</v>
      </c>
      <c r="J11" s="3360"/>
      <c r="K11" s="3361">
        <f t="shared" ref="K11:O24" si="102">D11/100</f>
        <v>-5.8999999999999999E-3</v>
      </c>
      <c r="L11" s="3362">
        <f t="shared" si="102"/>
        <v>-2.0999999999999999E-3</v>
      </c>
      <c r="M11" s="3362">
        <f t="shared" si="102"/>
        <v>-1.38E-2</v>
      </c>
      <c r="N11" s="3362">
        <f t="shared" si="102"/>
        <v>-1.24E-2</v>
      </c>
      <c r="O11" s="3362">
        <f t="shared" si="102"/>
        <v>3.4000000000000002E-3</v>
      </c>
      <c r="P11" s="3362">
        <f t="shared" si="6"/>
        <v>-1.38E-2</v>
      </c>
      <c r="Q11" s="3360"/>
      <c r="R11" s="3376">
        <f>ROUND(IF(项目基本情况!$B$8="出让",SUMPRODUCT(PRODUCT(1+K11:$K$24)),SUMPRODUCT(PRODUCT(1+K11:$K$23))),4)</f>
        <v>1.0748</v>
      </c>
      <c r="S11" s="3376">
        <f>ROUND(IF(项目基本情况!$B$8="出让",SUMPRODUCT(PRODUCT(1+L11:$L$24)),SUMPRODUCT(PRODUCT(1+L11:$L$23))),4)</f>
        <v>1.0498000000000001</v>
      </c>
      <c r="T11" s="3376">
        <f>ROUND(IF(项目基本情况!$B$8="出让",SUMPRODUCT(PRODUCT(1+M11:$M$24)),SUMPRODUCT(PRODUCT(1+M11:$M$23))),4)</f>
        <v>1.0107999999999999</v>
      </c>
      <c r="U11" s="3376">
        <f>ROUND(IF(项目基本情况!$B$8="出让",SUMPRODUCT(PRODUCT(1+N11:$N$24)),SUMPRODUCT(PRODUCT(1+N11:$N$23))),4)</f>
        <v>1.0752999999999999</v>
      </c>
      <c r="V11" s="3376">
        <f>ROUND(IF(项目基本情况!$B$8="出让",SUMPRODUCT(PRODUCT(1+O11:$O$24)),SUMPRODUCT(PRODUCT(1+O11:$O$23))),4)</f>
        <v>1.0841000000000001</v>
      </c>
      <c r="W11" s="3376">
        <f t="shared" si="7"/>
        <v>1.0107999999999999</v>
      </c>
      <c r="X11" s="3360"/>
      <c r="Y11" s="3385">
        <f t="shared" si="99"/>
        <v>5.8999999999999999E-3</v>
      </c>
      <c r="Z11" s="3385">
        <f t="shared" si="99"/>
        <v>3.5999999999999999E-3</v>
      </c>
      <c r="AA11" s="3385">
        <f t="shared" si="99"/>
        <v>5.9999999999999995E-4</v>
      </c>
      <c r="AB11" s="3385">
        <f t="shared" si="99"/>
        <v>6.0000000000000001E-3</v>
      </c>
      <c r="AC11" s="3385">
        <f t="shared" si="99"/>
        <v>6.0000000000000001E-3</v>
      </c>
      <c r="AD11" s="3385">
        <f t="shared" ref="AD11:AD23" si="103">AA11</f>
        <v>5.9999999999999995E-4</v>
      </c>
      <c r="AF11" s="3675">
        <f t="shared" si="75"/>
        <v>107.48</v>
      </c>
      <c r="AG11" s="3675">
        <f t="shared" si="76"/>
        <v>104.98</v>
      </c>
      <c r="AH11" s="3675">
        <f t="shared" si="77"/>
        <v>101.08</v>
      </c>
      <c r="AI11" s="3675">
        <f t="shared" si="78"/>
        <v>107.52999999999999</v>
      </c>
      <c r="AJ11" s="3675">
        <f t="shared" si="79"/>
        <v>108.41000000000001</v>
      </c>
      <c r="AK11" s="3675">
        <f t="shared" si="80"/>
        <v>101.08</v>
      </c>
      <c r="AM11" s="3675">
        <f t="shared" si="57"/>
        <v>101.61693890194262</v>
      </c>
      <c r="AN11" s="3675">
        <f t="shared" si="58"/>
        <v>102.16901272810371</v>
      </c>
      <c r="AO11" s="3675">
        <f t="shared" si="59"/>
        <v>103.04841477461495</v>
      </c>
      <c r="AP11" s="3675">
        <f t="shared" si="60"/>
        <v>100.59634008138704</v>
      </c>
      <c r="AQ11" s="3675">
        <f t="shared" si="61"/>
        <v>99.542327195254401</v>
      </c>
      <c r="AR11" s="3675">
        <f t="shared" si="62"/>
        <v>103.04841477461495</v>
      </c>
    </row>
    <row r="12" spans="1:44">
      <c r="A12" s="3339" t="s">
        <v>3257</v>
      </c>
      <c r="B12" s="3398">
        <v>2024</v>
      </c>
      <c r="C12" s="3399">
        <v>1</v>
      </c>
      <c r="D12" s="3399">
        <v>0.08</v>
      </c>
      <c r="E12" s="3399">
        <v>0.46</v>
      </c>
      <c r="F12" s="3399">
        <v>-0.16</v>
      </c>
      <c r="G12" s="3399">
        <v>0.26</v>
      </c>
      <c r="H12" s="3405">
        <v>0.59</v>
      </c>
      <c r="I12" s="3400">
        <f t="shared" si="101"/>
        <v>-0.16</v>
      </c>
      <c r="J12" s="3360"/>
      <c r="K12" s="3361">
        <f t="shared" ref="K12" si="104">D12/100</f>
        <v>8.0000000000000004E-4</v>
      </c>
      <c r="L12" s="3362">
        <f t="shared" ref="L12" si="105">E12/100</f>
        <v>4.5999999999999999E-3</v>
      </c>
      <c r="M12" s="3362">
        <f t="shared" ref="M12" si="106">F12/100</f>
        <v>-1.6000000000000001E-3</v>
      </c>
      <c r="N12" s="3362">
        <f t="shared" ref="N12" si="107">G12/100</f>
        <v>2.5999999999999999E-3</v>
      </c>
      <c r="O12" s="3362">
        <f t="shared" ref="O12" si="108">H12/100</f>
        <v>5.8999999999999999E-3</v>
      </c>
      <c r="P12" s="3362">
        <f t="shared" ref="P12" si="109">M12</f>
        <v>-1.6000000000000001E-3</v>
      </c>
      <c r="Q12" s="3360"/>
      <c r="R12" s="3376">
        <f>ROUND(IF(项目基本情况!$B$8="出让",SUMPRODUCT(PRODUCT(1+K12:$K$24)),SUMPRODUCT(PRODUCT(1+K12:$K$23))),4)</f>
        <v>1.0811999999999999</v>
      </c>
      <c r="S12" s="3376">
        <f>ROUND(IF(项目基本情况!$B$8="出让",SUMPRODUCT(PRODUCT(1+L12:$L$24)),SUMPRODUCT(PRODUCT(1+L12:$L$23))),4)</f>
        <v>1.052</v>
      </c>
      <c r="T12" s="3376">
        <f>ROUND(IF(项目基本情况!$B$8="出让",SUMPRODUCT(PRODUCT(1+M12:$M$24)),SUMPRODUCT(PRODUCT(1+M12:$M$23))),4)</f>
        <v>1.0249999999999999</v>
      </c>
      <c r="U12" s="3376">
        <f>ROUND(IF(项目基本情况!$B$8="出让",SUMPRODUCT(PRODUCT(1+N12:$N$24)),SUMPRODUCT(PRODUCT(1+N12:$N$23))),4)</f>
        <v>1.0888</v>
      </c>
      <c r="V12" s="3376">
        <f>ROUND(IF(项目基本情况!$B$8="出让",SUMPRODUCT(PRODUCT(1+O12:$O$24)),SUMPRODUCT(PRODUCT(1+O12:$O$23))),4)</f>
        <v>1.0804</v>
      </c>
      <c r="W12" s="3376">
        <f t="shared" ref="W12" si="110">T12</f>
        <v>1.0249999999999999</v>
      </c>
      <c r="X12" s="3360"/>
      <c r="Y12" s="3385">
        <f t="shared" ref="Y12" si="111">IF(D12=0,0,ROUND(AVERAGE(D12:D23)/100,4))</f>
        <v>6.4999999999999997E-3</v>
      </c>
      <c r="Z12" s="3385">
        <f t="shared" ref="Z12" si="112">IF(E12=0,0,ROUND(AVERAGE(E12:E23)/100,4))</f>
        <v>4.1999999999999997E-3</v>
      </c>
      <c r="AA12" s="3385">
        <f t="shared" ref="AA12" si="113">IF(F12=0,0,ROUND(AVERAGE(F12:F23)/100,4))</f>
        <v>2.0999999999999999E-3</v>
      </c>
      <c r="AB12" s="3385">
        <f t="shared" ref="AB12" si="114">IF(G12=0,0,ROUND(AVERAGE(G12:G23)/100,4))</f>
        <v>7.1000000000000004E-3</v>
      </c>
      <c r="AC12" s="3385">
        <f t="shared" ref="AC12" si="115">IF(H12=0,0,ROUND(AVERAGE(H12:H23)/100,4))</f>
        <v>6.4999999999999997E-3</v>
      </c>
      <c r="AD12" s="3385">
        <f t="shared" ref="AD12" si="116">AA12</f>
        <v>2.0999999999999999E-3</v>
      </c>
      <c r="AF12" s="3675">
        <f t="shared" si="75"/>
        <v>108.11999999999999</v>
      </c>
      <c r="AG12" s="3675">
        <f t="shared" si="76"/>
        <v>105.2</v>
      </c>
      <c r="AH12" s="3675">
        <f t="shared" si="77"/>
        <v>102.49999999999999</v>
      </c>
      <c r="AI12" s="3675">
        <f t="shared" si="78"/>
        <v>108.88</v>
      </c>
      <c r="AJ12" s="3675">
        <f t="shared" si="79"/>
        <v>108.04</v>
      </c>
      <c r="AK12" s="3675">
        <f t="shared" si="80"/>
        <v>102.49999999999999</v>
      </c>
      <c r="AM12" s="3675">
        <f t="shared" si="57"/>
        <v>102.22003712095626</v>
      </c>
      <c r="AN12" s="3675">
        <f t="shared" si="58"/>
        <v>102.38401916835726</v>
      </c>
      <c r="AO12" s="3675">
        <f t="shared" si="59"/>
        <v>104.49038204686165</v>
      </c>
      <c r="AP12" s="3675">
        <f t="shared" si="60"/>
        <v>101.85939659921733</v>
      </c>
      <c r="AQ12" s="3675">
        <f t="shared" si="61"/>
        <v>99.205030092938401</v>
      </c>
      <c r="AR12" s="3675">
        <f t="shared" si="62"/>
        <v>104.49038204686165</v>
      </c>
    </row>
    <row r="13" spans="1:44">
      <c r="A13" s="3339" t="s">
        <v>3253</v>
      </c>
      <c r="B13" s="3398">
        <v>2023</v>
      </c>
      <c r="C13" s="3399">
        <v>4</v>
      </c>
      <c r="D13" s="3399">
        <v>0.19</v>
      </c>
      <c r="E13" s="3399">
        <v>0.24</v>
      </c>
      <c r="F13" s="3399">
        <v>-0.16</v>
      </c>
      <c r="G13" s="3399">
        <v>0.17</v>
      </c>
      <c r="H13" s="3405">
        <v>0.61</v>
      </c>
      <c r="I13" s="3400">
        <f t="shared" ref="I13" si="117">F13</f>
        <v>-0.16</v>
      </c>
      <c r="J13" s="3360"/>
      <c r="K13" s="3361">
        <f t="shared" si="102"/>
        <v>1.9E-3</v>
      </c>
      <c r="L13" s="3362">
        <f t="shared" si="102"/>
        <v>2.3999999999999998E-3</v>
      </c>
      <c r="M13" s="3362">
        <f t="shared" si="102"/>
        <v>-1.6000000000000001E-3</v>
      </c>
      <c r="N13" s="3362">
        <f t="shared" si="102"/>
        <v>1.7000000000000001E-3</v>
      </c>
      <c r="O13" s="3362">
        <f t="shared" si="102"/>
        <v>6.0999999999999995E-3</v>
      </c>
      <c r="P13" s="3362">
        <f t="shared" ref="P13" si="118">M13</f>
        <v>-1.6000000000000001E-3</v>
      </c>
      <c r="Q13" s="3360"/>
      <c r="R13" s="3376">
        <f>ROUND(IF(项目基本情况!$B$8="出让",SUMPRODUCT(PRODUCT(1+K13:$K$24)),SUMPRODUCT(PRODUCT(1+K13:$K$23))),4)</f>
        <v>1.0804</v>
      </c>
      <c r="S13" s="3376">
        <f>ROUND(IF(项目基本情况!$B$8="出让",SUMPRODUCT(PRODUCT(1+L13:$L$24)),SUMPRODUCT(PRODUCT(1+L13:$L$23))),4)</f>
        <v>1.0471999999999999</v>
      </c>
      <c r="T13" s="3376">
        <f>ROUND(IF(项目基本情况!$B$8="出让",SUMPRODUCT(PRODUCT(1+M13:$M$24)),SUMPRODUCT(PRODUCT(1+M13:$M$23))),4)</f>
        <v>1.0266</v>
      </c>
      <c r="U13" s="3376">
        <f>ROUND(IF(项目基本情况!$B$8="出让",SUMPRODUCT(PRODUCT(1+N13:$N$24)),SUMPRODUCT(PRODUCT(1+N13:$N$23))),4)</f>
        <v>1.0859000000000001</v>
      </c>
      <c r="V13" s="3376">
        <f>ROUND(IF(项目基本情况!$B$8="出让",SUMPRODUCT(PRODUCT(1+O13:$O$24)),SUMPRODUCT(PRODUCT(1+O13:$O$23))),4)</f>
        <v>1.0741000000000001</v>
      </c>
      <c r="W13" s="3376">
        <f t="shared" ref="W13" si="119">T13</f>
        <v>1.0266</v>
      </c>
      <c r="X13" s="3360"/>
      <c r="Y13" s="3385">
        <f t="shared" ref="Y13" si="120">IF(D13=0,0,ROUND(AVERAGE(D13:D24)/100,4))</f>
        <v>7.3000000000000001E-3</v>
      </c>
      <c r="Z13" s="3385">
        <f t="shared" ref="Z13" si="121">IF(E13=0,0,ROUND(AVERAGE(E13:E24)/100,4))</f>
        <v>4.0000000000000001E-3</v>
      </c>
      <c r="AA13" s="3385">
        <f t="shared" ref="AA13" si="122">IF(F13=0,0,ROUND(AVERAGE(F13:F24)/100,4))</f>
        <v>2E-3</v>
      </c>
      <c r="AB13" s="3385">
        <f t="shared" ref="AB13" si="123">IF(G13=0,0,ROUND(AVERAGE(G13:G24)/100,4))</f>
        <v>7.7999999999999996E-3</v>
      </c>
      <c r="AC13" s="3385">
        <f t="shared" ref="AC13" si="124">IF(H13=0,0,ROUND(AVERAGE(H13:H24)/100,4))</f>
        <v>6.3E-3</v>
      </c>
      <c r="AD13" s="3385">
        <f t="shared" si="103"/>
        <v>2E-3</v>
      </c>
      <c r="AF13" s="3675">
        <f t="shared" si="75"/>
        <v>108.04</v>
      </c>
      <c r="AG13" s="3675">
        <f t="shared" si="76"/>
        <v>104.71999999999998</v>
      </c>
      <c r="AH13" s="3675">
        <f t="shared" si="77"/>
        <v>102.66</v>
      </c>
      <c r="AI13" s="3675">
        <f t="shared" si="78"/>
        <v>108.59</v>
      </c>
      <c r="AJ13" s="3675">
        <f t="shared" si="79"/>
        <v>107.41000000000001</v>
      </c>
      <c r="AK13" s="3675">
        <f t="shared" si="80"/>
        <v>102.66</v>
      </c>
      <c r="AM13" s="3675">
        <f t="shared" si="57"/>
        <v>102.13832645978844</v>
      </c>
      <c r="AN13" s="3675">
        <f t="shared" si="58"/>
        <v>101.91520920600962</v>
      </c>
      <c r="AO13" s="3675">
        <f t="shared" si="59"/>
        <v>104.65783458219317</v>
      </c>
      <c r="AP13" s="3675">
        <f t="shared" si="60"/>
        <v>101.5952489519423</v>
      </c>
      <c r="AQ13" s="3675">
        <f t="shared" si="61"/>
        <v>98.623153487362956</v>
      </c>
      <c r="AR13" s="3675">
        <f t="shared" si="62"/>
        <v>104.65783458219317</v>
      </c>
    </row>
    <row r="14" spans="1:44">
      <c r="A14" s="3339" t="s">
        <v>3252</v>
      </c>
      <c r="B14" s="3398">
        <v>2023</v>
      </c>
      <c r="C14" s="3399">
        <v>3</v>
      </c>
      <c r="D14" s="3399">
        <v>0.25</v>
      </c>
      <c r="E14" s="3399">
        <v>0.5</v>
      </c>
      <c r="F14" s="3399">
        <v>0.31</v>
      </c>
      <c r="G14" s="3399">
        <v>0.21</v>
      </c>
      <c r="H14" s="3405">
        <v>0.43</v>
      </c>
      <c r="I14" s="3400">
        <f t="shared" si="101"/>
        <v>0.31</v>
      </c>
      <c r="J14" s="3360"/>
      <c r="K14" s="3361">
        <f t="shared" ref="K14:K16" si="125">D14/100</f>
        <v>2.5000000000000001E-3</v>
      </c>
      <c r="L14" s="3362">
        <f t="shared" ref="L14:L16" si="126">E14/100</f>
        <v>5.0000000000000001E-3</v>
      </c>
      <c r="M14" s="3362">
        <f t="shared" ref="M14:M16" si="127">F14/100</f>
        <v>3.0999999999999999E-3</v>
      </c>
      <c r="N14" s="3362">
        <f t="shared" ref="N14:N16" si="128">G14/100</f>
        <v>2.0999999999999999E-3</v>
      </c>
      <c r="O14" s="3362">
        <f t="shared" ref="O14:O16" si="129">H14/100</f>
        <v>4.3E-3</v>
      </c>
      <c r="P14" s="3362">
        <f t="shared" ref="P14:P16" si="130">M14</f>
        <v>3.0999999999999999E-3</v>
      </c>
      <c r="Q14" s="3360"/>
      <c r="R14" s="3376">
        <f>ROUND(IF(项目基本情况!$B$8="出让",SUMPRODUCT(PRODUCT(1+K14:$K$24)),SUMPRODUCT(PRODUCT(1+K14:$K$23))),4)</f>
        <v>1.0783</v>
      </c>
      <c r="S14" s="3376">
        <f>ROUND(IF(项目基本情况!$B$8="出让",SUMPRODUCT(PRODUCT(1+L14:$L$24)),SUMPRODUCT(PRODUCT(1+L14:$L$23))),4)</f>
        <v>1.0447</v>
      </c>
      <c r="T14" s="3376">
        <f>ROUND(IF(项目基本情况!$B$8="出让",SUMPRODUCT(PRODUCT(1+M14:$M$24)),SUMPRODUCT(PRODUCT(1+M14:$M$23))),4)</f>
        <v>1.0282</v>
      </c>
      <c r="U14" s="3376">
        <f>ROUND(IF(项目基本情况!$B$8="出让",SUMPRODUCT(PRODUCT(1+N14:$N$24)),SUMPRODUCT(PRODUCT(1+N14:$N$23))),4)</f>
        <v>1.0841000000000001</v>
      </c>
      <c r="V14" s="3376">
        <f>ROUND(IF(项目基本情况!$B$8="出让",SUMPRODUCT(PRODUCT(1+O14:$O$24)),SUMPRODUCT(PRODUCT(1+O14:$O$23))),4)</f>
        <v>1.0674999999999999</v>
      </c>
      <c r="W14" s="3376">
        <f t="shared" ref="W14:W16" si="131">T14</f>
        <v>1.0282</v>
      </c>
      <c r="X14" s="3360"/>
      <c r="Y14" s="3385">
        <f t="shared" ref="Y14:AC14" si="132">IF(D14=0,0,ROUND(AVERAGE(D14:D25)/100,4))</f>
        <v>7.7999999999999996E-3</v>
      </c>
      <c r="Z14" s="3385">
        <f t="shared" si="132"/>
        <v>4.1000000000000003E-3</v>
      </c>
      <c r="AA14" s="3385">
        <f t="shared" si="132"/>
        <v>2.3E-3</v>
      </c>
      <c r="AB14" s="3385">
        <f t="shared" si="132"/>
        <v>8.3999999999999995E-3</v>
      </c>
      <c r="AC14" s="3385">
        <f t="shared" si="132"/>
        <v>6.3E-3</v>
      </c>
      <c r="AD14" s="3385">
        <f t="shared" ref="AD14:AD16" si="133">AA14</f>
        <v>2.3E-3</v>
      </c>
      <c r="AF14" s="3675">
        <f t="shared" si="75"/>
        <v>107.83</v>
      </c>
      <c r="AG14" s="3675">
        <f t="shared" si="76"/>
        <v>104.47</v>
      </c>
      <c r="AH14" s="3675">
        <f t="shared" si="77"/>
        <v>102.82</v>
      </c>
      <c r="AI14" s="3675">
        <f t="shared" si="78"/>
        <v>108.41000000000001</v>
      </c>
      <c r="AJ14" s="3675">
        <f t="shared" si="79"/>
        <v>106.74999999999999</v>
      </c>
      <c r="AK14" s="3675">
        <f t="shared" si="80"/>
        <v>102.82</v>
      </c>
      <c r="AM14" s="3675">
        <f t="shared" si="57"/>
        <v>101.94463165963514</v>
      </c>
      <c r="AN14" s="3675">
        <f t="shared" si="58"/>
        <v>101.67119833001759</v>
      </c>
      <c r="AO14" s="3675">
        <f t="shared" si="59"/>
        <v>104.8255554709467</v>
      </c>
      <c r="AP14" s="3675">
        <f t="shared" si="60"/>
        <v>101.4228301407031</v>
      </c>
      <c r="AQ14" s="3675">
        <f t="shared" si="61"/>
        <v>98.025199768773433</v>
      </c>
      <c r="AR14" s="3675">
        <f t="shared" si="62"/>
        <v>104.8255554709467</v>
      </c>
    </row>
    <row r="15" spans="1:44">
      <c r="A15" s="3339" t="s">
        <v>3250</v>
      </c>
      <c r="B15" s="3398">
        <v>2023</v>
      </c>
      <c r="C15" s="3399">
        <v>2</v>
      </c>
      <c r="D15" s="3399">
        <v>0.91</v>
      </c>
      <c r="E15" s="3399">
        <v>0.66</v>
      </c>
      <c r="F15" s="3399">
        <v>0.47</v>
      </c>
      <c r="G15" s="3399">
        <v>0.96</v>
      </c>
      <c r="H15" s="3405">
        <v>0.71</v>
      </c>
      <c r="I15" s="3400">
        <f t="shared" si="101"/>
        <v>0.47</v>
      </c>
      <c r="J15" s="3360"/>
      <c r="K15" s="3361">
        <f t="shared" si="125"/>
        <v>9.1000000000000004E-3</v>
      </c>
      <c r="L15" s="3362">
        <f t="shared" si="126"/>
        <v>6.6E-3</v>
      </c>
      <c r="M15" s="3362">
        <f t="shared" si="127"/>
        <v>4.6999999999999993E-3</v>
      </c>
      <c r="N15" s="3362">
        <f t="shared" si="128"/>
        <v>9.5999999999999992E-3</v>
      </c>
      <c r="O15" s="3362">
        <f t="shared" si="129"/>
        <v>7.0999999999999995E-3</v>
      </c>
      <c r="P15" s="3362">
        <f t="shared" si="130"/>
        <v>4.6999999999999993E-3</v>
      </c>
      <c r="Q15" s="3360"/>
      <c r="R15" s="3376">
        <f>ROUND(IF(项目基本情况!$B$8="出让",SUMPRODUCT(PRODUCT(1+K15:$K$24)),SUMPRODUCT(PRODUCT(1+K15:$K$23))),4)</f>
        <v>1.0755999999999999</v>
      </c>
      <c r="S15" s="3376">
        <f>ROUND(IF(项目基本情况!$B$8="出让",SUMPRODUCT(PRODUCT(1+L15:$L$24)),SUMPRODUCT(PRODUCT(1+L15:$L$23))),4)</f>
        <v>1.0395000000000001</v>
      </c>
      <c r="T15" s="3376">
        <f>ROUND(IF(项目基本情况!$B$8="出让",SUMPRODUCT(PRODUCT(1+M15:$M$24)),SUMPRODUCT(PRODUCT(1+M15:$M$23))),4)</f>
        <v>1.0250999999999999</v>
      </c>
      <c r="U15" s="3376">
        <f>ROUND(IF(项目基本情况!$B$8="出让",SUMPRODUCT(PRODUCT(1+N15:$N$24)),SUMPRODUCT(PRODUCT(1+N15:$N$23))),4)</f>
        <v>1.0818000000000001</v>
      </c>
      <c r="V15" s="3376">
        <f>ROUND(IF(项目基本情况!$B$8="出让",SUMPRODUCT(PRODUCT(1+O15:$O$24)),SUMPRODUCT(PRODUCT(1+O15:$O$23))),4)</f>
        <v>1.0629999999999999</v>
      </c>
      <c r="W15" s="3376">
        <f t="shared" si="131"/>
        <v>1.0250999999999999</v>
      </c>
      <c r="X15" s="3360"/>
      <c r="Y15" s="3385">
        <f t="shared" ref="Y15:AC15" si="134">IF(D15=0,0,ROUND(AVERAGE(D15:D26)/100,4))</f>
        <v>8.3000000000000001E-3</v>
      </c>
      <c r="Z15" s="3385">
        <f t="shared" si="134"/>
        <v>4.0000000000000001E-3</v>
      </c>
      <c r="AA15" s="3385">
        <f t="shared" si="134"/>
        <v>2.2000000000000001E-3</v>
      </c>
      <c r="AB15" s="3385">
        <f t="shared" si="134"/>
        <v>8.9999999999999993E-3</v>
      </c>
      <c r="AC15" s="3385">
        <f t="shared" si="134"/>
        <v>6.4999999999999997E-3</v>
      </c>
      <c r="AD15" s="3385">
        <f t="shared" si="133"/>
        <v>2.2000000000000001E-3</v>
      </c>
      <c r="AF15" s="3675">
        <f t="shared" si="75"/>
        <v>107.55999999999999</v>
      </c>
      <c r="AG15" s="3675">
        <f t="shared" si="76"/>
        <v>103.95</v>
      </c>
      <c r="AH15" s="3675">
        <f t="shared" si="77"/>
        <v>102.50999999999999</v>
      </c>
      <c r="AI15" s="3675">
        <f t="shared" si="78"/>
        <v>108.18</v>
      </c>
      <c r="AJ15" s="3675">
        <f t="shared" si="79"/>
        <v>106.3</v>
      </c>
      <c r="AK15" s="3675">
        <f t="shared" si="80"/>
        <v>102.50999999999999</v>
      </c>
      <c r="AM15" s="3675">
        <f t="shared" si="57"/>
        <v>101.69040564552134</v>
      </c>
      <c r="AN15" s="3675">
        <f t="shared" si="58"/>
        <v>101.16537147265433</v>
      </c>
      <c r="AO15" s="3675">
        <f t="shared" si="59"/>
        <v>104.50160050936765</v>
      </c>
      <c r="AP15" s="3675">
        <f t="shared" si="60"/>
        <v>101.21028853478006</v>
      </c>
      <c r="AQ15" s="3675">
        <f t="shared" si="61"/>
        <v>97.605496135391249</v>
      </c>
      <c r="AR15" s="3675">
        <f t="shared" si="62"/>
        <v>104.50160050936765</v>
      </c>
    </row>
    <row r="16" spans="1:44">
      <c r="A16" s="3339" t="s">
        <v>3248</v>
      </c>
      <c r="B16" s="3398">
        <v>2023</v>
      </c>
      <c r="C16" s="3399">
        <v>1</v>
      </c>
      <c r="D16" s="3399">
        <v>0.89</v>
      </c>
      <c r="E16" s="3399">
        <v>0.74</v>
      </c>
      <c r="F16" s="3399">
        <v>0.56999999999999995</v>
      </c>
      <c r="G16" s="3399">
        <v>0.92</v>
      </c>
      <c r="H16" s="3405">
        <v>0.5</v>
      </c>
      <c r="I16" s="3400">
        <f t="shared" si="101"/>
        <v>0.56999999999999995</v>
      </c>
      <c r="J16" s="3360"/>
      <c r="K16" s="3361">
        <f t="shared" si="125"/>
        <v>8.8999999999999999E-3</v>
      </c>
      <c r="L16" s="3362">
        <f t="shared" si="126"/>
        <v>7.4000000000000003E-3</v>
      </c>
      <c r="M16" s="3362">
        <f t="shared" si="127"/>
        <v>5.6999999999999993E-3</v>
      </c>
      <c r="N16" s="3362">
        <f t="shared" si="128"/>
        <v>9.1999999999999998E-3</v>
      </c>
      <c r="O16" s="3362">
        <f t="shared" si="129"/>
        <v>5.0000000000000001E-3</v>
      </c>
      <c r="P16" s="3362">
        <f t="shared" si="130"/>
        <v>5.6999999999999993E-3</v>
      </c>
      <c r="Q16" s="3360"/>
      <c r="R16" s="3376">
        <f>ROUND(IF(项目基本情况!$B$8="出让",SUMPRODUCT(PRODUCT(1+K16:$K$24)),SUMPRODUCT(PRODUCT(1+K16:$K$23))),4)</f>
        <v>1.0659000000000001</v>
      </c>
      <c r="S16" s="3376">
        <f>ROUND(IF(项目基本情况!$B$8="出让",SUMPRODUCT(PRODUCT(1+L16:$L$24)),SUMPRODUCT(PRODUCT(1+L16:$L$23))),4)</f>
        <v>1.0326</v>
      </c>
      <c r="T16" s="3376">
        <f>ROUND(IF(项目基本情况!$B$8="出让",SUMPRODUCT(PRODUCT(1+M16:$M$24)),SUMPRODUCT(PRODUCT(1+M16:$M$23))),4)</f>
        <v>1.0203</v>
      </c>
      <c r="U16" s="3376">
        <f>ROUND(IF(项目基本情况!$B$8="出让",SUMPRODUCT(PRODUCT(1+N16:$N$24)),SUMPRODUCT(PRODUCT(1+N16:$N$23))),4)</f>
        <v>1.0714999999999999</v>
      </c>
      <c r="V16" s="3376">
        <f>ROUND(IF(项目基本情况!$B$8="出让",SUMPRODUCT(PRODUCT(1+O16:$O$24)),SUMPRODUCT(PRODUCT(1+O16:$O$23))),4)</f>
        <v>1.0555000000000001</v>
      </c>
      <c r="W16" s="3376">
        <f t="shared" si="131"/>
        <v>1.0203</v>
      </c>
      <c r="X16" s="3360"/>
      <c r="Y16" s="3385">
        <f t="shared" ref="Y16:AC16" si="135">IF(D16=0,0,ROUND(AVERAGE(D16:D27)/100,4))</f>
        <v>8.2000000000000007E-3</v>
      </c>
      <c r="Z16" s="3385">
        <f t="shared" si="135"/>
        <v>3.8E-3</v>
      </c>
      <c r="AA16" s="3385">
        <f t="shared" si="135"/>
        <v>2E-3</v>
      </c>
      <c r="AB16" s="3385">
        <f t="shared" si="135"/>
        <v>8.8999999999999999E-3</v>
      </c>
      <c r="AC16" s="3385">
        <f t="shared" si="135"/>
        <v>6.4000000000000003E-3</v>
      </c>
      <c r="AD16" s="3385">
        <f t="shared" si="133"/>
        <v>2E-3</v>
      </c>
      <c r="AF16" s="3675">
        <f t="shared" si="75"/>
        <v>106.59</v>
      </c>
      <c r="AG16" s="3675">
        <f t="shared" si="76"/>
        <v>103.25999999999999</v>
      </c>
      <c r="AH16" s="3675">
        <f t="shared" si="77"/>
        <v>102.03</v>
      </c>
      <c r="AI16" s="3675">
        <f t="shared" si="78"/>
        <v>107.14999999999999</v>
      </c>
      <c r="AJ16" s="3675">
        <f t="shared" si="79"/>
        <v>105.55000000000001</v>
      </c>
      <c r="AK16" s="3675">
        <f t="shared" si="80"/>
        <v>102.03</v>
      </c>
      <c r="AM16" s="3675">
        <f t="shared" si="57"/>
        <v>100.77336799675089</v>
      </c>
      <c r="AN16" s="3675">
        <f t="shared" si="58"/>
        <v>100.50205789057652</v>
      </c>
      <c r="AO16" s="3675">
        <f t="shared" si="59"/>
        <v>104.01274062841411</v>
      </c>
      <c r="AP16" s="3675">
        <f t="shared" si="60"/>
        <v>100.24790861210386</v>
      </c>
      <c r="AQ16" s="3675">
        <f t="shared" si="61"/>
        <v>96.917382718092782</v>
      </c>
      <c r="AR16" s="3675">
        <f t="shared" si="62"/>
        <v>104.01274062841411</v>
      </c>
    </row>
    <row r="17" spans="1:44">
      <c r="A17" s="3339" t="s">
        <v>3246</v>
      </c>
      <c r="B17" s="3398">
        <v>2022</v>
      </c>
      <c r="C17" s="3399">
        <v>4</v>
      </c>
      <c r="D17" s="3399">
        <v>0.62</v>
      </c>
      <c r="E17" s="3399">
        <v>0.2</v>
      </c>
      <c r="F17" s="3399">
        <v>0.11</v>
      </c>
      <c r="G17" s="3399">
        <v>0.69</v>
      </c>
      <c r="H17" s="3405">
        <v>0.53</v>
      </c>
      <c r="I17" s="3400">
        <f t="shared" si="101"/>
        <v>0.11</v>
      </c>
      <c r="J17" s="3360"/>
      <c r="K17" s="3361">
        <f t="shared" si="102"/>
        <v>6.1999999999999998E-3</v>
      </c>
      <c r="L17" s="3362">
        <f t="shared" si="102"/>
        <v>2E-3</v>
      </c>
      <c r="M17" s="3362">
        <f t="shared" si="102"/>
        <v>1.1000000000000001E-3</v>
      </c>
      <c r="N17" s="3362">
        <f t="shared" si="102"/>
        <v>6.8999999999999999E-3</v>
      </c>
      <c r="O17" s="3362">
        <f t="shared" si="102"/>
        <v>5.3E-3</v>
      </c>
      <c r="P17" s="3362">
        <f t="shared" ref="P17:P24" si="136">M17</f>
        <v>1.1000000000000001E-3</v>
      </c>
      <c r="Q17" s="3360"/>
      <c r="R17" s="3376">
        <f>ROUND(IF(项目基本情况!B8="出让",SUMPRODUCT(PRODUCT(1+K17:K24)),SUMPRODUCT(PRODUCT(1+K17:K23))),4)</f>
        <v>1.0565</v>
      </c>
      <c r="S17" s="3376">
        <f>ROUND(IF(项目基本情况!B8="出让",SUMPRODUCT(PRODUCT(1+L17:L24)),SUMPRODUCT(PRODUCT(1+L17:L23))),4)</f>
        <v>1.0250999999999999</v>
      </c>
      <c r="T17" s="3376">
        <f>ROUND(IF(项目基本情况!B8="出让",SUMPRODUCT(PRODUCT(1+M17:M24)),SUMPRODUCT(PRODUCT(1+M17:M23))),4)</f>
        <v>1.0145</v>
      </c>
      <c r="U17" s="3376">
        <f>ROUND(IF(项目基本情况!B8="出让",SUMPRODUCT(PRODUCT(1+N17:N24)),SUMPRODUCT(PRODUCT(1+N17:N23))),4)</f>
        <v>1.0618000000000001</v>
      </c>
      <c r="V17" s="3376">
        <f>ROUND(IF(项目基本情况!B8="出让",SUMPRODUCT(PRODUCT(1+O17:O24)),SUMPRODUCT(PRODUCT(1+O17:O23))),4)</f>
        <v>1.0502</v>
      </c>
      <c r="W17" s="3376">
        <f t="shared" ref="W17:W24" si="137">T17</f>
        <v>1.0145</v>
      </c>
      <c r="X17" s="3360"/>
      <c r="Y17" s="3385">
        <f>IF(D17=0,0,ROUND(AVERAGE(D17:D25)/100,4))</f>
        <v>8.0999999999999996E-3</v>
      </c>
      <c r="Z17" s="3385">
        <f>IF(E17=0,0,ROUND(AVERAGE(E17:E24)/100,4))</f>
        <v>3.3E-3</v>
      </c>
      <c r="AA17" s="3385">
        <f>IF(F17=0,0,ROUND(AVERAGE(F17:F24)/100,4))</f>
        <v>1.5E-3</v>
      </c>
      <c r="AB17" s="3385">
        <f>IF(G17=0,0,ROUND(AVERAGE(G17:G24)/100,4))</f>
        <v>8.8999999999999999E-3</v>
      </c>
      <c r="AC17" s="3385">
        <f>IF(H17=0,0,ROUND(AVERAGE(H17:H24)/100,4))</f>
        <v>6.6E-3</v>
      </c>
      <c r="AD17" s="3385">
        <f t="shared" si="103"/>
        <v>1.5E-3</v>
      </c>
      <c r="AF17" s="3675">
        <f t="shared" si="75"/>
        <v>105.65</v>
      </c>
      <c r="AG17" s="3675">
        <f t="shared" si="76"/>
        <v>102.50999999999999</v>
      </c>
      <c r="AH17" s="3675">
        <f t="shared" si="77"/>
        <v>101.44999999999999</v>
      </c>
      <c r="AI17" s="3675">
        <f t="shared" si="78"/>
        <v>106.18</v>
      </c>
      <c r="AJ17" s="3675">
        <f t="shared" si="79"/>
        <v>105.02</v>
      </c>
      <c r="AK17" s="3675">
        <f t="shared" si="80"/>
        <v>101.44999999999999</v>
      </c>
      <c r="AM17" s="3675">
        <f t="shared" si="57"/>
        <v>99.884396864655471</v>
      </c>
      <c r="AN17" s="3675">
        <f t="shared" si="58"/>
        <v>99.763805728187918</v>
      </c>
      <c r="AO17" s="3675">
        <f t="shared" si="59"/>
        <v>103.42322822751726</v>
      </c>
      <c r="AP17" s="3675">
        <f t="shared" si="60"/>
        <v>99.334035485635994</v>
      </c>
      <c r="AQ17" s="3675">
        <f t="shared" si="61"/>
        <v>96.435206684669438</v>
      </c>
      <c r="AR17" s="3675">
        <f t="shared" si="62"/>
        <v>103.42322822751726</v>
      </c>
    </row>
    <row r="18" spans="1:44">
      <c r="A18" s="3339" t="s">
        <v>3243</v>
      </c>
      <c r="B18" s="3398">
        <v>2022</v>
      </c>
      <c r="C18" s="3399">
        <v>3</v>
      </c>
      <c r="D18" s="3399">
        <v>0.66</v>
      </c>
      <c r="E18" s="3399">
        <v>0.32</v>
      </c>
      <c r="F18" s="3399">
        <v>0.23</v>
      </c>
      <c r="G18" s="3399">
        <v>0.72</v>
      </c>
      <c r="H18" s="3405">
        <v>0.63</v>
      </c>
      <c r="I18" s="3400">
        <f t="shared" si="101"/>
        <v>0.23</v>
      </c>
      <c r="J18" s="3360"/>
      <c r="K18" s="3361">
        <f t="shared" si="102"/>
        <v>6.6E-3</v>
      </c>
      <c r="L18" s="3362">
        <f t="shared" si="102"/>
        <v>3.2000000000000002E-3</v>
      </c>
      <c r="M18" s="3362">
        <f t="shared" si="102"/>
        <v>2.3E-3</v>
      </c>
      <c r="N18" s="3362">
        <f t="shared" si="102"/>
        <v>7.1999999999999998E-3</v>
      </c>
      <c r="O18" s="3362">
        <f t="shared" si="102"/>
        <v>6.3E-3</v>
      </c>
      <c r="P18" s="3362">
        <f t="shared" si="136"/>
        <v>2.3E-3</v>
      </c>
      <c r="Q18" s="3360"/>
      <c r="R18" s="3376">
        <f>ROUND(IF(项目基本情况!B8="出让",SUMPRODUCT(PRODUCT(1+K18:K24)),SUMPRODUCT(PRODUCT(1+K18:K23))),4)</f>
        <v>1.05</v>
      </c>
      <c r="S18" s="3376">
        <f>ROUND(IF(项目基本情况!B8="出让",SUMPRODUCT(PRODUCT(1+L18:L24)),SUMPRODUCT(PRODUCT(1+L18:L23))),4)</f>
        <v>1.0229999999999999</v>
      </c>
      <c r="T18" s="3376">
        <f>ROUND(IF(项目基本情况!B8="出让",SUMPRODUCT(PRODUCT(1+M18:M24)),SUMPRODUCT(PRODUCT(1+M18:M23))),4)</f>
        <v>1.0134000000000001</v>
      </c>
      <c r="U18" s="3376">
        <f>ROUND(IF(项目基本情况!B8="出让",SUMPRODUCT(PRODUCT(1+N18:N24)),SUMPRODUCT(PRODUCT(1+N18:N23))),4)</f>
        <v>1.0545</v>
      </c>
      <c r="V18" s="3376">
        <f>ROUND(IF(项目基本情况!B8="出让",SUMPRODUCT(PRODUCT(1+O18:O24)),SUMPRODUCT(PRODUCT(1+O18:O23))),4)</f>
        <v>1.0447</v>
      </c>
      <c r="W18" s="3376">
        <f t="shared" si="137"/>
        <v>1.0134000000000001</v>
      </c>
      <c r="X18" s="3360"/>
      <c r="Y18" s="3385">
        <f>IF(D18=0,0,ROUND(AVERAGE(D18:D24)/100,4))</f>
        <v>8.3999999999999995E-3</v>
      </c>
      <c r="Z18" s="3385">
        <f>IF(E18=0,0,ROUND(AVERAGE(E18:E24)/100,4))</f>
        <v>3.5000000000000001E-3</v>
      </c>
      <c r="AA18" s="3385">
        <f>IF(F18=0,0,ROUND(AVERAGE(F18:F24)/100,4))</f>
        <v>1.5E-3</v>
      </c>
      <c r="AB18" s="3385">
        <f>IF(G18=0,0,ROUND(AVERAGE(G18:G24)/100,4))</f>
        <v>9.1999999999999998E-3</v>
      </c>
      <c r="AC18" s="3385">
        <f>IF(H18=0,0,ROUND(AVERAGE(H18:H24)/100,4))</f>
        <v>6.7999999999999996E-3</v>
      </c>
      <c r="AD18" s="3385">
        <f t="shared" si="103"/>
        <v>1.5E-3</v>
      </c>
      <c r="AF18" s="3675">
        <f t="shared" si="75"/>
        <v>105</v>
      </c>
      <c r="AG18" s="3675">
        <f t="shared" si="76"/>
        <v>102.3</v>
      </c>
      <c r="AH18" s="3675">
        <f t="shared" si="77"/>
        <v>101.34</v>
      </c>
      <c r="AI18" s="3675">
        <f t="shared" si="78"/>
        <v>105.45</v>
      </c>
      <c r="AJ18" s="3675">
        <f t="shared" si="79"/>
        <v>104.47</v>
      </c>
      <c r="AK18" s="3675">
        <f t="shared" si="80"/>
        <v>101.34</v>
      </c>
      <c r="AM18" s="3675">
        <f t="shared" si="57"/>
        <v>99.268929501744651</v>
      </c>
      <c r="AN18" s="3675">
        <f t="shared" si="58"/>
        <v>99.564676375437045</v>
      </c>
      <c r="AO18" s="3675">
        <f t="shared" si="59"/>
        <v>103.30958768106807</v>
      </c>
      <c r="AP18" s="3675">
        <f t="shared" si="60"/>
        <v>98.653327525708619</v>
      </c>
      <c r="AQ18" s="3675">
        <f t="shared" si="61"/>
        <v>95.926794672903043</v>
      </c>
      <c r="AR18" s="3675">
        <f t="shared" si="62"/>
        <v>103.30958768106807</v>
      </c>
    </row>
    <row r="19" spans="1:44">
      <c r="A19" s="3339" t="s">
        <v>3244</v>
      </c>
      <c r="B19" s="3398">
        <v>2022</v>
      </c>
      <c r="C19" s="3399">
        <v>2</v>
      </c>
      <c r="D19" s="3399">
        <v>0.93</v>
      </c>
      <c r="E19" s="3399">
        <v>0.15</v>
      </c>
      <c r="F19" s="3399">
        <v>0.01</v>
      </c>
      <c r="G19" s="3399">
        <v>1.05</v>
      </c>
      <c r="H19" s="3405">
        <v>1.08</v>
      </c>
      <c r="I19" s="3400">
        <f t="shared" si="101"/>
        <v>0.01</v>
      </c>
      <c r="J19" s="3360"/>
      <c r="K19" s="3361">
        <f t="shared" si="102"/>
        <v>9.300000000000001E-3</v>
      </c>
      <c r="L19" s="3362">
        <f t="shared" si="102"/>
        <v>1.5E-3</v>
      </c>
      <c r="M19" s="3362">
        <f t="shared" si="102"/>
        <v>1E-4</v>
      </c>
      <c r="N19" s="3362">
        <f t="shared" si="102"/>
        <v>1.0500000000000001E-2</v>
      </c>
      <c r="O19" s="3362">
        <f t="shared" si="102"/>
        <v>1.0800000000000001E-2</v>
      </c>
      <c r="P19" s="3362">
        <f t="shared" si="136"/>
        <v>1E-4</v>
      </c>
      <c r="Q19" s="3360"/>
      <c r="R19" s="3376">
        <f>ROUND(IF(项目基本情况!B8="出让",SUMPRODUCT(PRODUCT(1+K19:K24)),SUMPRODUCT(PRODUCT(1+K19:K23))),4)</f>
        <v>1.0430999999999999</v>
      </c>
      <c r="S19" s="3376">
        <f>ROUND(IF(项目基本情况!B8="出让",SUMPRODUCT(PRODUCT(1+L19:L24)),SUMPRODUCT(PRODUCT(1+L19:L23))),4)</f>
        <v>1.0197000000000001</v>
      </c>
      <c r="T19" s="3376">
        <f>ROUND(IF(项目基本情况!B8="出让",SUMPRODUCT(PRODUCT(1+M19:M24)),SUMPRODUCT(PRODUCT(1+M19:M23))),4)</f>
        <v>1.0109999999999999</v>
      </c>
      <c r="U19" s="3376">
        <f>ROUND(IF(项目基本情况!B8="出让",SUMPRODUCT(PRODUCT(1+N19:N24)),SUMPRODUCT(PRODUCT(1+N19:N23))),4)</f>
        <v>1.0468999999999999</v>
      </c>
      <c r="V19" s="3376">
        <f>ROUND(IF(项目基本情况!B8="出让",SUMPRODUCT(PRODUCT(1+O19:O24)),SUMPRODUCT(PRODUCT(1+O19:O23))),4)</f>
        <v>1.0382</v>
      </c>
      <c r="W19" s="3376">
        <f t="shared" si="137"/>
        <v>1.0109999999999999</v>
      </c>
      <c r="X19" s="3360"/>
      <c r="Y19" s="3385">
        <f>IF(D19=0,0,ROUND(AVERAGE(D19:D24)/100,4))</f>
        <v>8.6999999999999994E-3</v>
      </c>
      <c r="Z19" s="3385">
        <f>IF(E19=0,0,ROUND(AVERAGE(E19:E24)/100,4))</f>
        <v>3.5000000000000001E-3</v>
      </c>
      <c r="AA19" s="3385">
        <f>IF(F19=0,0,ROUND(AVERAGE(F19:F24)/100,4))</f>
        <v>1.4E-3</v>
      </c>
      <c r="AB19" s="3385">
        <f>IF(G19=0,0,ROUND(AVERAGE(G19:G24)/100,4))</f>
        <v>9.4999999999999998E-3</v>
      </c>
      <c r="AC19" s="3385">
        <f>IF(H19=0,0,ROUND(AVERAGE(H19:H24)/100,4))</f>
        <v>6.8999999999999999E-3</v>
      </c>
      <c r="AD19" s="3385">
        <f t="shared" si="103"/>
        <v>1.4E-3</v>
      </c>
      <c r="AF19" s="3675">
        <f t="shared" si="75"/>
        <v>104.30999999999999</v>
      </c>
      <c r="AG19" s="3675">
        <f t="shared" si="76"/>
        <v>101.97</v>
      </c>
      <c r="AH19" s="3675">
        <f t="shared" si="77"/>
        <v>101.1</v>
      </c>
      <c r="AI19" s="3675">
        <f t="shared" si="78"/>
        <v>104.69</v>
      </c>
      <c r="AJ19" s="3675">
        <f t="shared" si="79"/>
        <v>103.82000000000001</v>
      </c>
      <c r="AK19" s="3675">
        <f t="shared" si="80"/>
        <v>101.1</v>
      </c>
      <c r="AM19" s="3675">
        <f t="shared" si="57"/>
        <v>98.618050369307227</v>
      </c>
      <c r="AN19" s="3675">
        <f t="shared" si="58"/>
        <v>99.247085701193214</v>
      </c>
      <c r="AO19" s="3675">
        <f t="shared" si="59"/>
        <v>103.07252088303709</v>
      </c>
      <c r="AP19" s="3675">
        <f t="shared" si="60"/>
        <v>97.948101197089571</v>
      </c>
      <c r="AQ19" s="3675">
        <f t="shared" si="61"/>
        <v>95.326239364904154</v>
      </c>
      <c r="AR19" s="3675">
        <f t="shared" si="62"/>
        <v>103.07252088303709</v>
      </c>
    </row>
    <row r="20" spans="1:44">
      <c r="A20" s="3339" t="s">
        <v>2781</v>
      </c>
      <c r="B20" s="3398">
        <v>2022</v>
      </c>
      <c r="C20" s="3399">
        <v>1</v>
      </c>
      <c r="D20" s="3399">
        <v>0.89</v>
      </c>
      <c r="E20" s="3399">
        <v>0.44</v>
      </c>
      <c r="F20" s="3399">
        <v>0.37</v>
      </c>
      <c r="G20" s="3399">
        <v>0.96</v>
      </c>
      <c r="H20" s="3405">
        <v>0.64</v>
      </c>
      <c r="I20" s="3400">
        <f t="shared" si="101"/>
        <v>0.37</v>
      </c>
      <c r="J20" s="3360"/>
      <c r="K20" s="3361">
        <f t="shared" si="102"/>
        <v>8.8999999999999999E-3</v>
      </c>
      <c r="L20" s="3362">
        <f t="shared" si="102"/>
        <v>4.4000000000000003E-3</v>
      </c>
      <c r="M20" s="3362">
        <f t="shared" si="102"/>
        <v>3.7000000000000002E-3</v>
      </c>
      <c r="N20" s="3362">
        <f t="shared" si="102"/>
        <v>9.5999999999999992E-3</v>
      </c>
      <c r="O20" s="3362">
        <f t="shared" si="102"/>
        <v>6.4000000000000003E-3</v>
      </c>
      <c r="P20" s="3362">
        <f t="shared" si="136"/>
        <v>3.7000000000000002E-3</v>
      </c>
      <c r="Q20" s="3360"/>
      <c r="R20" s="3376">
        <f>ROUND(IF(项目基本情况!B8="出让",SUMPRODUCT(PRODUCT(1+K20:K24)),SUMPRODUCT(PRODUCT(1+K20:K23))),4)</f>
        <v>1.0335000000000001</v>
      </c>
      <c r="S20" s="3376">
        <f>ROUND(IF(项目基本情况!B8="出让",SUMPRODUCT(PRODUCT(1+L20:L24)),SUMPRODUCT(PRODUCT(1+L20:L23))),4)</f>
        <v>1.0182</v>
      </c>
      <c r="T20" s="3376">
        <f>ROUND(IF(项目基本情况!B8="出让",SUMPRODUCT(PRODUCT(1+M20:M24)),SUMPRODUCT(PRODUCT(1+M20:M23))),4)</f>
        <v>1.0108999999999999</v>
      </c>
      <c r="U20" s="3376">
        <f>ROUND(IF(项目基本情况!B8="出让",SUMPRODUCT(PRODUCT(1+N20:N24)),SUMPRODUCT(PRODUCT(1+N20:N23))),4)</f>
        <v>1.0361</v>
      </c>
      <c r="V20" s="3376">
        <f>ROUND(IF(项目基本情况!B8="出让",SUMPRODUCT(PRODUCT(1+O20:O24)),SUMPRODUCT(PRODUCT(1+O20:O23))),4)</f>
        <v>1.0270999999999999</v>
      </c>
      <c r="W20" s="3376">
        <f t="shared" si="137"/>
        <v>1.0108999999999999</v>
      </c>
      <c r="X20" s="3360"/>
      <c r="Y20" s="3385">
        <f>IF(D20=0,0,ROUND(AVERAGE(D20:D24)/100,4))</f>
        <v>8.6E-3</v>
      </c>
      <c r="Z20" s="3385">
        <f>IF(E20=0,0,ROUND(AVERAGE(E20:E24)/100,4))</f>
        <v>3.8999999999999998E-3</v>
      </c>
      <c r="AA20" s="3385">
        <f>IF(F20=0,0,ROUND(AVERAGE(F20:F24)/100,4))</f>
        <v>1.6999999999999999E-3</v>
      </c>
      <c r="AB20" s="3385">
        <f>IF(G20=0,0,ROUND(AVERAGE(G20:G24)/100,4))</f>
        <v>9.2999999999999992E-3</v>
      </c>
      <c r="AC20" s="3385">
        <f>IF(H20=0,0,ROUND(AVERAGE(H20:H24)/100,4))</f>
        <v>6.1000000000000004E-3</v>
      </c>
      <c r="AD20" s="3385">
        <f t="shared" si="103"/>
        <v>1.6999999999999999E-3</v>
      </c>
      <c r="AF20" s="3675">
        <f t="shared" si="75"/>
        <v>103.35000000000001</v>
      </c>
      <c r="AG20" s="3675">
        <f t="shared" si="76"/>
        <v>101.82</v>
      </c>
      <c r="AH20" s="3675">
        <f t="shared" si="77"/>
        <v>101.08999999999999</v>
      </c>
      <c r="AI20" s="3675">
        <f t="shared" si="78"/>
        <v>103.61</v>
      </c>
      <c r="AJ20" s="3675">
        <f t="shared" si="79"/>
        <v>102.71</v>
      </c>
      <c r="AK20" s="3675">
        <f t="shared" si="80"/>
        <v>101.08999999999999</v>
      </c>
      <c r="AM20" s="3675">
        <f t="shared" si="57"/>
        <v>97.709353382846743</v>
      </c>
      <c r="AN20" s="3675">
        <f t="shared" si="58"/>
        <v>99.098438044127022</v>
      </c>
      <c r="AO20" s="3675">
        <f t="shared" si="59"/>
        <v>103.06221466157093</v>
      </c>
      <c r="AP20" s="3675">
        <f t="shared" si="60"/>
        <v>96.930332703700714</v>
      </c>
      <c r="AQ20" s="3675">
        <f t="shared" si="61"/>
        <v>94.307716031761146</v>
      </c>
      <c r="AR20" s="3675">
        <f t="shared" si="62"/>
        <v>103.06221466157093</v>
      </c>
    </row>
    <row r="21" spans="1:44">
      <c r="A21" s="3339" t="s">
        <v>2782</v>
      </c>
      <c r="B21" s="3398">
        <v>2021</v>
      </c>
      <c r="C21" s="3399">
        <v>4</v>
      </c>
      <c r="D21" s="3399">
        <v>1.03</v>
      </c>
      <c r="E21" s="3399">
        <v>0.24</v>
      </c>
      <c r="F21" s="3399">
        <v>7.0000000000000007E-2</v>
      </c>
      <c r="G21" s="3399">
        <v>1.17</v>
      </c>
      <c r="H21" s="3405">
        <v>0.55000000000000004</v>
      </c>
      <c r="I21" s="3400">
        <f t="shared" si="101"/>
        <v>7.0000000000000007E-2</v>
      </c>
      <c r="J21" s="3360"/>
      <c r="K21" s="3361">
        <f t="shared" si="102"/>
        <v>1.03E-2</v>
      </c>
      <c r="L21" s="3362">
        <f t="shared" si="102"/>
        <v>2.3999999999999998E-3</v>
      </c>
      <c r="M21" s="3362">
        <f t="shared" si="102"/>
        <v>7.000000000000001E-4</v>
      </c>
      <c r="N21" s="3362">
        <f t="shared" si="102"/>
        <v>1.1699999999999999E-2</v>
      </c>
      <c r="O21" s="3362">
        <f t="shared" si="102"/>
        <v>5.5000000000000005E-3</v>
      </c>
      <c r="P21" s="3362">
        <f t="shared" si="136"/>
        <v>7.000000000000001E-4</v>
      </c>
      <c r="Q21" s="3360"/>
      <c r="R21" s="3376">
        <f>ROUND(IF(项目基本情况!B8="出让",SUMPRODUCT(PRODUCT(1+K21:K24)),SUMPRODUCT(PRODUCT(1+K21:K23))),4)</f>
        <v>1.0244</v>
      </c>
      <c r="S21" s="3376">
        <f>ROUND(IF(项目基本情况!B8="出让",SUMPRODUCT(PRODUCT(1+L21:L24)),SUMPRODUCT(PRODUCT(1+L21:L23))),4)</f>
        <v>1.0138</v>
      </c>
      <c r="T21" s="3376">
        <f>ROUND(IF(项目基本情况!B8="出让",SUMPRODUCT(PRODUCT(1+M21:M24)),SUMPRODUCT(PRODUCT(1+M21:M23))),4)</f>
        <v>1.0072000000000001</v>
      </c>
      <c r="U21" s="3376">
        <f>ROUND(IF(项目基本情况!B8="出让",SUMPRODUCT(PRODUCT(1+N21:N24)),SUMPRODUCT(PRODUCT(1+N21:N23))),4)</f>
        <v>1.0262</v>
      </c>
      <c r="V21" s="3376">
        <f>ROUND(IF(项目基本情况!B8="出让",SUMPRODUCT(PRODUCT(1+O21:O24)),SUMPRODUCT(PRODUCT(1+O21:O23))),4)</f>
        <v>1.0205</v>
      </c>
      <c r="W21" s="3376">
        <f t="shared" si="137"/>
        <v>1.0072000000000001</v>
      </c>
      <c r="X21" s="3360"/>
      <c r="Y21" s="3385">
        <f>IF(D21=0,0,ROUND(AVERAGE(D21:D24)/100,4))</f>
        <v>8.5000000000000006E-3</v>
      </c>
      <c r="Z21" s="3385">
        <f>IF(E21=0,0,ROUND(AVERAGE(E21:E24)/100,4))</f>
        <v>3.8E-3</v>
      </c>
      <c r="AA21" s="3385">
        <f>IF(F21=0,0,ROUND(AVERAGE(F21:F24)/100,4))</f>
        <v>1.1999999999999999E-3</v>
      </c>
      <c r="AB21" s="3385">
        <f>IF(G21=0,0,ROUND(AVERAGE(G21:G24)/100,4))</f>
        <v>9.2999999999999992E-3</v>
      </c>
      <c r="AC21" s="3385">
        <f>IF(H21=0,0,ROUND(AVERAGE(H21:H24)/100,4))</f>
        <v>6.0000000000000001E-3</v>
      </c>
      <c r="AD21" s="3385">
        <f t="shared" si="103"/>
        <v>1.1999999999999999E-3</v>
      </c>
      <c r="AF21" s="3675">
        <f t="shared" si="75"/>
        <v>102.44</v>
      </c>
      <c r="AG21" s="3675">
        <f t="shared" si="76"/>
        <v>101.38000000000001</v>
      </c>
      <c r="AH21" s="3675">
        <f t="shared" si="77"/>
        <v>100.72000000000001</v>
      </c>
      <c r="AI21" s="3675">
        <f t="shared" si="78"/>
        <v>102.62</v>
      </c>
      <c r="AJ21" s="3675">
        <f t="shared" si="79"/>
        <v>102.05</v>
      </c>
      <c r="AK21" s="3675">
        <f t="shared" si="80"/>
        <v>100.72000000000001</v>
      </c>
      <c r="AM21" s="3675">
        <f t="shared" si="57"/>
        <v>96.847411421198089</v>
      </c>
      <c r="AN21" s="3675">
        <f t="shared" si="58"/>
        <v>98.664315057872386</v>
      </c>
      <c r="AO21" s="3675">
        <f t="shared" si="59"/>
        <v>102.68229018787579</v>
      </c>
      <c r="AP21" s="3675">
        <f t="shared" si="60"/>
        <v>96.008649666898478</v>
      </c>
      <c r="AQ21" s="3675">
        <f t="shared" si="61"/>
        <v>93.70798492822054</v>
      </c>
      <c r="AR21" s="3675">
        <f t="shared" si="62"/>
        <v>102.68229018787579</v>
      </c>
    </row>
    <row r="22" spans="1:44">
      <c r="A22" s="3339" t="s">
        <v>2783</v>
      </c>
      <c r="B22" s="3398">
        <v>2021</v>
      </c>
      <c r="C22" s="3399">
        <v>3</v>
      </c>
      <c r="D22" s="3399">
        <v>0.47</v>
      </c>
      <c r="E22" s="3399">
        <v>0.41</v>
      </c>
      <c r="F22" s="3399">
        <v>0.24</v>
      </c>
      <c r="G22" s="3399">
        <v>0.48</v>
      </c>
      <c r="H22" s="3405">
        <v>0.48</v>
      </c>
      <c r="I22" s="3400">
        <f t="shared" si="101"/>
        <v>0.24</v>
      </c>
      <c r="J22" s="3360"/>
      <c r="K22" s="3361">
        <f t="shared" si="102"/>
        <v>4.6999999999999993E-3</v>
      </c>
      <c r="L22" s="3362">
        <f t="shared" si="102"/>
        <v>4.0999999999999995E-3</v>
      </c>
      <c r="M22" s="3362">
        <f t="shared" si="102"/>
        <v>2.3999999999999998E-3</v>
      </c>
      <c r="N22" s="3362">
        <f t="shared" si="102"/>
        <v>4.7999999999999996E-3</v>
      </c>
      <c r="O22" s="3362">
        <f t="shared" si="102"/>
        <v>4.7999999999999996E-3</v>
      </c>
      <c r="P22" s="3362">
        <f t="shared" si="136"/>
        <v>2.3999999999999998E-3</v>
      </c>
      <c r="Q22" s="3360"/>
      <c r="R22" s="3376">
        <f>ROUND(IF(项目基本情况!B8="出让",SUMPRODUCT(PRODUCT(1+K22:K24)),SUMPRODUCT(PRODUCT(1+K22:K23))),4)</f>
        <v>1.0139</v>
      </c>
      <c r="S22" s="3376">
        <f>ROUND(IF(项目基本情况!B8="出让",SUMPRODUCT(PRODUCT(1+L22:L24)),SUMPRODUCT(PRODUCT(1+L22:L23))),4)</f>
        <v>1.0113000000000001</v>
      </c>
      <c r="T22" s="3376">
        <f>ROUND(IF(项目基本情况!B8="出让",SUMPRODUCT(PRODUCT(1+M22:M24)),SUMPRODUCT(PRODUCT(1+M22:M23))),4)</f>
        <v>1.0065</v>
      </c>
      <c r="U22" s="3376">
        <f>ROUND(IF(项目基本情况!B8="出让",SUMPRODUCT(PRODUCT(1+N22:N24)),SUMPRODUCT(PRODUCT(1+N22:N23))),4)</f>
        <v>1.0143</v>
      </c>
      <c r="V22" s="3376">
        <f>ROUND(IF(项目基本情况!B8="出让",SUMPRODUCT(PRODUCT(1+O22:O24)),SUMPRODUCT(PRODUCT(1+O22:O23))),4)</f>
        <v>1.0148999999999999</v>
      </c>
      <c r="W22" s="3376">
        <f t="shared" si="137"/>
        <v>1.0065</v>
      </c>
      <c r="X22" s="3360"/>
      <c r="Y22" s="3385">
        <f>IF(D22=0,0,ROUND(AVERAGE(D22:D24)/100,4))</f>
        <v>7.9000000000000008E-3</v>
      </c>
      <c r="Z22" s="3385">
        <f>IF(E22=0,0,ROUND(AVERAGE(E22:E24)/100,4))</f>
        <v>4.3E-3</v>
      </c>
      <c r="AA22" s="3385">
        <f>IF(F22=0,0,ROUND(AVERAGE(F22:F24)/100,4))</f>
        <v>1.2999999999999999E-3</v>
      </c>
      <c r="AB22" s="3385">
        <f>IF(G22=0,0,ROUND(AVERAGE(G22:G24)/100,4))</f>
        <v>8.5000000000000006E-3</v>
      </c>
      <c r="AC22" s="3385">
        <f>IF(H22=0,0,ROUND(AVERAGE(H22:H24)/100,4))</f>
        <v>6.1999999999999998E-3</v>
      </c>
      <c r="AD22" s="3385">
        <f t="shared" si="103"/>
        <v>1.2999999999999999E-3</v>
      </c>
      <c r="AF22" s="3675">
        <f t="shared" si="75"/>
        <v>101.39</v>
      </c>
      <c r="AG22" s="3675">
        <f t="shared" si="76"/>
        <v>101.13000000000001</v>
      </c>
      <c r="AH22" s="3675">
        <f t="shared" si="77"/>
        <v>100.64999999999999</v>
      </c>
      <c r="AI22" s="3675">
        <f t="shared" si="78"/>
        <v>101.42999999999999</v>
      </c>
      <c r="AJ22" s="3675">
        <f t="shared" si="79"/>
        <v>101.49</v>
      </c>
      <c r="AK22" s="3675">
        <f t="shared" si="80"/>
        <v>100.64999999999999</v>
      </c>
      <c r="AM22" s="3675">
        <f t="shared" si="57"/>
        <v>95.860052876569426</v>
      </c>
      <c r="AN22" s="3675">
        <f t="shared" si="58"/>
        <v>98.428087647518353</v>
      </c>
      <c r="AO22" s="3675">
        <f t="shared" si="59"/>
        <v>102.61046286387109</v>
      </c>
      <c r="AP22" s="3675">
        <f t="shared" si="60"/>
        <v>94.898339099435077</v>
      </c>
      <c r="AQ22" s="3675">
        <f t="shared" si="61"/>
        <v>93.195410172273029</v>
      </c>
      <c r="AR22" s="3675">
        <f t="shared" si="62"/>
        <v>102.61046286387109</v>
      </c>
    </row>
    <row r="23" spans="1:44">
      <c r="A23" s="3339" t="s">
        <v>2784</v>
      </c>
      <c r="B23" s="3398">
        <v>2021</v>
      </c>
      <c r="C23" s="3399">
        <v>2</v>
      </c>
      <c r="D23" s="3399">
        <v>0.92</v>
      </c>
      <c r="E23" s="3399">
        <v>0.72</v>
      </c>
      <c r="F23" s="3399">
        <v>0.41</v>
      </c>
      <c r="G23" s="3399">
        <v>0.95</v>
      </c>
      <c r="H23" s="3405">
        <v>1.01</v>
      </c>
      <c r="I23" s="3400">
        <f t="shared" si="101"/>
        <v>0.41</v>
      </c>
      <c r="J23" s="3360"/>
      <c r="K23" s="3361">
        <f t="shared" si="102"/>
        <v>9.1999999999999998E-3</v>
      </c>
      <c r="L23" s="3362">
        <f t="shared" si="102"/>
        <v>7.1999999999999998E-3</v>
      </c>
      <c r="M23" s="3362">
        <f t="shared" si="102"/>
        <v>4.0999999999999995E-3</v>
      </c>
      <c r="N23" s="3362">
        <f t="shared" si="102"/>
        <v>9.4999999999999998E-3</v>
      </c>
      <c r="O23" s="3362">
        <f t="shared" si="102"/>
        <v>1.01E-2</v>
      </c>
      <c r="P23" s="3362">
        <f t="shared" si="136"/>
        <v>4.0999999999999995E-3</v>
      </c>
      <c r="Q23" s="3360"/>
      <c r="R23" s="3376">
        <f>ROUND(IF(项目基本情况!B8="出让",SUMPRODUCT(PRODUCT(1+K23:K24)),SUMPRODUCT(PRODUCT(1+K23:K23))),4)</f>
        <v>1.0092000000000001</v>
      </c>
      <c r="S23" s="3376">
        <f>ROUND(IF(项目基本情况!B8="出让",SUMPRODUCT(PRODUCT(1+L23:L24)),SUMPRODUCT(PRODUCT(1+L23:L23))),4)</f>
        <v>1.0072000000000001</v>
      </c>
      <c r="T23" s="3376">
        <f>ROUND(IF(项目基本情况!B8="出让",SUMPRODUCT(PRODUCT(1+M23:M24)),SUMPRODUCT(PRODUCT(1+M23:M23))),4)</f>
        <v>1.0041</v>
      </c>
      <c r="U23" s="3376">
        <f>ROUND(IF(项目基本情况!B8="出让",SUMPRODUCT(PRODUCT(1+N23:N24)),SUMPRODUCT(PRODUCT(1+N23:N23))),4)</f>
        <v>1.0095000000000001</v>
      </c>
      <c r="V23" s="3376">
        <f>ROUND(IF(项目基本情况!B8="出让",SUMPRODUCT(PRODUCT(1+O23:O24)),SUMPRODUCT(PRODUCT(1+O23:O23))),4)</f>
        <v>1.0101</v>
      </c>
      <c r="W23" s="3376">
        <f t="shared" si="137"/>
        <v>1.0041</v>
      </c>
      <c r="X23" s="3360"/>
      <c r="Y23" s="3385">
        <f>IF(D23=0,0,ROUND(AVERAGE(D23:D24)/100,4))</f>
        <v>9.4999999999999998E-3</v>
      </c>
      <c r="Z23" s="3385">
        <f>IF(E23=0,0,ROUND(AVERAGE(E23:E24)/100,4))</f>
        <v>4.4000000000000003E-3</v>
      </c>
      <c r="AA23" s="3385">
        <f>IF(F23=0,0,ROUND(AVERAGE(F23:F24)/100,4))</f>
        <v>8.0000000000000004E-4</v>
      </c>
      <c r="AB23" s="3385">
        <f>IF(G23=0,0,ROUND(AVERAGE(G23:G24)/100,4))</f>
        <v>1.03E-2</v>
      </c>
      <c r="AC23" s="3385">
        <f>IF(H23=0,0,ROUND(AVERAGE(H23:H24)/100,4))</f>
        <v>6.8999999999999999E-3</v>
      </c>
      <c r="AD23" s="3385">
        <f t="shared" si="103"/>
        <v>8.0000000000000004E-4</v>
      </c>
      <c r="AF23" s="3675">
        <f>$AF$24*R23</f>
        <v>100.92000000000002</v>
      </c>
      <c r="AG23" s="3675">
        <f>$AG$24*S23</f>
        <v>100.72000000000001</v>
      </c>
      <c r="AH23" s="3675">
        <f>$AH$24*T23</f>
        <v>100.41</v>
      </c>
      <c r="AI23" s="3675">
        <f>$AI$24*U23</f>
        <v>100.95</v>
      </c>
      <c r="AJ23" s="3675">
        <f>$AJ$24*V23</f>
        <v>101.01</v>
      </c>
      <c r="AK23" s="3675">
        <f>$AK$24*W23</f>
        <v>100.41</v>
      </c>
      <c r="AM23" s="3675">
        <f t="shared" si="57"/>
        <v>95.411618270697161</v>
      </c>
      <c r="AN23" s="3675">
        <f t="shared" si="58"/>
        <v>98.02618030825451</v>
      </c>
      <c r="AO23" s="3675">
        <f t="shared" si="59"/>
        <v>102.36478737417308</v>
      </c>
      <c r="AP23" s="3675">
        <f t="shared" si="60"/>
        <v>94.445003084628866</v>
      </c>
      <c r="AQ23" s="3675">
        <f t="shared" si="61"/>
        <v>92.750209168265357</v>
      </c>
      <c r="AR23" s="3675">
        <f t="shared" si="62"/>
        <v>102.36478737417308</v>
      </c>
    </row>
    <row r="24" spans="1:44" ht="15" thickBot="1">
      <c r="A24" s="3341" t="s">
        <v>2785</v>
      </c>
      <c r="B24" s="3406">
        <v>2021</v>
      </c>
      <c r="C24" s="3407">
        <v>1</v>
      </c>
      <c r="D24" s="3407">
        <v>0.97</v>
      </c>
      <c r="E24" s="3407">
        <v>0.16</v>
      </c>
      <c r="F24" s="3407">
        <v>-0.25</v>
      </c>
      <c r="G24" s="3407">
        <v>1.1100000000000001</v>
      </c>
      <c r="H24" s="3408">
        <v>0.36</v>
      </c>
      <c r="I24" s="3409">
        <f t="shared" si="101"/>
        <v>-0.25</v>
      </c>
      <c r="J24" s="3366"/>
      <c r="K24" s="3367">
        <f t="shared" si="102"/>
        <v>9.7000000000000003E-3</v>
      </c>
      <c r="L24" s="3368">
        <f t="shared" si="102"/>
        <v>1.6000000000000001E-3</v>
      </c>
      <c r="M24" s="3368">
        <f>F24/100</f>
        <v>-2.5000000000000001E-3</v>
      </c>
      <c r="N24" s="3368">
        <f t="shared" si="102"/>
        <v>1.11E-2</v>
      </c>
      <c r="O24" s="3368">
        <f t="shared" si="102"/>
        <v>3.5999999999999999E-3</v>
      </c>
      <c r="P24" s="3368">
        <f t="shared" si="136"/>
        <v>-2.5000000000000001E-3</v>
      </c>
      <c r="Q24" s="3366"/>
      <c r="R24" s="3377">
        <v>1</v>
      </c>
      <c r="S24" s="3377">
        <v>1</v>
      </c>
      <c r="T24" s="3377">
        <v>1</v>
      </c>
      <c r="U24" s="3377">
        <v>1</v>
      </c>
      <c r="V24" s="3377">
        <v>1</v>
      </c>
      <c r="W24" s="3377">
        <f t="shared" si="137"/>
        <v>1</v>
      </c>
      <c r="X24" s="3366"/>
      <c r="Y24" s="3368">
        <f>IF(D24=0,0,ROUND(AVERAGE(D24:D24)/100,4))</f>
        <v>9.7000000000000003E-3</v>
      </c>
      <c r="Z24" s="3368">
        <f>IF(E24=0,0,ROUND(AVERAGE(E24:E24)/100,4))</f>
        <v>1.6000000000000001E-3</v>
      </c>
      <c r="AA24" s="3368">
        <f>IF(F24=0,0,ROUND(AVERAGE(F24:F24)/100,4))</f>
        <v>-2.5000000000000001E-3</v>
      </c>
      <c r="AB24" s="3368">
        <f>IF(G24=0,0,ROUND(AVERAGE(G24:G24)/100,4))</f>
        <v>1.11E-2</v>
      </c>
      <c r="AC24" s="3368">
        <f>IF(H24=0,0,ROUND(AVERAGE(H24:H24)/100,4))</f>
        <v>3.5999999999999999E-3</v>
      </c>
      <c r="AD24" s="3368">
        <f>AA24</f>
        <v>-2.5000000000000001E-3</v>
      </c>
      <c r="AF24" s="3676">
        <v>100</v>
      </c>
      <c r="AG24" s="3676">
        <v>100</v>
      </c>
      <c r="AH24" s="3676">
        <v>100</v>
      </c>
      <c r="AI24" s="3676">
        <v>100</v>
      </c>
      <c r="AJ24" s="3676">
        <v>100</v>
      </c>
      <c r="AK24" s="3676">
        <v>100</v>
      </c>
      <c r="AM24" s="3675">
        <f t="shared" si="57"/>
        <v>94.541833403386008</v>
      </c>
      <c r="AN24" s="3675">
        <f t="shared" si="58"/>
        <v>97.325437160697476</v>
      </c>
      <c r="AO24" s="3675">
        <f t="shared" si="59"/>
        <v>101.94680547173894</v>
      </c>
      <c r="AP24" s="3675">
        <f t="shared" si="60"/>
        <v>93.556219004090011</v>
      </c>
      <c r="AQ24" s="3675">
        <f t="shared" si="61"/>
        <v>91.82279889938161</v>
      </c>
      <c r="AR24" s="3675">
        <f t="shared" si="62"/>
        <v>101.94680547173894</v>
      </c>
    </row>
    <row r="25" spans="1:44" ht="15" thickTop="1">
      <c r="A25" s="3276"/>
      <c r="B25" s="3276"/>
      <c r="C25" s="3276"/>
      <c r="D25" s="3276"/>
      <c r="E25" s="3276"/>
      <c r="F25" s="3276"/>
      <c r="G25" s="3276"/>
      <c r="H25" s="3276"/>
      <c r="I25" s="3276"/>
      <c r="J25" s="3276"/>
      <c r="K25" s="3276"/>
      <c r="L25" s="3276"/>
      <c r="M25" s="3276"/>
      <c r="N25" s="3276"/>
      <c r="O25" s="3276"/>
      <c r="P25" s="3276"/>
      <c r="Q25" s="3276"/>
      <c r="R25" s="3276"/>
      <c r="S25" s="3276"/>
      <c r="T25" s="3276"/>
      <c r="U25" s="3276"/>
      <c r="V25" s="3276"/>
      <c r="W25" s="3276"/>
      <c r="X25" s="3276"/>
      <c r="Y25" s="3276"/>
      <c r="Z25" s="3276"/>
      <c r="AA25" s="3276"/>
      <c r="AB25" s="3276"/>
      <c r="AC25" s="3276"/>
      <c r="AD25" s="3276"/>
    </row>
    <row r="26" spans="1:44">
      <c r="A26" s="3657" t="s">
        <v>3264</v>
      </c>
      <c r="B26" s="3276"/>
      <c r="C26" s="3276"/>
      <c r="D26" s="3276"/>
      <c r="E26" s="3276"/>
      <c r="F26" s="3276"/>
      <c r="G26" s="3276"/>
      <c r="H26" s="3276"/>
      <c r="I26" s="3276"/>
      <c r="J26" s="3276"/>
      <c r="K26" s="3276"/>
      <c r="L26" s="3276"/>
      <c r="M26" s="3276"/>
      <c r="N26" s="3276"/>
      <c r="O26" s="3276"/>
      <c r="P26" s="3276"/>
      <c r="Q26" s="3276"/>
      <c r="R26" s="3276"/>
      <c r="S26" s="3276"/>
      <c r="T26" s="3276"/>
      <c r="U26" s="3276"/>
      <c r="V26" s="3276"/>
      <c r="W26" s="3276"/>
      <c r="X26" s="3276"/>
      <c r="Y26" s="3276"/>
      <c r="Z26" s="3276"/>
      <c r="AA26" s="3276"/>
      <c r="AB26" s="3276"/>
      <c r="AC26" s="3276"/>
      <c r="AD26" s="3276"/>
    </row>
    <row r="27" spans="1:44">
      <c r="A27" s="3276"/>
      <c r="B27" s="3276"/>
      <c r="C27" s="3276"/>
      <c r="D27" s="3276"/>
      <c r="E27" s="3276"/>
      <c r="F27" s="3276"/>
      <c r="G27" s="3276"/>
      <c r="H27" s="3276"/>
      <c r="I27" s="3369" t="s">
        <v>2796</v>
      </c>
      <c r="J27" s="3276"/>
      <c r="K27" s="3276"/>
      <c r="L27" s="3276"/>
      <c r="M27" s="3276"/>
      <c r="N27" s="3276"/>
      <c r="O27" s="3276"/>
      <c r="P27" s="3276"/>
      <c r="Q27" s="3276"/>
      <c r="R27" s="3276"/>
      <c r="S27" s="3276"/>
      <c r="T27" s="3276"/>
      <c r="U27" s="3276"/>
      <c r="V27" s="3276"/>
      <c r="W27" s="3276"/>
      <c r="X27" s="3276"/>
      <c r="Y27" s="3276"/>
      <c r="Z27" s="3276"/>
      <c r="AA27" s="3276"/>
      <c r="AB27" s="3276"/>
      <c r="AC27" s="3276"/>
      <c r="AD27" s="3276"/>
    </row>
    <row r="28" spans="1:44">
      <c r="A28" s="3276"/>
      <c r="B28" s="3276"/>
      <c r="C28" s="3276"/>
      <c r="D28" s="3276"/>
      <c r="E28" s="3276"/>
      <c r="F28" s="3276"/>
      <c r="G28" s="3276"/>
      <c r="H28" s="3276"/>
      <c r="I28" s="3276"/>
      <c r="J28" s="3276"/>
      <c r="K28" s="3276"/>
      <c r="L28" s="3276"/>
      <c r="M28" s="3276"/>
      <c r="N28" s="3276"/>
      <c r="O28" s="3276"/>
      <c r="P28" s="3276"/>
      <c r="Q28" s="3276"/>
      <c r="R28" s="3276"/>
      <c r="S28" s="3276"/>
      <c r="T28" s="3276"/>
      <c r="U28" s="3276"/>
      <c r="V28" s="3276"/>
      <c r="W28" s="3276"/>
      <c r="X28" s="3276"/>
      <c r="Y28" s="3276"/>
      <c r="Z28" s="3276"/>
      <c r="AA28" s="3276"/>
      <c r="AB28" s="3276"/>
      <c r="AC28" s="3276"/>
      <c r="AD28" s="3276"/>
    </row>
    <row r="29" spans="1:44">
      <c r="A29" s="3342"/>
      <c r="B29" s="3343" t="s">
        <v>3263</v>
      </c>
      <c r="C29" s="3344"/>
      <c r="D29" s="3344"/>
      <c r="E29" s="3344"/>
      <c r="F29" s="3344"/>
      <c r="G29" s="3344"/>
      <c r="H29" s="3344"/>
      <c r="I29" s="3344"/>
      <c r="J29" s="3345"/>
      <c r="K29" s="3344" t="s">
        <v>2789</v>
      </c>
      <c r="L29" s="3344"/>
      <c r="M29" s="3344"/>
      <c r="N29" s="3344"/>
      <c r="O29" s="3344"/>
      <c r="P29" s="3344"/>
      <c r="Q29" s="3345"/>
      <c r="R29" s="3995" t="s">
        <v>2804</v>
      </c>
      <c r="S29" s="3996"/>
      <c r="T29" s="3996"/>
      <c r="U29" s="3996"/>
      <c r="V29" s="3996"/>
      <c r="W29" s="3996"/>
      <c r="X29" s="3345"/>
      <c r="Y29" s="3995" t="s">
        <v>1925</v>
      </c>
      <c r="Z29" s="3996"/>
      <c r="AA29" s="3996"/>
      <c r="AB29" s="3996"/>
      <c r="AC29" s="3996"/>
      <c r="AD29" s="3996"/>
    </row>
    <row r="30" spans="1:44" ht="15" thickBot="1">
      <c r="A30" s="3336"/>
      <c r="B30" s="3346"/>
      <c r="C30" s="3347"/>
      <c r="D30" s="3348" t="s">
        <v>2791</v>
      </c>
      <c r="E30" s="3349" t="s">
        <v>2792</v>
      </c>
      <c r="F30" s="3349" t="s">
        <v>2793</v>
      </c>
      <c r="G30" s="3349" t="s">
        <v>1469</v>
      </c>
      <c r="H30" s="3349"/>
      <c r="I30" s="3349" t="s">
        <v>2737</v>
      </c>
      <c r="J30" s="3350"/>
      <c r="K30" s="3348" t="s">
        <v>2791</v>
      </c>
      <c r="L30" s="3349" t="s">
        <v>2792</v>
      </c>
      <c r="M30" s="3349" t="s">
        <v>2793</v>
      </c>
      <c r="N30" s="3349" t="s">
        <v>2794</v>
      </c>
      <c r="O30" s="3349"/>
      <c r="P30" s="3349" t="s">
        <v>2737</v>
      </c>
      <c r="Q30" s="3350"/>
      <c r="R30" s="3348" t="s">
        <v>2805</v>
      </c>
      <c r="S30" s="3349" t="s">
        <v>2806</v>
      </c>
      <c r="T30" s="3349" t="s">
        <v>2793</v>
      </c>
      <c r="U30" s="3349" t="s">
        <v>1469</v>
      </c>
      <c r="V30" s="3349"/>
      <c r="W30" s="3349" t="s">
        <v>2807</v>
      </c>
      <c r="X30" s="3350"/>
      <c r="Y30" s="3348" t="s">
        <v>2790</v>
      </c>
      <c r="Z30" s="3349" t="s">
        <v>2792</v>
      </c>
      <c r="AA30" s="3349" t="s">
        <v>2793</v>
      </c>
      <c r="AB30" s="3349" t="s">
        <v>1469</v>
      </c>
      <c r="AC30" s="3349"/>
      <c r="AD30" s="3349" t="s">
        <v>2810</v>
      </c>
      <c r="AG30" t="s">
        <v>2738</v>
      </c>
      <c r="AH30" t="s">
        <v>1212</v>
      </c>
      <c r="AI30" t="s">
        <v>851</v>
      </c>
      <c r="AK30" t="s">
        <v>2736</v>
      </c>
      <c r="AN30" t="s">
        <v>2738</v>
      </c>
      <c r="AO30" t="s">
        <v>1212</v>
      </c>
      <c r="AP30" t="s">
        <v>851</v>
      </c>
      <c r="AR30" t="s">
        <v>2736</v>
      </c>
    </row>
    <row r="31" spans="1:44">
      <c r="A31" s="3337" t="s">
        <v>2786</v>
      </c>
      <c r="B31" s="3351"/>
      <c r="C31" s="3352"/>
      <c r="D31" s="3352"/>
      <c r="E31" s="3352">
        <f>ROUND(AVERAGEIF(E32:E52,"&lt;&gt;0"),2)</f>
        <v>0.09</v>
      </c>
      <c r="F31" s="3352">
        <f>ROUND(AVERAGEIF(F32:F52,"&lt;&gt;0"),2)</f>
        <v>0.01</v>
      </c>
      <c r="G31" s="3352">
        <f>ROUND(AVERAGEIF(G32:G52,"&lt;&gt;0"),2)</f>
        <v>0.24</v>
      </c>
      <c r="H31" s="3352"/>
      <c r="I31" s="3352">
        <f>F31</f>
        <v>0.01</v>
      </c>
      <c r="J31" s="3353"/>
      <c r="K31" s="3354"/>
      <c r="L31" s="3355">
        <f>ROUND(AVERAGEIF(L32:L52,"&lt;&gt;0"),4)</f>
        <v>8.9999999999999998E-4</v>
      </c>
      <c r="M31" s="3355">
        <f>ROUND(AVERAGEIF(M32:M52,"&lt;&gt;0"),4)</f>
        <v>1E-4</v>
      </c>
      <c r="N31" s="3355">
        <f>ROUND(AVERAGEIF(N32:N52,"&lt;&gt;0"),4)</f>
        <v>2.3999999999999998E-3</v>
      </c>
      <c r="O31" s="3355"/>
      <c r="P31" s="3355">
        <f>M31</f>
        <v>1E-4</v>
      </c>
      <c r="Q31" s="3353"/>
      <c r="R31" s="3370"/>
      <c r="S31" s="3371">
        <f>ROUND(SUMPRODUCT(PRODUCT(1+L32:L52)),4)</f>
        <v>1.0153000000000001</v>
      </c>
      <c r="T31" s="3371">
        <f>ROUND(SUMPRODUCT(PRODUCT(1+M32:M52)),4)</f>
        <v>1.0016</v>
      </c>
      <c r="U31" s="3371">
        <f>ROUND(SUMPRODUCT(PRODUCT(1+N32:N52)),4)</f>
        <v>1.044</v>
      </c>
      <c r="V31" s="3371"/>
      <c r="W31" s="3370">
        <f>T31</f>
        <v>1.0016</v>
      </c>
      <c r="X31" s="3353"/>
      <c r="Y31" s="3378"/>
      <c r="Z31" s="3379">
        <f>ROUND(AVERAGEIF(Z32:Z52,"&lt;&gt;0"),4)</f>
        <v>3.5000000000000001E-3</v>
      </c>
      <c r="AA31" s="3380">
        <f>ROUND(AVERAGEIF(AA32:AA52,"&lt;&gt;0"),4)</f>
        <v>2.8E-3</v>
      </c>
      <c r="AB31" s="3378">
        <f>ROUND(AVERAGEIF(AB32:AB52,"&lt;&gt;0"),4)</f>
        <v>6.6E-3</v>
      </c>
      <c r="AC31" s="3381"/>
      <c r="AD31" s="3378">
        <f>AA31</f>
        <v>2.8E-3</v>
      </c>
    </row>
    <row r="32" spans="1:44">
      <c r="A32" s="3338"/>
      <c r="B32" s="3356"/>
      <c r="C32" s="3357"/>
      <c r="D32" s="3357"/>
      <c r="E32" s="3357"/>
      <c r="F32" s="3357"/>
      <c r="G32" s="3357"/>
      <c r="H32" s="3357"/>
      <c r="I32" s="3357"/>
      <c r="J32" s="3345"/>
      <c r="K32" s="3358"/>
      <c r="L32" s="3359"/>
      <c r="M32" s="3359"/>
      <c r="N32" s="3359"/>
      <c r="O32" s="3359"/>
      <c r="P32" s="3359"/>
      <c r="Q32" s="3345"/>
      <c r="R32" s="3372"/>
      <c r="S32" s="3373"/>
      <c r="T32" s="3374"/>
      <c r="U32" s="3372"/>
      <c r="V32" s="3375"/>
      <c r="W32" s="3372"/>
      <c r="X32" s="3345"/>
      <c r="Y32" s="3362"/>
      <c r="Z32" s="3382"/>
      <c r="AA32" s="3383"/>
      <c r="AB32" s="3362"/>
      <c r="AC32" s="3384"/>
      <c r="AD32" s="3362"/>
    </row>
    <row r="33" spans="1:44">
      <c r="A33" s="3658" t="s">
        <v>3312</v>
      </c>
      <c r="B33" s="3398">
        <v>2025</v>
      </c>
      <c r="C33" s="3399">
        <v>4</v>
      </c>
      <c r="D33" s="3399"/>
      <c r="E33" s="3399">
        <v>0</v>
      </c>
      <c r="F33" s="3399">
        <v>0</v>
      </c>
      <c r="G33" s="3399">
        <v>0</v>
      </c>
      <c r="H33" s="3399"/>
      <c r="I33" s="3400">
        <f t="shared" ref="I33" si="138">F33</f>
        <v>0</v>
      </c>
      <c r="J33" s="3360"/>
      <c r="K33" s="3361"/>
      <c r="L33" s="3362">
        <f t="shared" ref="L33" si="139">E33/100</f>
        <v>0</v>
      </c>
      <c r="M33" s="3362">
        <f t="shared" ref="M33" si="140">F33/100</f>
        <v>0</v>
      </c>
      <c r="N33" s="3362">
        <f t="shared" ref="N33" si="141">G33/100</f>
        <v>0</v>
      </c>
      <c r="O33" s="3362"/>
      <c r="P33" s="3362">
        <f t="shared" ref="P33:P39" si="142">M33</f>
        <v>0</v>
      </c>
      <c r="Q33" s="3360"/>
      <c r="R33" s="3376"/>
      <c r="S33" s="3376">
        <f>ROUND(IF(项目基本情况!$B$8="出让",SUMPRODUCT(PRODUCT(1+L33:L$52)),SUMPRODUCT(PRODUCT(1+L33:L$51))),4)</f>
        <v>1.0118</v>
      </c>
      <c r="T33" s="3376">
        <f>ROUND(IF(项目基本情况!$B$8="出让",SUMPRODUCT(PRODUCT(1+M33:M$52)),SUMPRODUCT(PRODUCT(1+M33:M$51))),4)</f>
        <v>0.99680000000000002</v>
      </c>
      <c r="U33" s="3376">
        <f>ROUND(IF(项目基本情况!$B$8="出让",SUMPRODUCT(PRODUCT(1+N33:N$52)),SUMPRODUCT(PRODUCT(1+N33:N$51))),4)</f>
        <v>1.0338000000000001</v>
      </c>
      <c r="V33" s="3376"/>
      <c r="W33" s="3376">
        <f t="shared" ref="W33:W39" si="143">T33</f>
        <v>0.99680000000000002</v>
      </c>
      <c r="X33" s="3360"/>
      <c r="Y33" s="3385"/>
      <c r="Z33" s="3386">
        <f t="shared" ref="Z33" si="144">IF(E33=0,0,ROUND(AVERAGE(E33:E46)/100,4))</f>
        <v>0</v>
      </c>
      <c r="AA33" s="3386">
        <f t="shared" ref="AA33" si="145">IF(F33=0,0,ROUND(AVERAGE(F33:F46)/100,4))</f>
        <v>0</v>
      </c>
      <c r="AB33" s="3386">
        <f t="shared" ref="AB33" si="146">IF(G33=0,0,ROUND(AVERAGE(G33:G46)/100,4))</f>
        <v>0</v>
      </c>
      <c r="AC33" s="3387"/>
      <c r="AD33" s="3385">
        <f t="shared" ref="AD33:AD39" si="147">IF(I33=0,0,ROUND(AVERAGE(I33:I46)/100,4))</f>
        <v>0</v>
      </c>
      <c r="AG33" s="3675">
        <f t="shared" ref="AG33:AG36" si="148">$AG$52*S33</f>
        <v>101.18</v>
      </c>
      <c r="AH33" s="3675">
        <f t="shared" ref="AH33:AH36" si="149">$AH$52*T33</f>
        <v>99.68</v>
      </c>
      <c r="AI33" s="3675">
        <f t="shared" ref="AI33:AI36" si="150">$AI$52*U33</f>
        <v>103.38000000000001</v>
      </c>
      <c r="AJ33" s="3675"/>
      <c r="AK33" s="3675">
        <f t="shared" ref="AK33:AK36" si="151">$AK$52*W33</f>
        <v>99.68</v>
      </c>
      <c r="AN33" s="3674">
        <v>100</v>
      </c>
      <c r="AO33" s="3674">
        <v>100</v>
      </c>
      <c r="AP33" s="3674">
        <v>100</v>
      </c>
      <c r="AQ33" s="3674"/>
      <c r="AR33" s="3674">
        <v>100</v>
      </c>
    </row>
    <row r="34" spans="1:44">
      <c r="A34" s="3658" t="s">
        <v>3311</v>
      </c>
      <c r="B34" s="3398">
        <v>2025</v>
      </c>
      <c r="C34" s="3399">
        <v>3</v>
      </c>
      <c r="D34" s="3399"/>
      <c r="E34" s="3399">
        <v>0</v>
      </c>
      <c r="F34" s="3399">
        <v>0</v>
      </c>
      <c r="G34" s="3399">
        <v>0</v>
      </c>
      <c r="H34" s="3399"/>
      <c r="I34" s="3400">
        <f t="shared" ref="I34" si="152">F34</f>
        <v>0</v>
      </c>
      <c r="J34" s="3360"/>
      <c r="K34" s="3361"/>
      <c r="L34" s="3362">
        <f t="shared" ref="L34" si="153">E34/100</f>
        <v>0</v>
      </c>
      <c r="M34" s="3362">
        <f t="shared" ref="M34" si="154">F34/100</f>
        <v>0</v>
      </c>
      <c r="N34" s="3362">
        <f t="shared" ref="N34" si="155">G34/100</f>
        <v>0</v>
      </c>
      <c r="O34" s="3362"/>
      <c r="P34" s="3362">
        <f t="shared" si="142"/>
        <v>0</v>
      </c>
      <c r="Q34" s="3360"/>
      <c r="R34" s="3376"/>
      <c r="S34" s="3376">
        <f>ROUND(IF(项目基本情况!$B$8="出让",SUMPRODUCT(PRODUCT(1+L34:L$52)),SUMPRODUCT(PRODUCT(1+L34:L$51))),4)</f>
        <v>1.0118</v>
      </c>
      <c r="T34" s="3376">
        <f>ROUND(IF(项目基本情况!$B$8="出让",SUMPRODUCT(PRODUCT(1+M34:M$52)),SUMPRODUCT(PRODUCT(1+M34:M$51))),4)</f>
        <v>0.99680000000000002</v>
      </c>
      <c r="U34" s="3376">
        <f>ROUND(IF(项目基本情况!$B$8="出让",SUMPRODUCT(PRODUCT(1+N34:N$52)),SUMPRODUCT(PRODUCT(1+N34:N$51))),4)</f>
        <v>1.0338000000000001</v>
      </c>
      <c r="V34" s="3376"/>
      <c r="W34" s="3376">
        <f t="shared" si="143"/>
        <v>0.99680000000000002</v>
      </c>
      <c r="X34" s="3360"/>
      <c r="Y34" s="3385"/>
      <c r="Z34" s="3386">
        <f t="shared" ref="Z34" si="156">IF(E34=0,0,ROUND(AVERAGE(E34:E47)/100,4))</f>
        <v>0</v>
      </c>
      <c r="AA34" s="3386">
        <f t="shared" ref="AA34" si="157">IF(F34=0,0,ROUND(AVERAGE(F34:F47)/100,4))</f>
        <v>0</v>
      </c>
      <c r="AB34" s="3386">
        <f t="shared" ref="AB34" si="158">IF(G34=0,0,ROUND(AVERAGE(G34:G47)/100,4))</f>
        <v>0</v>
      </c>
      <c r="AC34" s="3387"/>
      <c r="AD34" s="3385">
        <f t="shared" si="147"/>
        <v>0</v>
      </c>
      <c r="AG34" s="3675">
        <f t="shared" si="148"/>
        <v>101.18</v>
      </c>
      <c r="AH34" s="3675">
        <f t="shared" si="149"/>
        <v>99.68</v>
      </c>
      <c r="AI34" s="3675">
        <f t="shared" si="150"/>
        <v>103.38000000000001</v>
      </c>
      <c r="AJ34" s="3675"/>
      <c r="AK34" s="3675">
        <f t="shared" si="151"/>
        <v>99.68</v>
      </c>
      <c r="AN34" s="3675">
        <f>AN33/(1+E33/100)</f>
        <v>100</v>
      </c>
      <c r="AO34" s="3675">
        <f t="shared" ref="AO34:AR34" si="159">AO33/(1+F33/100)</f>
        <v>100</v>
      </c>
      <c r="AP34" s="3675">
        <f t="shared" si="159"/>
        <v>100</v>
      </c>
      <c r="AQ34" s="3675"/>
      <c r="AR34" s="3675">
        <f t="shared" si="159"/>
        <v>100</v>
      </c>
    </row>
    <row r="35" spans="1:44">
      <c r="A35" s="3340" t="s">
        <v>3315</v>
      </c>
      <c r="B35" s="3401">
        <v>2025</v>
      </c>
      <c r="C35" s="3402">
        <v>2</v>
      </c>
      <c r="D35" s="3402"/>
      <c r="E35" s="3402">
        <v>-0.31</v>
      </c>
      <c r="F35" s="3402">
        <v>-1.03</v>
      </c>
      <c r="G35" s="3402">
        <v>0.03</v>
      </c>
      <c r="H35" s="3403"/>
      <c r="I35" s="3404">
        <f t="shared" ref="I35" si="160">F35</f>
        <v>-1.03</v>
      </c>
      <c r="J35" s="3363"/>
      <c r="K35" s="3364"/>
      <c r="L35" s="3365">
        <f t="shared" ref="L35" si="161">E35/100</f>
        <v>-3.0999999999999999E-3</v>
      </c>
      <c r="M35" s="3365">
        <f t="shared" ref="M35" si="162">F35/100</f>
        <v>-1.03E-2</v>
      </c>
      <c r="N35" s="3365">
        <f t="shared" ref="N35" si="163">G35/100</f>
        <v>2.9999999999999997E-4</v>
      </c>
      <c r="O35" s="3365"/>
      <c r="P35" s="3365">
        <f t="shared" si="142"/>
        <v>-1.03E-2</v>
      </c>
      <c r="Q35" s="3363"/>
      <c r="R35" s="3363"/>
      <c r="S35" s="3363">
        <f>ROUND(IF(项目基本情况!$B$8="出让",SUMPRODUCT(PRODUCT(1+L35:L$52)),SUMPRODUCT(PRODUCT(1+L35:L$51))),4)</f>
        <v>1.0118</v>
      </c>
      <c r="T35" s="3363">
        <f>ROUND(IF(项目基本情况!$B$8="出让",SUMPRODUCT(PRODUCT(1+M35:M$52)),SUMPRODUCT(PRODUCT(1+M35:M$51))),4)</f>
        <v>0.99680000000000002</v>
      </c>
      <c r="U35" s="3363">
        <f>ROUND(IF(项目基本情况!$B$8="出让",SUMPRODUCT(PRODUCT(1+N35:N$52)),SUMPRODUCT(PRODUCT(1+N35:N$51))),4)</f>
        <v>1.0338000000000001</v>
      </c>
      <c r="V35" s="3363"/>
      <c r="W35" s="3363">
        <f t="shared" si="143"/>
        <v>0.99680000000000002</v>
      </c>
      <c r="X35" s="3360"/>
      <c r="Y35" s="3385"/>
      <c r="Z35" s="3386">
        <f t="shared" ref="Z35" si="164">IF(E35=0,0,ROUND(AVERAGE(E35:E48)/100,4))</f>
        <v>-2.9999999999999997E-4</v>
      </c>
      <c r="AA35" s="3386">
        <f t="shared" ref="AA35" si="165">IF(F35=0,0,ROUND(AVERAGE(F35:F48)/100,4))</f>
        <v>-8.0000000000000004E-4</v>
      </c>
      <c r="AB35" s="3386">
        <f t="shared" ref="AB35" si="166">IF(G35=0,0,ROUND(AVERAGE(G35:G48)/100,4))</f>
        <v>5.0000000000000001E-4</v>
      </c>
      <c r="AC35" s="3387"/>
      <c r="AD35" s="3385">
        <f t="shared" si="147"/>
        <v>-8.0000000000000004E-4</v>
      </c>
      <c r="AG35" s="3675">
        <f t="shared" si="148"/>
        <v>101.18</v>
      </c>
      <c r="AH35" s="3675">
        <f t="shared" si="149"/>
        <v>99.68</v>
      </c>
      <c r="AI35" s="3675">
        <f t="shared" si="150"/>
        <v>103.38000000000001</v>
      </c>
      <c r="AJ35" s="3675"/>
      <c r="AK35" s="3675">
        <f t="shared" si="151"/>
        <v>99.68</v>
      </c>
      <c r="AN35" s="3675">
        <f t="shared" ref="AN35:AN52" si="167">AN34/(1+E34/100)</f>
        <v>100</v>
      </c>
      <c r="AO35" s="3675">
        <f t="shared" ref="AO35:AO52" si="168">AO34/(1+F34/100)</f>
        <v>100</v>
      </c>
      <c r="AP35" s="3675">
        <f t="shared" ref="AP35:AP52" si="169">AP34/(1+G34/100)</f>
        <v>100</v>
      </c>
      <c r="AQ35" s="3675"/>
      <c r="AR35" s="3675">
        <f t="shared" ref="AR35:AR52" si="170">AR34/(1+I34/100)</f>
        <v>100</v>
      </c>
    </row>
    <row r="36" spans="1:44">
      <c r="A36" s="3658" t="s">
        <v>3259</v>
      </c>
      <c r="B36" s="3398">
        <v>2025</v>
      </c>
      <c r="C36" s="3399">
        <v>1</v>
      </c>
      <c r="D36" s="3399"/>
      <c r="E36" s="3399">
        <v>-1.47</v>
      </c>
      <c r="F36" s="3399">
        <v>-0.98</v>
      </c>
      <c r="G36" s="3399">
        <v>-0.51</v>
      </c>
      <c r="H36" s="3399"/>
      <c r="I36" s="3400">
        <f t="shared" ref="I36" si="171">F36</f>
        <v>-0.98</v>
      </c>
      <c r="J36" s="3360"/>
      <c r="K36" s="3361"/>
      <c r="L36" s="3362">
        <f t="shared" ref="L36" si="172">E36/100</f>
        <v>-1.47E-2</v>
      </c>
      <c r="M36" s="3362">
        <f t="shared" ref="M36" si="173">F36/100</f>
        <v>-9.7999999999999997E-3</v>
      </c>
      <c r="N36" s="3362">
        <f t="shared" ref="N36" si="174">G36/100</f>
        <v>-5.1000000000000004E-3</v>
      </c>
      <c r="O36" s="3362"/>
      <c r="P36" s="3362">
        <f t="shared" si="142"/>
        <v>-9.7999999999999997E-3</v>
      </c>
      <c r="Q36" s="3360"/>
      <c r="R36" s="3376"/>
      <c r="S36" s="3376">
        <f>ROUND(IF(项目基本情况!$B$8="出让",SUMPRODUCT(PRODUCT(1+L36:L$52)),SUMPRODUCT(PRODUCT(1+L36:L$51))),4)</f>
        <v>1.0148999999999999</v>
      </c>
      <c r="T36" s="3376">
        <f>ROUND(IF(项目基本情况!$B$8="出让",SUMPRODUCT(PRODUCT(1+M36:M$52)),SUMPRODUCT(PRODUCT(1+M36:M$51))),4)</f>
        <v>1.0072000000000001</v>
      </c>
      <c r="U36" s="3376">
        <f>ROUND(IF(项目基本情况!$B$8="出让",SUMPRODUCT(PRODUCT(1+N36:N$52)),SUMPRODUCT(PRODUCT(1+N36:N$51))),4)</f>
        <v>1.0335000000000001</v>
      </c>
      <c r="V36" s="3376"/>
      <c r="W36" s="3376">
        <f t="shared" si="143"/>
        <v>1.0072000000000001</v>
      </c>
      <c r="X36" s="3360"/>
      <c r="Y36" s="3385"/>
      <c r="Z36" s="3386">
        <f t="shared" ref="Z36" si="175">IF(E36=0,0,ROUND(AVERAGE(E36:E49)/100,4))</f>
        <v>4.0000000000000002E-4</v>
      </c>
      <c r="AA36" s="3386">
        <f t="shared" ref="AA36" si="176">IF(F36=0,0,ROUND(AVERAGE(F36:F49)/100,4))</f>
        <v>0</v>
      </c>
      <c r="AB36" s="3386">
        <f t="shared" ref="AB36" si="177">IF(G36=0,0,ROUND(AVERAGE(G36:G49)/100,4))</f>
        <v>1E-3</v>
      </c>
      <c r="AC36" s="3387"/>
      <c r="AD36" s="3385">
        <f t="shared" si="147"/>
        <v>0</v>
      </c>
      <c r="AG36" s="3675">
        <f t="shared" si="148"/>
        <v>101.49</v>
      </c>
      <c r="AH36" s="3675">
        <f t="shared" si="149"/>
        <v>100.72000000000001</v>
      </c>
      <c r="AI36" s="3675">
        <f t="shared" si="150"/>
        <v>103.35000000000001</v>
      </c>
      <c r="AJ36" s="3675"/>
      <c r="AK36" s="3675">
        <f t="shared" si="151"/>
        <v>100.72000000000001</v>
      </c>
      <c r="AN36" s="3675">
        <f t="shared" si="167"/>
        <v>100.31096398836392</v>
      </c>
      <c r="AO36" s="3675">
        <f t="shared" si="168"/>
        <v>101.04071940992219</v>
      </c>
      <c r="AP36" s="3675">
        <f t="shared" si="169"/>
        <v>99.970008997300809</v>
      </c>
      <c r="AQ36" s="3675"/>
      <c r="AR36" s="3675">
        <f t="shared" si="170"/>
        <v>101.04071940992219</v>
      </c>
    </row>
    <row r="37" spans="1:44">
      <c r="A37" s="3658" t="s">
        <v>3314</v>
      </c>
      <c r="B37" s="3398">
        <v>2024</v>
      </c>
      <c r="C37" s="3399">
        <v>4</v>
      </c>
      <c r="D37" s="3399"/>
      <c r="E37" s="3399">
        <v>-0.61</v>
      </c>
      <c r="F37" s="3399">
        <v>-0.71</v>
      </c>
      <c r="G37" s="3399">
        <v>-0.88</v>
      </c>
      <c r="H37" s="3399"/>
      <c r="I37" s="3400">
        <f t="shared" ref="I37" si="178">F37</f>
        <v>-0.71</v>
      </c>
      <c r="J37" s="3360"/>
      <c r="K37" s="3361"/>
      <c r="L37" s="3362">
        <f t="shared" ref="L37" si="179">E37/100</f>
        <v>-6.0999999999999995E-3</v>
      </c>
      <c r="M37" s="3362">
        <f t="shared" ref="M37" si="180">F37/100</f>
        <v>-7.0999999999999995E-3</v>
      </c>
      <c r="N37" s="3362">
        <f t="shared" ref="N37" si="181">G37/100</f>
        <v>-8.8000000000000005E-3</v>
      </c>
      <c r="O37" s="3362"/>
      <c r="P37" s="3362">
        <f t="shared" si="142"/>
        <v>-7.0999999999999995E-3</v>
      </c>
      <c r="Q37" s="3360"/>
      <c r="R37" s="3376"/>
      <c r="S37" s="3376">
        <f>ROUND(IF(项目基本情况!$B$8="出让",SUMPRODUCT(PRODUCT(1+L37:L$52)),SUMPRODUCT(PRODUCT(1+L37:L$51))),4)</f>
        <v>1.0301</v>
      </c>
      <c r="T37" s="3376">
        <f>ROUND(IF(项目基本情况!$B$8="出让",SUMPRODUCT(PRODUCT(1+M37:M$52)),SUMPRODUCT(PRODUCT(1+M37:M$51))),4)</f>
        <v>1.0170999999999999</v>
      </c>
      <c r="U37" s="3376">
        <f>ROUND(IF(项目基本情况!$B$8="出让",SUMPRODUCT(PRODUCT(1+N37:N$52)),SUMPRODUCT(PRODUCT(1+N37:N$51))),4)</f>
        <v>1.0387999999999999</v>
      </c>
      <c r="V37" s="3376"/>
      <c r="W37" s="3376">
        <f t="shared" si="143"/>
        <v>1.0170999999999999</v>
      </c>
      <c r="X37" s="3363"/>
      <c r="Y37" s="3365"/>
      <c r="Z37" s="3389">
        <f t="shared" ref="Z37" si="182">IF(E37=0,0,ROUND(AVERAGE(E37:E50)/100,4))</f>
        <v>1.6999999999999999E-3</v>
      </c>
      <c r="AA37" s="3390">
        <f t="shared" ref="AA37" si="183">IF(F37=0,0,ROUND(AVERAGE(F37:F50)/100,4))</f>
        <v>8.9999999999999998E-4</v>
      </c>
      <c r="AB37" s="3365">
        <f t="shared" ref="AB37" si="184">IF(G37=0,0,ROUND(AVERAGE(G37:G50)/100,4))</f>
        <v>2E-3</v>
      </c>
      <c r="AC37" s="3391"/>
      <c r="AD37" s="3365">
        <f t="shared" si="147"/>
        <v>8.9999999999999998E-4</v>
      </c>
      <c r="AG37" s="3675">
        <f t="shared" ref="AG37:AG51" si="185">$AG$52*S37</f>
        <v>103.01</v>
      </c>
      <c r="AH37" s="3675">
        <f t="shared" ref="AH37:AH51" si="186">$AH$52*T37</f>
        <v>101.71</v>
      </c>
      <c r="AI37" s="3675">
        <f t="shared" ref="AI37:AI51" si="187">$AI$52*U37</f>
        <v>103.88</v>
      </c>
      <c r="AJ37" s="3675"/>
      <c r="AK37" s="3675">
        <f t="shared" ref="AK37:AK51" si="188">$AK$52*W37</f>
        <v>101.71</v>
      </c>
      <c r="AN37" s="3675">
        <f t="shared" si="167"/>
        <v>101.80753474917682</v>
      </c>
      <c r="AO37" s="3675">
        <f t="shared" si="168"/>
        <v>102.04071845073943</v>
      </c>
      <c r="AP37" s="3675">
        <f t="shared" si="169"/>
        <v>100.48246959222114</v>
      </c>
      <c r="AQ37" s="3675"/>
      <c r="AR37" s="3675">
        <f t="shared" si="170"/>
        <v>102.04071845073943</v>
      </c>
    </row>
    <row r="38" spans="1:44">
      <c r="A38" s="3658" t="s">
        <v>3256</v>
      </c>
      <c r="B38" s="3398">
        <v>2024</v>
      </c>
      <c r="C38" s="3399">
        <v>3</v>
      </c>
      <c r="D38" s="3399"/>
      <c r="E38" s="3399">
        <v>-0.66</v>
      </c>
      <c r="F38" s="3399">
        <v>-0.52</v>
      </c>
      <c r="G38" s="3399">
        <v>-2.87</v>
      </c>
      <c r="H38" s="3399"/>
      <c r="I38" s="3400">
        <f t="shared" ref="I38" si="189">F38</f>
        <v>-0.52</v>
      </c>
      <c r="J38" s="3360"/>
      <c r="K38" s="3361"/>
      <c r="L38" s="3362">
        <f t="shared" ref="L38" si="190">E38/100</f>
        <v>-6.6E-3</v>
      </c>
      <c r="M38" s="3362">
        <f t="shared" ref="M38" si="191">F38/100</f>
        <v>-5.1999999999999998E-3</v>
      </c>
      <c r="N38" s="3362">
        <f t="shared" ref="N38" si="192">G38/100</f>
        <v>-2.87E-2</v>
      </c>
      <c r="O38" s="3362"/>
      <c r="P38" s="3362">
        <f t="shared" si="142"/>
        <v>-5.1999999999999998E-3</v>
      </c>
      <c r="Q38" s="3360"/>
      <c r="R38" s="3376"/>
      <c r="S38" s="3376">
        <f>ROUND(IF(项目基本情况!$B$8="出让",SUMPRODUCT(PRODUCT(1+L38:L$52)),SUMPRODUCT(PRODUCT(1+L38:L$51))),4)</f>
        <v>1.0364</v>
      </c>
      <c r="T38" s="3376">
        <f>ROUND(IF(项目基本情况!$B$8="出让",SUMPRODUCT(PRODUCT(1+M38:M$52)),SUMPRODUCT(PRODUCT(1+M38:M$51))),4)</f>
        <v>1.0244</v>
      </c>
      <c r="U38" s="3376">
        <f>ROUND(IF(项目基本情况!$B$8="出让",SUMPRODUCT(PRODUCT(1+N38:N$52)),SUMPRODUCT(PRODUCT(1+N38:N$51))),4)</f>
        <v>1.048</v>
      </c>
      <c r="V38" s="3376"/>
      <c r="W38" s="3376">
        <f t="shared" si="143"/>
        <v>1.0244</v>
      </c>
      <c r="X38" s="3360"/>
      <c r="Y38" s="3385"/>
      <c r="Z38" s="3386">
        <f t="shared" ref="Z38:AB39" si="193">IF(E38=0,0,ROUND(AVERAGE(E38:E51)/100,4))</f>
        <v>2.5999999999999999E-3</v>
      </c>
      <c r="AA38" s="3386">
        <f t="shared" si="193"/>
        <v>1.6999999999999999E-3</v>
      </c>
      <c r="AB38" s="3386">
        <f t="shared" si="193"/>
        <v>3.3999999999999998E-3</v>
      </c>
      <c r="AC38" s="3387"/>
      <c r="AD38" s="3385">
        <f t="shared" si="147"/>
        <v>1.6999999999999999E-3</v>
      </c>
      <c r="AG38" s="3675">
        <f t="shared" si="185"/>
        <v>103.64</v>
      </c>
      <c r="AH38" s="3675">
        <f t="shared" si="186"/>
        <v>102.44</v>
      </c>
      <c r="AI38" s="3675">
        <f t="shared" si="187"/>
        <v>104.80000000000001</v>
      </c>
      <c r="AJ38" s="3675"/>
      <c r="AK38" s="3675">
        <f t="shared" si="188"/>
        <v>102.44</v>
      </c>
      <c r="AN38" s="3675">
        <f t="shared" si="167"/>
        <v>102.4323722197171</v>
      </c>
      <c r="AO38" s="3675">
        <f t="shared" si="168"/>
        <v>102.7703882070092</v>
      </c>
      <c r="AP38" s="3675">
        <f t="shared" si="169"/>
        <v>101.37456577100599</v>
      </c>
      <c r="AQ38" s="3675"/>
      <c r="AR38" s="3675">
        <f t="shared" si="170"/>
        <v>102.7703882070092</v>
      </c>
    </row>
    <row r="39" spans="1:44">
      <c r="A39" s="3339" t="s">
        <v>3261</v>
      </c>
      <c r="B39" s="3398">
        <v>2024</v>
      </c>
      <c r="C39" s="3399">
        <v>2</v>
      </c>
      <c r="D39" s="3399"/>
      <c r="E39" s="3399">
        <v>-0.31</v>
      </c>
      <c r="F39" s="3399">
        <v>-0.39</v>
      </c>
      <c r="G39" s="3399">
        <v>1.23</v>
      </c>
      <c r="H39" s="3405"/>
      <c r="I39" s="3400">
        <f t="shared" ref="I39:I52" si="194">F39</f>
        <v>-0.39</v>
      </c>
      <c r="J39" s="3360"/>
      <c r="K39" s="3361"/>
      <c r="L39" s="3362">
        <f t="shared" ref="L39:N52" si="195">E39/100</f>
        <v>-3.0999999999999999E-3</v>
      </c>
      <c r="M39" s="3362">
        <f t="shared" si="195"/>
        <v>-3.9000000000000003E-3</v>
      </c>
      <c r="N39" s="3362">
        <f t="shared" si="195"/>
        <v>1.23E-2</v>
      </c>
      <c r="O39" s="3362"/>
      <c r="P39" s="3362">
        <f t="shared" si="142"/>
        <v>-3.9000000000000003E-3</v>
      </c>
      <c r="Q39" s="3360"/>
      <c r="R39" s="3376"/>
      <c r="S39" s="3376">
        <f>ROUND(IF(项目基本情况!$B$8="出让",SUMPRODUCT(PRODUCT(1+L39:L$52)),SUMPRODUCT(PRODUCT(1+L39:L$51))),4)</f>
        <v>1.0432999999999999</v>
      </c>
      <c r="T39" s="3376">
        <f>ROUND(IF(项目基本情况!$B$8="出让",SUMPRODUCT(PRODUCT(1+M39:M$52)),SUMPRODUCT(PRODUCT(1+M39:M$51))),4)</f>
        <v>1.0298</v>
      </c>
      <c r="U39" s="3376">
        <f>ROUND(IF(项目基本情况!$B$8="出让",SUMPRODUCT(PRODUCT(1+N39:N$52)),SUMPRODUCT(PRODUCT(1+N39:N$51))),4)</f>
        <v>1.079</v>
      </c>
      <c r="V39" s="3376"/>
      <c r="W39" s="3376">
        <f t="shared" si="143"/>
        <v>1.0298</v>
      </c>
      <c r="X39" s="3360"/>
      <c r="Y39" s="3385"/>
      <c r="Z39" s="3386">
        <f t="shared" si="193"/>
        <v>3.3E-3</v>
      </c>
      <c r="AA39" s="3388">
        <f t="shared" si="193"/>
        <v>2.3999999999999998E-3</v>
      </c>
      <c r="AB39" s="3385">
        <f t="shared" si="193"/>
        <v>6.1999999999999998E-3</v>
      </c>
      <c r="AC39" s="3387"/>
      <c r="AD39" s="3385">
        <f t="shared" si="147"/>
        <v>2.3999999999999998E-3</v>
      </c>
      <c r="AG39" s="3675">
        <f t="shared" si="185"/>
        <v>104.32999999999998</v>
      </c>
      <c r="AH39" s="3675">
        <f t="shared" si="186"/>
        <v>102.98</v>
      </c>
      <c r="AI39" s="3675">
        <f t="shared" si="187"/>
        <v>107.89999999999999</v>
      </c>
      <c r="AJ39" s="3675"/>
      <c r="AK39" s="3675">
        <f t="shared" si="188"/>
        <v>102.98</v>
      </c>
      <c r="AN39" s="3675">
        <f t="shared" si="167"/>
        <v>103.11291747505244</v>
      </c>
      <c r="AO39" s="3675">
        <f t="shared" si="168"/>
        <v>103.30758766285605</v>
      </c>
      <c r="AP39" s="3675">
        <f t="shared" si="169"/>
        <v>104.36998432101923</v>
      </c>
      <c r="AQ39" s="3675"/>
      <c r="AR39" s="3675">
        <f t="shared" si="170"/>
        <v>103.30758766285605</v>
      </c>
    </row>
    <row r="40" spans="1:44">
      <c r="A40" s="3339" t="s">
        <v>3258</v>
      </c>
      <c r="B40" s="3398">
        <v>2024</v>
      </c>
      <c r="C40" s="3399">
        <v>1</v>
      </c>
      <c r="D40" s="3399"/>
      <c r="E40" s="3399">
        <v>0.25</v>
      </c>
      <c r="F40" s="3399">
        <v>0.4</v>
      </c>
      <c r="G40" s="3399">
        <v>-0.63</v>
      </c>
      <c r="H40" s="3405"/>
      <c r="I40" s="3400">
        <f t="shared" si="194"/>
        <v>0.4</v>
      </c>
      <c r="J40" s="3360"/>
      <c r="K40" s="3361"/>
      <c r="L40" s="3362">
        <f t="shared" ref="L40" si="196">E40/100</f>
        <v>2.5000000000000001E-3</v>
      </c>
      <c r="M40" s="3362">
        <f t="shared" ref="M40" si="197">F40/100</f>
        <v>4.0000000000000001E-3</v>
      </c>
      <c r="N40" s="3362">
        <f t="shared" ref="N40" si="198">G40/100</f>
        <v>-6.3E-3</v>
      </c>
      <c r="O40" s="3362"/>
      <c r="P40" s="3362">
        <f t="shared" ref="P40" si="199">M40</f>
        <v>4.0000000000000001E-3</v>
      </c>
      <c r="Q40" s="3360"/>
      <c r="R40" s="3376"/>
      <c r="S40" s="3376">
        <f>ROUND(IF(项目基本情况!$B$8="出让",SUMPRODUCT(PRODUCT(1+L40:L$52)),SUMPRODUCT(PRODUCT(1+L40:L$51))),4)</f>
        <v>1.0465</v>
      </c>
      <c r="T40" s="3376">
        <f>ROUND(IF(项目基本情况!$B$8="出让",SUMPRODUCT(PRODUCT(1+M40:M$52)),SUMPRODUCT(PRODUCT(1+M40:M$51))),4)</f>
        <v>1.0338000000000001</v>
      </c>
      <c r="U40" s="3376">
        <f>ROUND(IF(项目基本情况!$B$8="出让",SUMPRODUCT(PRODUCT(1+N40:N$52)),SUMPRODUCT(PRODUCT(1+N40:N$51))),4)</f>
        <v>1.0659000000000001</v>
      </c>
      <c r="V40" s="3376"/>
      <c r="W40" s="3376">
        <f t="shared" ref="W40" si="200">T40</f>
        <v>1.0338000000000001</v>
      </c>
      <c r="X40" s="3360"/>
      <c r="Y40" s="3385"/>
      <c r="Z40" s="3386">
        <f t="shared" ref="Z40" si="201">IF(E40=0,0,ROUND(AVERAGE(E40:E51)/100,4))</f>
        <v>3.8E-3</v>
      </c>
      <c r="AA40" s="3388">
        <f t="shared" ref="AA40" si="202">IF(F40=0,0,ROUND(AVERAGE(F40:F51)/100,4))</f>
        <v>2.8E-3</v>
      </c>
      <c r="AB40" s="3385">
        <f t="shared" ref="AB40" si="203">IF(G40=0,0,ROUND(AVERAGE(G40:G51)/100,4))</f>
        <v>5.3E-3</v>
      </c>
      <c r="AC40" s="3387"/>
      <c r="AD40" s="3385">
        <f t="shared" ref="AD40" si="204">IF(I40=0,0,ROUND(AVERAGE(I40:I51)/100,4))</f>
        <v>2.8E-3</v>
      </c>
      <c r="AG40" s="3675">
        <f t="shared" si="185"/>
        <v>104.65</v>
      </c>
      <c r="AH40" s="3675">
        <f t="shared" si="186"/>
        <v>103.38000000000001</v>
      </c>
      <c r="AI40" s="3675">
        <f t="shared" si="187"/>
        <v>106.59</v>
      </c>
      <c r="AJ40" s="3675"/>
      <c r="AK40" s="3675">
        <f t="shared" si="188"/>
        <v>103.38000000000001</v>
      </c>
      <c r="AN40" s="3675">
        <f t="shared" si="167"/>
        <v>103.43356151575126</v>
      </c>
      <c r="AO40" s="3675">
        <f t="shared" si="168"/>
        <v>103.7120647152455</v>
      </c>
      <c r="AP40" s="3675">
        <f t="shared" si="169"/>
        <v>103.10183179000221</v>
      </c>
      <c r="AQ40" s="3675"/>
      <c r="AR40" s="3675">
        <f t="shared" si="170"/>
        <v>103.7120647152455</v>
      </c>
    </row>
    <row r="41" spans="1:44">
      <c r="A41" s="3339" t="s">
        <v>3254</v>
      </c>
      <c r="B41" s="3398">
        <v>2023</v>
      </c>
      <c r="C41" s="3399">
        <v>4</v>
      </c>
      <c r="D41" s="3399"/>
      <c r="E41" s="3399">
        <v>7.0000000000000007E-2</v>
      </c>
      <c r="F41" s="3399">
        <v>0.09</v>
      </c>
      <c r="G41" s="3399">
        <v>0.03</v>
      </c>
      <c r="H41" s="3405"/>
      <c r="I41" s="3400">
        <f t="shared" ref="I41" si="205">F41</f>
        <v>0.09</v>
      </c>
      <c r="J41" s="3360"/>
      <c r="K41" s="3361"/>
      <c r="L41" s="3362">
        <f t="shared" si="195"/>
        <v>7.000000000000001E-4</v>
      </c>
      <c r="M41" s="3362">
        <f t="shared" si="195"/>
        <v>8.9999999999999998E-4</v>
      </c>
      <c r="N41" s="3362">
        <f t="shared" si="195"/>
        <v>2.9999999999999997E-4</v>
      </c>
      <c r="O41" s="3362"/>
      <c r="P41" s="3362">
        <f t="shared" ref="P41" si="206">M41</f>
        <v>8.9999999999999998E-4</v>
      </c>
      <c r="Q41" s="3360"/>
      <c r="R41" s="3376"/>
      <c r="S41" s="3376">
        <f>ROUND(IF(项目基本情况!$B$8="出让",SUMPRODUCT(PRODUCT(1+L41:L$52)),SUMPRODUCT(PRODUCT(1+L41:L$51))),4)</f>
        <v>1.0439000000000001</v>
      </c>
      <c r="T41" s="3376">
        <f>ROUND(IF(项目基本情况!$B$8="出让",SUMPRODUCT(PRODUCT(1+M41:M$52)),SUMPRODUCT(PRODUCT(1+M41:M$51))),4)</f>
        <v>1.0297000000000001</v>
      </c>
      <c r="U41" s="3376">
        <f>ROUND(IF(项目基本情况!$B$8="出让",SUMPRODUCT(PRODUCT(1+N41:N$52)),SUMPRODUCT(PRODUCT(1+N41:N$51))),4)</f>
        <v>1.0727</v>
      </c>
      <c r="V41" s="3376"/>
      <c r="W41" s="3376">
        <f t="shared" ref="W41" si="207">T41</f>
        <v>1.0297000000000001</v>
      </c>
      <c r="X41" s="3360"/>
      <c r="Y41" s="3385"/>
      <c r="Z41" s="3386">
        <f t="shared" ref="Z41" si="208">IF(E41=0,0,ROUND(AVERAGE(E41:E52)/100,4))</f>
        <v>3.8999999999999998E-3</v>
      </c>
      <c r="AA41" s="3388">
        <f t="shared" ref="AA41" si="209">IF(F41=0,0,ROUND(AVERAGE(F41:F52)/100,4))</f>
        <v>2.8E-3</v>
      </c>
      <c r="AB41" s="3385">
        <f t="shared" ref="AB41" si="210">IF(G41=0,0,ROUND(AVERAGE(G41:G52)/100,4))</f>
        <v>6.7000000000000002E-3</v>
      </c>
      <c r="AC41" s="3387"/>
      <c r="AD41" s="3385">
        <f t="shared" ref="AD41" si="211">IF(I41=0,0,ROUND(AVERAGE(I41:I52)/100,4))</f>
        <v>2.8E-3</v>
      </c>
      <c r="AG41" s="3675">
        <f t="shared" si="185"/>
        <v>104.39</v>
      </c>
      <c r="AH41" s="3675">
        <f t="shared" si="186"/>
        <v>102.97</v>
      </c>
      <c r="AI41" s="3675">
        <f t="shared" si="187"/>
        <v>107.27</v>
      </c>
      <c r="AJ41" s="3675"/>
      <c r="AK41" s="3675">
        <f t="shared" si="188"/>
        <v>102.97</v>
      </c>
      <c r="AN41" s="3675">
        <f t="shared" si="167"/>
        <v>103.17562245960227</v>
      </c>
      <c r="AO41" s="3675">
        <f t="shared" si="168"/>
        <v>103.29886923829234</v>
      </c>
      <c r="AP41" s="3675">
        <f t="shared" si="169"/>
        <v>103.75549138573231</v>
      </c>
      <c r="AQ41" s="3675"/>
      <c r="AR41" s="3675">
        <f t="shared" si="170"/>
        <v>103.29886923829234</v>
      </c>
    </row>
    <row r="42" spans="1:44">
      <c r="A42" s="3339" t="s">
        <v>3252</v>
      </c>
      <c r="B42" s="3398">
        <v>2023</v>
      </c>
      <c r="C42" s="3399">
        <v>3</v>
      </c>
      <c r="D42" s="3399"/>
      <c r="E42" s="3399">
        <v>0.35</v>
      </c>
      <c r="F42" s="3399">
        <v>0.17</v>
      </c>
      <c r="G42" s="3399">
        <v>0.52</v>
      </c>
      <c r="H42" s="3405"/>
      <c r="I42" s="3400">
        <f t="shared" si="194"/>
        <v>0.17</v>
      </c>
      <c r="J42" s="3360"/>
      <c r="K42" s="3361"/>
      <c r="L42" s="3362">
        <f t="shared" ref="L42:L44" si="212">E42/100</f>
        <v>3.4999999999999996E-3</v>
      </c>
      <c r="M42" s="3362">
        <f t="shared" ref="M42:M44" si="213">F42/100</f>
        <v>1.7000000000000001E-3</v>
      </c>
      <c r="N42" s="3362">
        <f t="shared" ref="N42:N44" si="214">G42/100</f>
        <v>5.1999999999999998E-3</v>
      </c>
      <c r="O42" s="3362"/>
      <c r="P42" s="3362">
        <f t="shared" ref="P42:P44" si="215">M42</f>
        <v>1.7000000000000001E-3</v>
      </c>
      <c r="Q42" s="3360"/>
      <c r="R42" s="3376"/>
      <c r="S42" s="3376">
        <f>ROUND(IF(项目基本情况!$B$8="出让",SUMPRODUCT(PRODUCT(1+L42:L$52)),SUMPRODUCT(PRODUCT(1+L42:L$51))),4)</f>
        <v>1.0431999999999999</v>
      </c>
      <c r="T42" s="3376">
        <f>ROUND(IF(项目基本情况!$B$8="出让",SUMPRODUCT(PRODUCT(1+M42:M$52)),SUMPRODUCT(PRODUCT(1+M42:M$51))),4)</f>
        <v>1.0286999999999999</v>
      </c>
      <c r="U42" s="3376">
        <f>ROUND(IF(项目基本情况!$B$8="出让",SUMPRODUCT(PRODUCT(1+N42:N$52)),SUMPRODUCT(PRODUCT(1+N42:N$51))),4)</f>
        <v>1.0723</v>
      </c>
      <c r="V42" s="3376"/>
      <c r="W42" s="3376">
        <f t="shared" ref="W42:W44" si="216">T42</f>
        <v>1.0286999999999999</v>
      </c>
      <c r="X42" s="3360"/>
      <c r="Y42" s="3385"/>
      <c r="Z42" s="3386">
        <f t="shared" ref="Z42:AB42" si="217">IF(E42=0,0,ROUND(AVERAGE(E42:E53)/100,4))</f>
        <v>4.1999999999999997E-3</v>
      </c>
      <c r="AA42" s="3388">
        <f t="shared" si="217"/>
        <v>3.0000000000000001E-3</v>
      </c>
      <c r="AB42" s="3385">
        <f t="shared" si="217"/>
        <v>7.3000000000000001E-3</v>
      </c>
      <c r="AC42" s="3387"/>
      <c r="AD42" s="3385">
        <f t="shared" ref="AD42:AD44" si="218">IF(I42=0,0,ROUND(AVERAGE(I42:I53)/100,4))</f>
        <v>3.0000000000000001E-3</v>
      </c>
      <c r="AG42" s="3675">
        <f t="shared" si="185"/>
        <v>104.32</v>
      </c>
      <c r="AH42" s="3675">
        <f t="shared" si="186"/>
        <v>102.86999999999999</v>
      </c>
      <c r="AI42" s="3675">
        <f t="shared" si="187"/>
        <v>107.23</v>
      </c>
      <c r="AJ42" s="3675"/>
      <c r="AK42" s="3675">
        <f t="shared" si="188"/>
        <v>102.86999999999999</v>
      </c>
      <c r="AN42" s="3675">
        <f t="shared" si="167"/>
        <v>103.10345004457108</v>
      </c>
      <c r="AO42" s="3675">
        <f t="shared" si="168"/>
        <v>103.20598385282482</v>
      </c>
      <c r="AP42" s="3675">
        <f t="shared" si="169"/>
        <v>103.72437407351026</v>
      </c>
      <c r="AQ42" s="3675"/>
      <c r="AR42" s="3675">
        <f t="shared" si="170"/>
        <v>103.20598385282482</v>
      </c>
    </row>
    <row r="43" spans="1:44">
      <c r="A43" s="3339" t="s">
        <v>3251</v>
      </c>
      <c r="B43" s="3398">
        <v>2023</v>
      </c>
      <c r="C43" s="3399">
        <v>2</v>
      </c>
      <c r="D43" s="3399"/>
      <c r="E43" s="3399">
        <v>0.5</v>
      </c>
      <c r="F43" s="3399">
        <v>0.45</v>
      </c>
      <c r="G43" s="3399">
        <v>0.89</v>
      </c>
      <c r="H43" s="3405"/>
      <c r="I43" s="3400">
        <f t="shared" si="194"/>
        <v>0.45</v>
      </c>
      <c r="J43" s="3360"/>
      <c r="K43" s="3361"/>
      <c r="L43" s="3362">
        <f t="shared" si="212"/>
        <v>5.0000000000000001E-3</v>
      </c>
      <c r="M43" s="3362">
        <f t="shared" si="213"/>
        <v>4.5000000000000005E-3</v>
      </c>
      <c r="N43" s="3362">
        <f t="shared" si="214"/>
        <v>8.8999999999999999E-3</v>
      </c>
      <c r="O43" s="3362"/>
      <c r="P43" s="3362">
        <f t="shared" si="215"/>
        <v>4.5000000000000005E-3</v>
      </c>
      <c r="Q43" s="3360"/>
      <c r="R43" s="3376"/>
      <c r="S43" s="3376">
        <f>ROUND(IF(项目基本情况!$B$8="出让",SUMPRODUCT(PRODUCT(1+L43:L$52)),SUMPRODUCT(PRODUCT(1+L43:L$51))),4)</f>
        <v>1.0396000000000001</v>
      </c>
      <c r="T43" s="3376">
        <f>ROUND(IF(项目基本情况!$B$8="出让",SUMPRODUCT(PRODUCT(1+M43:M$52)),SUMPRODUCT(PRODUCT(1+M43:M$51))),4)</f>
        <v>1.0269999999999999</v>
      </c>
      <c r="U43" s="3376">
        <f>ROUND(IF(项目基本情况!$B$8="出让",SUMPRODUCT(PRODUCT(1+N43:N$52)),SUMPRODUCT(PRODUCT(1+N43:N$51))),4)</f>
        <v>1.0668</v>
      </c>
      <c r="V43" s="3376"/>
      <c r="W43" s="3376">
        <f t="shared" si="216"/>
        <v>1.0269999999999999</v>
      </c>
      <c r="X43" s="3360"/>
      <c r="Y43" s="3385"/>
      <c r="Z43" s="3386">
        <f t="shared" ref="Z43:AB43" si="219">IF(E43=0,0,ROUND(AVERAGE(E43:E54)/100,4))</f>
        <v>4.1999999999999997E-3</v>
      </c>
      <c r="AA43" s="3388">
        <f t="shared" si="219"/>
        <v>3.2000000000000002E-3</v>
      </c>
      <c r="AB43" s="3385">
        <f t="shared" si="219"/>
        <v>7.4999999999999997E-3</v>
      </c>
      <c r="AC43" s="3387"/>
      <c r="AD43" s="3385">
        <f t="shared" si="218"/>
        <v>3.2000000000000002E-3</v>
      </c>
      <c r="AG43" s="3675">
        <f t="shared" si="185"/>
        <v>103.96000000000001</v>
      </c>
      <c r="AH43" s="3675">
        <f t="shared" si="186"/>
        <v>102.69999999999999</v>
      </c>
      <c r="AI43" s="3675">
        <f t="shared" si="187"/>
        <v>106.67999999999999</v>
      </c>
      <c r="AJ43" s="3675"/>
      <c r="AK43" s="3675">
        <f t="shared" si="188"/>
        <v>102.69999999999999</v>
      </c>
      <c r="AN43" s="3675">
        <f t="shared" si="167"/>
        <v>102.74384658153569</v>
      </c>
      <c r="AO43" s="3675">
        <f t="shared" si="168"/>
        <v>103.03083143937786</v>
      </c>
      <c r="AP43" s="3675">
        <f t="shared" si="169"/>
        <v>103.18779752637312</v>
      </c>
      <c r="AQ43" s="3675"/>
      <c r="AR43" s="3675">
        <f t="shared" si="170"/>
        <v>103.03083143937786</v>
      </c>
    </row>
    <row r="44" spans="1:44">
      <c r="A44" s="3339" t="s">
        <v>3249</v>
      </c>
      <c r="B44" s="3398">
        <v>2023</v>
      </c>
      <c r="C44" s="3399">
        <v>1</v>
      </c>
      <c r="D44" s="3399"/>
      <c r="E44" s="3399">
        <v>0.55000000000000004</v>
      </c>
      <c r="F44" s="3399">
        <v>0.59</v>
      </c>
      <c r="G44" s="3399">
        <v>0.64</v>
      </c>
      <c r="H44" s="3405"/>
      <c r="I44" s="3400">
        <f t="shared" si="194"/>
        <v>0.59</v>
      </c>
      <c r="J44" s="3360"/>
      <c r="K44" s="3361"/>
      <c r="L44" s="3362">
        <f t="shared" si="212"/>
        <v>5.5000000000000005E-3</v>
      </c>
      <c r="M44" s="3362">
        <f t="shared" si="213"/>
        <v>5.8999999999999999E-3</v>
      </c>
      <c r="N44" s="3362">
        <f t="shared" si="214"/>
        <v>6.4000000000000003E-3</v>
      </c>
      <c r="O44" s="3362"/>
      <c r="P44" s="3362">
        <f t="shared" si="215"/>
        <v>5.8999999999999999E-3</v>
      </c>
      <c r="Q44" s="3360"/>
      <c r="R44" s="3376"/>
      <c r="S44" s="3376">
        <f>ROUND(IF(项目基本情况!$B$8="出让",SUMPRODUCT(PRODUCT(1+L44:L$52)),SUMPRODUCT(PRODUCT(1+L44:L$51))),4)</f>
        <v>1.0344</v>
      </c>
      <c r="T44" s="3376">
        <f>ROUND(IF(项目基本情况!$B$8="出让",SUMPRODUCT(PRODUCT(1+M44:M$52)),SUMPRODUCT(PRODUCT(1+M44:M$51))),4)</f>
        <v>1.0224</v>
      </c>
      <c r="U44" s="3376">
        <f>ROUND(IF(项目基本情况!$B$8="出让",SUMPRODUCT(PRODUCT(1+N44:N$52)),SUMPRODUCT(PRODUCT(1+N44:N$51))),4)</f>
        <v>1.0573999999999999</v>
      </c>
      <c r="V44" s="3376"/>
      <c r="W44" s="3376">
        <f t="shared" si="216"/>
        <v>1.0224</v>
      </c>
      <c r="X44" s="3360"/>
      <c r="Y44" s="3385"/>
      <c r="Z44" s="3386">
        <f t="shared" ref="Z44:AB44" si="220">IF(E44=0,0,ROUND(AVERAGE(E44:E55)/100,4))</f>
        <v>4.1999999999999997E-3</v>
      </c>
      <c r="AA44" s="3388">
        <f t="shared" si="220"/>
        <v>3.0000000000000001E-3</v>
      </c>
      <c r="AB44" s="3385">
        <f t="shared" si="220"/>
        <v>7.3000000000000001E-3</v>
      </c>
      <c r="AC44" s="3387"/>
      <c r="AD44" s="3385">
        <f t="shared" si="218"/>
        <v>3.0000000000000001E-3</v>
      </c>
      <c r="AG44" s="3675">
        <f t="shared" si="185"/>
        <v>103.44</v>
      </c>
      <c r="AH44" s="3675">
        <f t="shared" si="186"/>
        <v>102.24</v>
      </c>
      <c r="AI44" s="3675">
        <f t="shared" si="187"/>
        <v>105.74</v>
      </c>
      <c r="AJ44" s="3675"/>
      <c r="AK44" s="3675">
        <f t="shared" si="188"/>
        <v>102.24</v>
      </c>
      <c r="AN44" s="3675">
        <f t="shared" si="167"/>
        <v>102.23268316570717</v>
      </c>
      <c r="AO44" s="3675">
        <f t="shared" si="168"/>
        <v>102.56926972561261</v>
      </c>
      <c r="AP44" s="3675">
        <f t="shared" si="169"/>
        <v>102.27752753134416</v>
      </c>
      <c r="AQ44" s="3675"/>
      <c r="AR44" s="3675">
        <f t="shared" si="170"/>
        <v>102.56926972561261</v>
      </c>
    </row>
    <row r="45" spans="1:44">
      <c r="A45" s="3339" t="s">
        <v>3247</v>
      </c>
      <c r="B45" s="3398">
        <v>2022</v>
      </c>
      <c r="C45" s="3399">
        <v>4</v>
      </c>
      <c r="D45" s="3399"/>
      <c r="E45" s="3399">
        <v>0.45</v>
      </c>
      <c r="F45" s="3399">
        <v>0.2</v>
      </c>
      <c r="G45" s="3399">
        <v>0.38</v>
      </c>
      <c r="H45" s="3405"/>
      <c r="I45" s="3400">
        <f t="shared" si="194"/>
        <v>0.2</v>
      </c>
      <c r="J45" s="3360"/>
      <c r="K45" s="3361"/>
      <c r="L45" s="3362">
        <f t="shared" si="195"/>
        <v>4.5000000000000005E-3</v>
      </c>
      <c r="M45" s="3362">
        <f t="shared" si="195"/>
        <v>2E-3</v>
      </c>
      <c r="N45" s="3362">
        <f t="shared" si="195"/>
        <v>3.8E-3</v>
      </c>
      <c r="O45" s="3362"/>
      <c r="P45" s="3362">
        <f t="shared" ref="P45:P52" si="221">M45</f>
        <v>2E-3</v>
      </c>
      <c r="Q45" s="3360"/>
      <c r="R45" s="3376"/>
      <c r="S45" s="3376">
        <f>ROUND(IF(项目基本情况!$B$8="出让",SUMPRODUCT(PRODUCT(1+L45:L$52)),SUMPRODUCT(PRODUCT(1+L45:L$51))),4)</f>
        <v>1.0286999999999999</v>
      </c>
      <c r="T45" s="3376">
        <f>ROUND(IF(项目基本情况!$B$8="出让",SUMPRODUCT(PRODUCT(1+M45:M$52)),SUMPRODUCT(PRODUCT(1+M45:M$51))),4)</f>
        <v>1.0164</v>
      </c>
      <c r="U45" s="3376">
        <f>ROUND(IF(项目基本情况!$B$8="出让",SUMPRODUCT(PRODUCT(1+N45:N$52)),SUMPRODUCT(PRODUCT(1+N45:N$51))),4)</f>
        <v>1.0506</v>
      </c>
      <c r="V45" s="3376"/>
      <c r="W45" s="3376">
        <f t="shared" ref="W45:W52" si="222">T45</f>
        <v>1.0164</v>
      </c>
      <c r="X45" s="3360"/>
      <c r="Y45" s="3385"/>
      <c r="Z45" s="3386">
        <f t="shared" ref="Z45:AD52" si="223">IF(E45=0,0,ROUND(AVERAGE(E45:E53)/100,4))</f>
        <v>4.0000000000000001E-3</v>
      </c>
      <c r="AA45" s="3388">
        <f t="shared" si="223"/>
        <v>2.5999999999999999E-3</v>
      </c>
      <c r="AB45" s="3385">
        <f t="shared" si="223"/>
        <v>7.4000000000000003E-3</v>
      </c>
      <c r="AC45" s="3387"/>
      <c r="AD45" s="3385">
        <f t="shared" si="223"/>
        <v>2.5999999999999999E-3</v>
      </c>
      <c r="AG45" s="3675">
        <f t="shared" si="185"/>
        <v>102.86999999999999</v>
      </c>
      <c r="AH45" s="3675">
        <f t="shared" si="186"/>
        <v>101.64</v>
      </c>
      <c r="AI45" s="3675">
        <f t="shared" si="187"/>
        <v>105.06</v>
      </c>
      <c r="AJ45" s="3675"/>
      <c r="AK45" s="3675">
        <f t="shared" si="188"/>
        <v>101.64</v>
      </c>
      <c r="AN45" s="3675">
        <f t="shared" si="167"/>
        <v>101.67347903103646</v>
      </c>
      <c r="AO45" s="3675">
        <f t="shared" si="168"/>
        <v>101.96766052849449</v>
      </c>
      <c r="AP45" s="3675">
        <f t="shared" si="169"/>
        <v>101.62711400173308</v>
      </c>
      <c r="AQ45" s="3675"/>
      <c r="AR45" s="3675">
        <f t="shared" si="170"/>
        <v>101.96766052849449</v>
      </c>
    </row>
    <row r="46" spans="1:44">
      <c r="A46" s="3339" t="s">
        <v>3245</v>
      </c>
      <c r="B46" s="3398">
        <v>2022</v>
      </c>
      <c r="C46" s="3399">
        <v>3</v>
      </c>
      <c r="D46" s="3399"/>
      <c r="E46" s="3399">
        <v>0.3</v>
      </c>
      <c r="F46" s="3399">
        <v>0.28999999999999998</v>
      </c>
      <c r="G46" s="3399">
        <v>0.83</v>
      </c>
      <c r="H46" s="3405"/>
      <c r="I46" s="3400">
        <f t="shared" si="194"/>
        <v>0.28999999999999998</v>
      </c>
      <c r="J46" s="3360"/>
      <c r="K46" s="3361"/>
      <c r="L46" s="3362">
        <f t="shared" si="195"/>
        <v>3.0000000000000001E-3</v>
      </c>
      <c r="M46" s="3362">
        <f t="shared" si="195"/>
        <v>2.8999999999999998E-3</v>
      </c>
      <c r="N46" s="3362">
        <f t="shared" si="195"/>
        <v>8.3000000000000001E-3</v>
      </c>
      <c r="O46" s="3362"/>
      <c r="P46" s="3362">
        <f t="shared" si="221"/>
        <v>2.8999999999999998E-3</v>
      </c>
      <c r="Q46" s="3360"/>
      <c r="R46" s="3376"/>
      <c r="S46" s="3376">
        <f>ROUND(IF(项目基本情况!$B$8="出让",SUMPRODUCT(PRODUCT(1+L46:L$52)),SUMPRODUCT(PRODUCT(1+L46:L$51))),4)</f>
        <v>1.0241</v>
      </c>
      <c r="T46" s="3376">
        <f>ROUND(IF(项目基本情况!$B$8="出让",SUMPRODUCT(PRODUCT(1+M46:M$52)),SUMPRODUCT(PRODUCT(1+M46:M$51))),4)</f>
        <v>1.0144</v>
      </c>
      <c r="U46" s="3376">
        <f>ROUND(IF(项目基本情况!$B$8="出让",SUMPRODUCT(PRODUCT(1+N46:N$52)),SUMPRODUCT(PRODUCT(1+N46:N$51))),4)</f>
        <v>1.0467</v>
      </c>
      <c r="V46" s="3376"/>
      <c r="W46" s="3376">
        <f t="shared" si="222"/>
        <v>1.0144</v>
      </c>
      <c r="X46" s="3360"/>
      <c r="Y46" s="3385"/>
      <c r="Z46" s="3386">
        <f t="shared" si="223"/>
        <v>3.8999999999999998E-3</v>
      </c>
      <c r="AA46" s="3388">
        <f t="shared" si="223"/>
        <v>2.7000000000000001E-3</v>
      </c>
      <c r="AB46" s="3385">
        <f t="shared" si="223"/>
        <v>7.9000000000000008E-3</v>
      </c>
      <c r="AC46" s="3387"/>
      <c r="AD46" s="3385">
        <f t="shared" si="223"/>
        <v>2.7000000000000001E-3</v>
      </c>
      <c r="AG46" s="3675">
        <f t="shared" si="185"/>
        <v>102.41</v>
      </c>
      <c r="AH46" s="3675">
        <f t="shared" si="186"/>
        <v>101.44</v>
      </c>
      <c r="AI46" s="3675">
        <f t="shared" si="187"/>
        <v>104.67</v>
      </c>
      <c r="AJ46" s="3675"/>
      <c r="AK46" s="3675">
        <f t="shared" si="188"/>
        <v>101.44</v>
      </c>
      <c r="AN46" s="3675">
        <f t="shared" si="167"/>
        <v>101.21799803985711</v>
      </c>
      <c r="AO46" s="3675">
        <f t="shared" si="168"/>
        <v>101.76413226396656</v>
      </c>
      <c r="AP46" s="3675">
        <f t="shared" si="169"/>
        <v>101.24239290868009</v>
      </c>
      <c r="AQ46" s="3675"/>
      <c r="AR46" s="3675">
        <f t="shared" si="170"/>
        <v>101.76413226396656</v>
      </c>
    </row>
    <row r="47" spans="1:44">
      <c r="A47" s="3339" t="s">
        <v>3244</v>
      </c>
      <c r="B47" s="3398">
        <v>2022</v>
      </c>
      <c r="C47" s="3399">
        <v>2</v>
      </c>
      <c r="D47" s="3399"/>
      <c r="E47" s="3399">
        <v>-0.11</v>
      </c>
      <c r="F47" s="3399">
        <v>-0.13</v>
      </c>
      <c r="G47" s="3399">
        <v>0.53</v>
      </c>
      <c r="H47" s="3405"/>
      <c r="I47" s="3400">
        <f t="shared" si="194"/>
        <v>-0.13</v>
      </c>
      <c r="J47" s="3360"/>
      <c r="K47" s="3361"/>
      <c r="L47" s="3362">
        <f t="shared" si="195"/>
        <v>-1.1000000000000001E-3</v>
      </c>
      <c r="M47" s="3362">
        <f t="shared" si="195"/>
        <v>-1.2999999999999999E-3</v>
      </c>
      <c r="N47" s="3362">
        <f t="shared" si="195"/>
        <v>5.3E-3</v>
      </c>
      <c r="O47" s="3362"/>
      <c r="P47" s="3362">
        <f t="shared" si="221"/>
        <v>-1.2999999999999999E-3</v>
      </c>
      <c r="Q47" s="3360"/>
      <c r="R47" s="3376"/>
      <c r="S47" s="3376">
        <f>ROUND(IF(项目基本情况!$B$8="出让",SUMPRODUCT(PRODUCT(1+L47:L$52)),SUMPRODUCT(PRODUCT(1+L47:L$51))),4)</f>
        <v>1.0210999999999999</v>
      </c>
      <c r="T47" s="3376">
        <f>ROUND(IF(项目基本情况!$B$8="出让",SUMPRODUCT(PRODUCT(1+M47:M$52)),SUMPRODUCT(PRODUCT(1+M47:M$51))),4)</f>
        <v>1.0114000000000001</v>
      </c>
      <c r="U47" s="3376">
        <f>ROUND(IF(项目基本情况!$B$8="出让",SUMPRODUCT(PRODUCT(1+N47:N$52)),SUMPRODUCT(PRODUCT(1+N47:N$51))),4)</f>
        <v>1.0381</v>
      </c>
      <c r="V47" s="3376"/>
      <c r="W47" s="3376">
        <f t="shared" si="222"/>
        <v>1.0114000000000001</v>
      </c>
      <c r="X47" s="3360"/>
      <c r="Y47" s="3385"/>
      <c r="Z47" s="3386">
        <f t="shared" si="223"/>
        <v>4.1000000000000003E-3</v>
      </c>
      <c r="AA47" s="3388">
        <f t="shared" si="223"/>
        <v>2.7000000000000001E-3</v>
      </c>
      <c r="AB47" s="3385">
        <f t="shared" si="223"/>
        <v>7.9000000000000008E-3</v>
      </c>
      <c r="AC47" s="3387"/>
      <c r="AD47" s="3385">
        <f t="shared" si="223"/>
        <v>2.7000000000000001E-3</v>
      </c>
      <c r="AG47" s="3675">
        <f t="shared" si="185"/>
        <v>102.10999999999999</v>
      </c>
      <c r="AH47" s="3675">
        <f t="shared" si="186"/>
        <v>101.14000000000001</v>
      </c>
      <c r="AI47" s="3675">
        <f t="shared" si="187"/>
        <v>103.81</v>
      </c>
      <c r="AJ47" s="3675"/>
      <c r="AK47" s="3675">
        <f t="shared" si="188"/>
        <v>101.14000000000001</v>
      </c>
      <c r="AN47" s="3675">
        <f t="shared" si="167"/>
        <v>100.9152522830081</v>
      </c>
      <c r="AO47" s="3675">
        <f t="shared" si="168"/>
        <v>101.46986964200475</v>
      </c>
      <c r="AP47" s="3675">
        <f t="shared" si="169"/>
        <v>100.40899822342566</v>
      </c>
      <c r="AQ47" s="3675"/>
      <c r="AR47" s="3675">
        <f t="shared" si="170"/>
        <v>101.46986964200475</v>
      </c>
    </row>
    <row r="48" spans="1:44">
      <c r="A48" s="3339" t="s">
        <v>2781</v>
      </c>
      <c r="B48" s="3398">
        <v>2022</v>
      </c>
      <c r="C48" s="3399">
        <v>1</v>
      </c>
      <c r="D48" s="3399"/>
      <c r="E48" s="3399">
        <v>0.6</v>
      </c>
      <c r="F48" s="3399">
        <v>0.45</v>
      </c>
      <c r="G48" s="3399">
        <v>0.53</v>
      </c>
      <c r="H48" s="3405"/>
      <c r="I48" s="3400">
        <f t="shared" si="194"/>
        <v>0.45</v>
      </c>
      <c r="J48" s="3360"/>
      <c r="K48" s="3361"/>
      <c r="L48" s="3362">
        <f t="shared" si="195"/>
        <v>6.0000000000000001E-3</v>
      </c>
      <c r="M48" s="3362">
        <f t="shared" si="195"/>
        <v>4.5000000000000005E-3</v>
      </c>
      <c r="N48" s="3362">
        <f t="shared" si="195"/>
        <v>5.3E-3</v>
      </c>
      <c r="O48" s="3362"/>
      <c r="P48" s="3362">
        <f t="shared" si="221"/>
        <v>4.5000000000000005E-3</v>
      </c>
      <c r="Q48" s="3360"/>
      <c r="R48" s="3376"/>
      <c r="S48" s="3376">
        <f>ROUND(IF(项目基本情况!$B$8="出让",SUMPRODUCT(PRODUCT(1+L48:L$52)),SUMPRODUCT(PRODUCT(1+L48:L$51))),4)</f>
        <v>1.0222</v>
      </c>
      <c r="T48" s="3376">
        <f>ROUND(IF(项目基本情况!$B$8="出让",SUMPRODUCT(PRODUCT(1+M48:M$52)),SUMPRODUCT(PRODUCT(1+M48:M$51))),4)</f>
        <v>1.0127999999999999</v>
      </c>
      <c r="U48" s="3376">
        <f>ROUND(IF(项目基本情况!$B$8="出让",SUMPRODUCT(PRODUCT(1+N48:N$52)),SUMPRODUCT(PRODUCT(1+N48:N$51))),4)</f>
        <v>1.0326</v>
      </c>
      <c r="V48" s="3376"/>
      <c r="W48" s="3376">
        <f t="shared" si="222"/>
        <v>1.0127999999999999</v>
      </c>
      <c r="X48" s="3360"/>
      <c r="Y48" s="3385"/>
      <c r="Z48" s="3386">
        <f t="shared" si="223"/>
        <v>5.1000000000000004E-3</v>
      </c>
      <c r="AA48" s="3388">
        <f t="shared" si="223"/>
        <v>3.5000000000000001E-3</v>
      </c>
      <c r="AB48" s="3385">
        <f t="shared" si="223"/>
        <v>8.3999999999999995E-3</v>
      </c>
      <c r="AC48" s="3387"/>
      <c r="AD48" s="3385">
        <f t="shared" si="223"/>
        <v>3.5000000000000001E-3</v>
      </c>
      <c r="AG48" s="3675">
        <f t="shared" si="185"/>
        <v>102.22</v>
      </c>
      <c r="AH48" s="3675">
        <f t="shared" si="186"/>
        <v>101.27999999999999</v>
      </c>
      <c r="AI48" s="3675">
        <f t="shared" si="187"/>
        <v>103.25999999999999</v>
      </c>
      <c r="AJ48" s="3675"/>
      <c r="AK48" s="3675">
        <f t="shared" si="188"/>
        <v>101.27999999999999</v>
      </c>
      <c r="AN48" s="3675">
        <f t="shared" si="167"/>
        <v>101.02638130244078</v>
      </c>
      <c r="AO48" s="3675">
        <f t="shared" si="168"/>
        <v>101.60195217983853</v>
      </c>
      <c r="AP48" s="3675">
        <f t="shared" si="169"/>
        <v>99.879636151820989</v>
      </c>
      <c r="AQ48" s="3675"/>
      <c r="AR48" s="3675">
        <f t="shared" si="170"/>
        <v>101.60195217983853</v>
      </c>
    </row>
    <row r="49" spans="1:44">
      <c r="A49" s="3339" t="s">
        <v>2782</v>
      </c>
      <c r="B49" s="3398">
        <v>2021</v>
      </c>
      <c r="C49" s="3399">
        <v>4</v>
      </c>
      <c r="D49" s="3399"/>
      <c r="E49" s="3399">
        <v>0.57999999999999996</v>
      </c>
      <c r="F49" s="3399">
        <v>0.08</v>
      </c>
      <c r="G49" s="3399">
        <v>0.68</v>
      </c>
      <c r="H49" s="3405"/>
      <c r="I49" s="3400">
        <f t="shared" si="194"/>
        <v>0.08</v>
      </c>
      <c r="J49" s="3360"/>
      <c r="K49" s="3361"/>
      <c r="L49" s="3362">
        <f t="shared" si="195"/>
        <v>5.7999999999999996E-3</v>
      </c>
      <c r="M49" s="3362">
        <f t="shared" si="195"/>
        <v>8.0000000000000004E-4</v>
      </c>
      <c r="N49" s="3362">
        <f t="shared" si="195"/>
        <v>6.8000000000000005E-3</v>
      </c>
      <c r="O49" s="3362"/>
      <c r="P49" s="3362">
        <f t="shared" si="221"/>
        <v>8.0000000000000004E-4</v>
      </c>
      <c r="Q49" s="3360"/>
      <c r="R49" s="3376"/>
      <c r="S49" s="3376">
        <f>ROUND(IF(项目基本情况!$B$8="出让",SUMPRODUCT(PRODUCT(1+L49:L$52)),SUMPRODUCT(PRODUCT(1+L49:L$51))),4)</f>
        <v>1.0161</v>
      </c>
      <c r="T49" s="3376">
        <f>ROUND(IF(项目基本情况!$B$8="出让",SUMPRODUCT(PRODUCT(1+M49:M$52)),SUMPRODUCT(PRODUCT(1+M49:M$51))),4)</f>
        <v>1.0082</v>
      </c>
      <c r="U49" s="3376">
        <f>ROUND(IF(项目基本情况!$B$8="出让",SUMPRODUCT(PRODUCT(1+N49:N$52)),SUMPRODUCT(PRODUCT(1+N49:N$51))),4)</f>
        <v>1.0270999999999999</v>
      </c>
      <c r="V49" s="3376"/>
      <c r="W49" s="3376">
        <f t="shared" si="222"/>
        <v>1.0082</v>
      </c>
      <c r="X49" s="3360"/>
      <c r="Y49" s="3385"/>
      <c r="Z49" s="3386">
        <f t="shared" si="223"/>
        <v>4.8999999999999998E-3</v>
      </c>
      <c r="AA49" s="3388">
        <f t="shared" si="223"/>
        <v>3.3E-3</v>
      </c>
      <c r="AB49" s="3385">
        <f t="shared" si="223"/>
        <v>9.1999999999999998E-3</v>
      </c>
      <c r="AC49" s="3387"/>
      <c r="AD49" s="3385">
        <f t="shared" si="223"/>
        <v>3.3E-3</v>
      </c>
      <c r="AG49" s="3675">
        <f t="shared" si="185"/>
        <v>101.61</v>
      </c>
      <c r="AH49" s="3675">
        <f t="shared" si="186"/>
        <v>100.82</v>
      </c>
      <c r="AI49" s="3675">
        <f t="shared" si="187"/>
        <v>102.71</v>
      </c>
      <c r="AJ49" s="3675"/>
      <c r="AK49" s="3675">
        <f t="shared" si="188"/>
        <v>100.82</v>
      </c>
      <c r="AN49" s="3675">
        <f t="shared" si="167"/>
        <v>100.42383827280396</v>
      </c>
      <c r="AO49" s="3675">
        <f t="shared" si="168"/>
        <v>101.14679161755951</v>
      </c>
      <c r="AP49" s="3675">
        <f t="shared" si="169"/>
        <v>99.353064907809596</v>
      </c>
      <c r="AQ49" s="3675"/>
      <c r="AR49" s="3675">
        <f t="shared" si="170"/>
        <v>101.14679161755951</v>
      </c>
    </row>
    <row r="50" spans="1:44">
      <c r="A50" s="3339" t="s">
        <v>2783</v>
      </c>
      <c r="B50" s="3398">
        <v>2021</v>
      </c>
      <c r="C50" s="3399">
        <v>3</v>
      </c>
      <c r="D50" s="3399"/>
      <c r="E50" s="3399">
        <v>0.47</v>
      </c>
      <c r="F50" s="3399">
        <v>0.28000000000000003</v>
      </c>
      <c r="G50" s="3399">
        <v>0.91</v>
      </c>
      <c r="H50" s="3405"/>
      <c r="I50" s="3400">
        <f t="shared" si="194"/>
        <v>0.28000000000000003</v>
      </c>
      <c r="J50" s="3360"/>
      <c r="K50" s="3361"/>
      <c r="L50" s="3362">
        <f t="shared" si="195"/>
        <v>4.6999999999999993E-3</v>
      </c>
      <c r="M50" s="3362">
        <f t="shared" si="195"/>
        <v>2.8000000000000004E-3</v>
      </c>
      <c r="N50" s="3362">
        <f t="shared" si="195"/>
        <v>9.1000000000000004E-3</v>
      </c>
      <c r="O50" s="3362"/>
      <c r="P50" s="3362">
        <f t="shared" si="221"/>
        <v>2.8000000000000004E-3</v>
      </c>
      <c r="Q50" s="3360"/>
      <c r="R50" s="3376"/>
      <c r="S50" s="3376">
        <f>ROUND(IF(项目基本情况!$B$8="出让",SUMPRODUCT(PRODUCT(1+L50:L$52)),SUMPRODUCT(PRODUCT(1+L50:L$51))),4)</f>
        <v>1.0102</v>
      </c>
      <c r="T50" s="3376">
        <f>ROUND(IF(项目基本情况!$B$8="出让",SUMPRODUCT(PRODUCT(1+M50:M$52)),SUMPRODUCT(PRODUCT(1+M50:M$51))),4)</f>
        <v>1.0074000000000001</v>
      </c>
      <c r="U50" s="3376">
        <f>ROUND(IF(项目基本情况!$B$8="出让",SUMPRODUCT(PRODUCT(1+N50:N$52)),SUMPRODUCT(PRODUCT(1+N50:N$51))),4)</f>
        <v>1.0202</v>
      </c>
      <c r="V50" s="3376"/>
      <c r="W50" s="3376">
        <f t="shared" si="222"/>
        <v>1.0074000000000001</v>
      </c>
      <c r="X50" s="3360"/>
      <c r="Y50" s="3385"/>
      <c r="Z50" s="3386">
        <f t="shared" si="223"/>
        <v>4.5999999999999999E-3</v>
      </c>
      <c r="AA50" s="3388">
        <f t="shared" si="223"/>
        <v>4.1000000000000003E-3</v>
      </c>
      <c r="AB50" s="3385">
        <f t="shared" si="223"/>
        <v>0.01</v>
      </c>
      <c r="AC50" s="3387"/>
      <c r="AD50" s="3385">
        <f t="shared" si="223"/>
        <v>4.1000000000000003E-3</v>
      </c>
      <c r="AG50" s="3675">
        <f t="shared" si="185"/>
        <v>101.02</v>
      </c>
      <c r="AH50" s="3675">
        <f t="shared" si="186"/>
        <v>100.74000000000001</v>
      </c>
      <c r="AI50" s="3675">
        <f t="shared" si="187"/>
        <v>102.02</v>
      </c>
      <c r="AJ50" s="3675"/>
      <c r="AK50" s="3675">
        <f t="shared" si="188"/>
        <v>100.74000000000001</v>
      </c>
      <c r="AN50" s="3675">
        <f t="shared" si="167"/>
        <v>99.844738787834515</v>
      </c>
      <c r="AO50" s="3675">
        <f t="shared" si="168"/>
        <v>101.06593886646635</v>
      </c>
      <c r="AP50" s="3675">
        <f t="shared" si="169"/>
        <v>98.682027123370688</v>
      </c>
      <c r="AQ50" s="3675"/>
      <c r="AR50" s="3675">
        <f t="shared" si="170"/>
        <v>101.06593886646635</v>
      </c>
    </row>
    <row r="51" spans="1:44">
      <c r="A51" s="3339" t="s">
        <v>2787</v>
      </c>
      <c r="B51" s="3398">
        <v>2021</v>
      </c>
      <c r="C51" s="3399">
        <v>2</v>
      </c>
      <c r="D51" s="3399"/>
      <c r="E51" s="3399">
        <v>0.55000000000000004</v>
      </c>
      <c r="F51" s="3399">
        <v>0.46</v>
      </c>
      <c r="G51" s="3399">
        <v>1.1000000000000001</v>
      </c>
      <c r="H51" s="3405"/>
      <c r="I51" s="3400">
        <f t="shared" si="194"/>
        <v>0.46</v>
      </c>
      <c r="J51" s="3360"/>
      <c r="K51" s="3361"/>
      <c r="L51" s="3362">
        <f t="shared" si="195"/>
        <v>5.5000000000000005E-3</v>
      </c>
      <c r="M51" s="3362">
        <f t="shared" si="195"/>
        <v>4.5999999999999999E-3</v>
      </c>
      <c r="N51" s="3362">
        <f t="shared" si="195"/>
        <v>1.1000000000000001E-2</v>
      </c>
      <c r="O51" s="3362"/>
      <c r="P51" s="3362">
        <f t="shared" si="221"/>
        <v>4.5999999999999999E-3</v>
      </c>
      <c r="Q51" s="3360"/>
      <c r="R51" s="3376"/>
      <c r="S51" s="3376">
        <f>ROUND(IF(项目基本情况!$B$8="出让",SUMPRODUCT(PRODUCT(1+L51:L$52)),SUMPRODUCT(PRODUCT(1+L51:L$51))),4)</f>
        <v>1.0055000000000001</v>
      </c>
      <c r="T51" s="3376">
        <f>ROUND(IF(项目基本情况!$B$8="出让",SUMPRODUCT(PRODUCT(1+M51:M$52)),SUMPRODUCT(PRODUCT(1+M51:M$51))),4)</f>
        <v>1.0045999999999999</v>
      </c>
      <c r="U51" s="3376">
        <f>ROUND(IF(项目基本情况!$B$8="出让",SUMPRODUCT(PRODUCT(1+N51:N$52)),SUMPRODUCT(PRODUCT(1+N51:N$51))),4)</f>
        <v>1.0109999999999999</v>
      </c>
      <c r="V51" s="3376"/>
      <c r="W51" s="3376">
        <f t="shared" si="222"/>
        <v>1.0045999999999999</v>
      </c>
      <c r="X51" s="3360"/>
      <c r="Y51" s="3385"/>
      <c r="Z51" s="3386">
        <f t="shared" si="223"/>
        <v>4.4999999999999997E-3</v>
      </c>
      <c r="AA51" s="3388">
        <f t="shared" si="223"/>
        <v>4.7000000000000002E-3</v>
      </c>
      <c r="AB51" s="3385">
        <f t="shared" si="223"/>
        <v>1.04E-2</v>
      </c>
      <c r="AC51" s="3387"/>
      <c r="AD51" s="3385">
        <f t="shared" si="223"/>
        <v>4.7000000000000002E-3</v>
      </c>
      <c r="AG51" s="3675">
        <f t="shared" si="185"/>
        <v>100.55000000000001</v>
      </c>
      <c r="AH51" s="3675">
        <f t="shared" si="186"/>
        <v>100.46</v>
      </c>
      <c r="AI51" s="3675">
        <f t="shared" si="187"/>
        <v>101.1</v>
      </c>
      <c r="AJ51" s="3675"/>
      <c r="AK51" s="3675">
        <f t="shared" si="188"/>
        <v>100.46</v>
      </c>
      <c r="AN51" s="3675">
        <f t="shared" si="167"/>
        <v>99.377663768124336</v>
      </c>
      <c r="AO51" s="3675">
        <f t="shared" si="168"/>
        <v>100.78374438219622</v>
      </c>
      <c r="AP51" s="3675">
        <f t="shared" si="169"/>
        <v>97.7921188419093</v>
      </c>
      <c r="AQ51" s="3675"/>
      <c r="AR51" s="3675">
        <f t="shared" si="170"/>
        <v>100.78374438219622</v>
      </c>
    </row>
    <row r="52" spans="1:44" ht="15" thickBot="1">
      <c r="A52" s="3341" t="s">
        <v>2788</v>
      </c>
      <c r="B52" s="3406">
        <v>2021</v>
      </c>
      <c r="C52" s="3407">
        <v>1</v>
      </c>
      <c r="D52" s="3407"/>
      <c r="E52" s="3407">
        <v>0.35</v>
      </c>
      <c r="F52" s="3407">
        <v>0.48</v>
      </c>
      <c r="G52" s="3407">
        <v>0.98</v>
      </c>
      <c r="H52" s="3408"/>
      <c r="I52" s="3409">
        <f t="shared" si="194"/>
        <v>0.48</v>
      </c>
      <c r="J52" s="3366"/>
      <c r="K52" s="3367"/>
      <c r="L52" s="3368">
        <f t="shared" si="195"/>
        <v>3.4999999999999996E-3</v>
      </c>
      <c r="M52" s="3368">
        <f>F52/100</f>
        <v>4.7999999999999996E-3</v>
      </c>
      <c r="N52" s="3368">
        <f t="shared" si="195"/>
        <v>9.7999999999999997E-3</v>
      </c>
      <c r="O52" s="3368"/>
      <c r="P52" s="3368">
        <f t="shared" si="221"/>
        <v>4.7999999999999996E-3</v>
      </c>
      <c r="Q52" s="3366"/>
      <c r="R52" s="3377"/>
      <c r="S52" s="3377">
        <v>1</v>
      </c>
      <c r="T52" s="3377">
        <v>1</v>
      </c>
      <c r="U52" s="3377">
        <v>1</v>
      </c>
      <c r="V52" s="3377"/>
      <c r="W52" s="3377">
        <f t="shared" si="222"/>
        <v>1</v>
      </c>
      <c r="X52" s="3366"/>
      <c r="Y52" s="3368"/>
      <c r="Z52" s="3392">
        <f t="shared" si="223"/>
        <v>3.5000000000000001E-3</v>
      </c>
      <c r="AA52" s="3393">
        <f t="shared" si="223"/>
        <v>4.7999999999999996E-3</v>
      </c>
      <c r="AB52" s="3368">
        <f t="shared" si="223"/>
        <v>9.7999999999999997E-3</v>
      </c>
      <c r="AC52" s="3394"/>
      <c r="AD52" s="3368">
        <f t="shared" si="223"/>
        <v>4.7999999999999996E-3</v>
      </c>
      <c r="AG52" s="3676">
        <v>100</v>
      </c>
      <c r="AH52" s="3676">
        <v>100</v>
      </c>
      <c r="AI52" s="3676">
        <v>100</v>
      </c>
      <c r="AJ52" s="3676"/>
      <c r="AK52" s="3676">
        <v>100</v>
      </c>
      <c r="AN52" s="3675">
        <f t="shared" si="167"/>
        <v>98.83407634820918</v>
      </c>
      <c r="AO52" s="3675">
        <f t="shared" si="168"/>
        <v>100.32226197710156</v>
      </c>
      <c r="AP52" s="3675">
        <f t="shared" si="169"/>
        <v>96.728109635914251</v>
      </c>
      <c r="AQ52" s="3675"/>
      <c r="AR52" s="3675">
        <f t="shared" si="170"/>
        <v>100.32226197710156</v>
      </c>
    </row>
    <row r="53" spans="1:44" ht="15" thickTop="1"/>
    <row r="54" spans="1:44">
      <c r="A54" s="3657"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2211</v>
      </c>
      <c r="B1" s="2985"/>
      <c r="C1" s="2985"/>
      <c r="D1" s="2985"/>
      <c r="E1" s="2985"/>
      <c r="F1" s="2985"/>
      <c r="G1" s="2986"/>
      <c r="H1" s="2986"/>
      <c r="I1" s="2986"/>
      <c r="J1" s="2986"/>
      <c r="K1" s="2986"/>
      <c r="L1" s="2986"/>
      <c r="M1" s="2986"/>
      <c r="N1" s="2986"/>
    </row>
    <row r="2" spans="1:14" ht="15.6">
      <c r="A2" s="2991" t="s">
        <v>2206</v>
      </c>
      <c r="B2" s="2996">
        <f ca="1">SUMIF(B7:B14,"&lt;&gt;#ref!",B7:B14)</f>
        <v>0</v>
      </c>
      <c r="C2" s="2991" t="s">
        <v>2207</v>
      </c>
      <c r="D2" s="2988"/>
      <c r="E2" s="2988"/>
      <c r="F2" s="2988"/>
      <c r="G2" s="2986"/>
      <c r="H2" s="2986"/>
      <c r="I2" s="2986"/>
      <c r="J2" s="2986"/>
      <c r="K2" s="2986"/>
      <c r="L2" s="2986"/>
      <c r="M2" s="2986"/>
      <c r="N2" s="2986"/>
    </row>
    <row r="3" spans="1:14" ht="15.6">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5.6">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2212</v>
      </c>
      <c r="B6" s="2991" t="s">
        <v>2209</v>
      </c>
      <c r="C6" s="2542"/>
      <c r="D6" s="2988"/>
      <c r="E6" s="2991" t="s">
        <v>2210</v>
      </c>
      <c r="F6" s="2991" t="s">
        <v>2213</v>
      </c>
      <c r="G6" s="2986"/>
      <c r="H6" s="2986"/>
      <c r="I6" s="2986"/>
      <c r="J6" s="2986"/>
      <c r="K6" s="2986"/>
      <c r="L6" s="2986"/>
      <c r="M6" s="2986"/>
      <c r="N6" s="2986"/>
    </row>
    <row r="7" spans="1:14" ht="15.6">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19"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8.33203125" style="1781" customWidth="1"/>
    <col min="16" max="16" width="30.21875" style="1781" customWidth="1"/>
    <col min="17" max="17" width="13.77734375" style="1781" customWidth="1"/>
    <col min="18" max="18" width="22.21875" style="1781" customWidth="1"/>
    <col min="19" max="19" width="1.44140625" style="1781" customWidth="1"/>
    <col min="20" max="25" width="9" style="1781"/>
    <col min="26" max="16384" width="9" style="1782"/>
  </cols>
  <sheetData>
    <row r="1" spans="1:25" s="1776" customFormat="1" ht="21.6">
      <c r="A1" s="736" t="s">
        <v>576</v>
      </c>
      <c r="B1" s="706"/>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98" t="s">
        <v>1807</v>
      </c>
      <c r="C8" s="1610">
        <f ca="1">ROUND(F8*F10*F9*(1-F11)/10000,0)</f>
        <v>0</v>
      </c>
      <c r="D8" s="1607" t="s">
        <v>1817</v>
      </c>
      <c r="E8" s="59" t="s">
        <v>585</v>
      </c>
      <c r="F8" s="749">
        <f ca="1">INDIRECT("'数据-取费表'!u"&amp;$G$1)</f>
        <v>0</v>
      </c>
      <c r="G8" s="1403"/>
      <c r="H8" s="2149" t="s">
        <v>1353</v>
      </c>
      <c r="I8" s="3998" t="s">
        <v>1807</v>
      </c>
      <c r="J8" s="747">
        <f ca="1">ROUND(M8*M10*M9*(1-M11)/10000,0)</f>
        <v>0</v>
      </c>
      <c r="K8" s="332" t="s">
        <v>1817</v>
      </c>
      <c r="L8" s="748" t="s">
        <v>1267</v>
      </c>
      <c r="M8" s="749">
        <f ca="1">INDIRECT("'数据-取费表'!z"&amp;$G$1)</f>
        <v>0</v>
      </c>
    </row>
    <row r="9" spans="1:25" ht="18" customHeight="1">
      <c r="A9" s="2145"/>
      <c r="B9" s="3999"/>
      <c r="C9" s="1611"/>
      <c r="D9" s="1608"/>
      <c r="E9" s="59" t="s">
        <v>586</v>
      </c>
      <c r="F9" s="749">
        <f ca="1">IF(INDIRECT("'数据-取费表'!ah"&amp;$G$1)="",INDIRECT("'数据-取费表'!k"&amp;$G$1),INDIRECT("'数据-取费表'!ah"&amp;$G$1))</f>
        <v>0</v>
      </c>
      <c r="G9" s="1403"/>
      <c r="H9" s="2134"/>
      <c r="I9" s="3999"/>
      <c r="J9" s="752"/>
      <c r="K9" s="753"/>
      <c r="L9" s="748" t="s">
        <v>1268</v>
      </c>
      <c r="M9" s="749">
        <f ca="1">F9</f>
        <v>0</v>
      </c>
    </row>
    <row r="10" spans="1:25" ht="18" customHeight="1">
      <c r="A10" s="2138"/>
      <c r="B10" s="4000"/>
      <c r="C10" s="1611"/>
      <c r="D10" s="1608"/>
      <c r="E10" s="59" t="s">
        <v>587</v>
      </c>
      <c r="F10" s="749">
        <f ca="1">INDIRECT("'数据-取费表'!ai"&amp;$G$1)</f>
        <v>0</v>
      </c>
      <c r="G10" s="1403"/>
      <c r="H10" s="2134"/>
      <c r="I10" s="4000"/>
      <c r="J10" s="752"/>
      <c r="K10" s="753"/>
      <c r="L10" s="748" t="s">
        <v>1269</v>
      </c>
      <c r="M10" s="749">
        <f ca="1">INDIRECT("'数据-取费表'!ai"&amp;$G$1)</f>
        <v>0</v>
      </c>
    </row>
    <row r="11" spans="1:25" ht="18" customHeight="1">
      <c r="A11" s="750"/>
      <c r="B11" s="4001"/>
      <c r="C11" s="1611"/>
      <c r="D11" s="1608"/>
      <c r="E11" s="59" t="s">
        <v>588</v>
      </c>
      <c r="F11" s="758">
        <f ca="1">INDIRECT("'数据-取费表'!w"&amp;$G$1)</f>
        <v>0</v>
      </c>
      <c r="G11" s="1403"/>
      <c r="H11" s="2150"/>
      <c r="I11" s="4000"/>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0.05</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0.02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3242</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0.03</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0.03</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7" t="s">
        <v>2279</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3242</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3997"/>
      <c r="J36" s="1801"/>
      <c r="K36" s="1802"/>
      <c r="L36" s="1801"/>
      <c r="M36" s="1801"/>
    </row>
    <row r="37" spans="1:18" ht="18" customHeight="1">
      <c r="A37" s="778"/>
      <c r="B37" s="757"/>
      <c r="C37" s="67"/>
      <c r="D37" s="779"/>
      <c r="E37" s="748" t="s">
        <v>621</v>
      </c>
      <c r="F37" s="749">
        <f ca="1">INDIRECT("'数据-取费表'!r"&amp;$G$1)</f>
        <v>0</v>
      </c>
      <c r="G37" s="1784"/>
      <c r="H37" s="1787"/>
      <c r="I37" s="3997"/>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6">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#DIV/0!</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f ca="1">C31</f>
        <v>0</v>
      </c>
      <c r="R51" s="2089" t="s">
        <v>1734</v>
      </c>
    </row>
    <row r="52" spans="1:18" s="1781" customFormat="1" ht="18" customHeight="1" thickBot="1">
      <c r="A52" s="1817"/>
      <c r="F52" s="1806"/>
      <c r="I52" s="2555" t="s">
        <v>1702</v>
      </c>
      <c r="J52" s="2559">
        <f>IF(J50="",J51,J50+J51-YEAR('数据-取费表'!B3))</f>
        <v>0</v>
      </c>
      <c r="K52" s="2551" t="s">
        <v>1708</v>
      </c>
      <c r="L52" s="2565">
        <f ca="1">C45</f>
        <v>0</v>
      </c>
      <c r="O52" s="2091" t="s">
        <v>1738</v>
      </c>
      <c r="P52" s="2089" t="s">
        <v>1739</v>
      </c>
      <c r="Q52" s="2092" t="e">
        <f ca="1">J59</f>
        <v>#DIV/0!</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31.8" thickBot="1">
      <c r="A54" s="1817"/>
      <c r="I54" s="2557" t="s">
        <v>2236</v>
      </c>
      <c r="J54" s="2608">
        <f ca="1">IF(M48="住宅",MAX(J52,L49-'数据-取费表'!B20),MIN(J52,L49-'数据-取费表'!B20))</f>
        <v>-0.5</v>
      </c>
      <c r="K54" s="4002"/>
      <c r="L54" s="4003"/>
      <c r="O54" s="2091" t="s">
        <v>1742</v>
      </c>
      <c r="P54" s="2089" t="s">
        <v>1743</v>
      </c>
      <c r="Q54" s="2090">
        <f ca="1">J54</f>
        <v>-0.5</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t="e">
        <f ca="1">Q49+Q50</f>
        <v>#DIV/0!</v>
      </c>
      <c r="R55" s="2093" t="s">
        <v>1746</v>
      </c>
    </row>
    <row r="56" spans="1:18" s="1781" customFormat="1" ht="16.2" thickBot="1">
      <c r="A56" s="1817"/>
      <c r="B56" s="1818"/>
      <c r="C56" s="1818"/>
      <c r="I56" s="2568" t="s">
        <v>1709</v>
      </c>
      <c r="J56" s="2540" t="e">
        <f ca="1">ROUND(IF(J48="钢混",J58/J51,1-(1-2%)*(J51-J58)/J51),3)</f>
        <v>#DIV/0!</v>
      </c>
      <c r="K56" s="2569" t="s">
        <v>1710</v>
      </c>
      <c r="L56" s="2076"/>
      <c r="O56" s="2094" t="s">
        <v>1765</v>
      </c>
      <c r="P56" s="1403"/>
      <c r="Q56" s="1411"/>
      <c r="R56" s="1403"/>
    </row>
    <row r="57" spans="1:18" s="1781" customFormat="1" ht="47.4" thickBot="1">
      <c r="A57" s="1817"/>
      <c r="B57" s="1818"/>
      <c r="C57" s="1818"/>
      <c r="I57" s="2570" t="s">
        <v>1711</v>
      </c>
      <c r="J57" s="2580"/>
      <c r="K57" s="2551" t="s">
        <v>1716</v>
      </c>
      <c r="L57" s="1662">
        <f ca="1">IF(L49&lt;J52,"——",L49-J52)</f>
        <v>0</v>
      </c>
      <c r="O57" s="2085" t="s">
        <v>1729</v>
      </c>
      <c r="P57" s="2086" t="s">
        <v>1730</v>
      </c>
      <c r="Q57" s="2087" t="s">
        <v>1731</v>
      </c>
      <c r="R57" s="2086" t="s">
        <v>1732</v>
      </c>
    </row>
    <row r="58" spans="1:18" s="1781" customFormat="1" ht="31.8" thickBot="1">
      <c r="A58" s="1817"/>
      <c r="B58" s="1818"/>
      <c r="C58" s="1818"/>
      <c r="I58" s="2571" t="s">
        <v>1712</v>
      </c>
      <c r="J58" s="2572">
        <f ca="1">IF(OR(M48="住宅",J52&lt;L49,J57="是"),"——",J52-L49)</f>
        <v>0</v>
      </c>
      <c r="K58" s="2551" t="s">
        <v>1717</v>
      </c>
      <c r="L58" s="1662">
        <f ca="1">IF(L49&lt;J52,"——",IF(L56="比较法",L50,IF(L56="基准地价",L51,L52)))</f>
        <v>0</v>
      </c>
      <c r="O58" s="2088" t="s">
        <v>1733</v>
      </c>
      <c r="P58" s="2089" t="s">
        <v>1759</v>
      </c>
      <c r="Q58" s="2090">
        <f ca="1">C41+J31</f>
        <v>0</v>
      </c>
      <c r="R58" s="2089" t="s">
        <v>1734</v>
      </c>
    </row>
    <row r="59" spans="1:18" s="1781" customFormat="1" ht="31.8" thickBot="1">
      <c r="A59" s="1817"/>
      <c r="B59" s="1818"/>
      <c r="C59" s="1818"/>
      <c r="I59" s="2571" t="s">
        <v>1713</v>
      </c>
      <c r="J59" s="2541" t="e">
        <f ca="1">IF(J56&lt;0.4,0.4,J56)</f>
        <v>#DIV/0!</v>
      </c>
      <c r="K59" s="2551"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31.8" thickBot="1">
      <c r="A60" s="1817"/>
      <c r="B60" s="1818"/>
      <c r="C60" s="1818"/>
      <c r="I60" s="2571" t="s">
        <v>1714</v>
      </c>
      <c r="J60" s="2572" t="e">
        <f ca="1">IF(OR(M48="住宅",J52&lt;L49,J57="是"),"——",ROUND(C30*J59,0))</f>
        <v>#DIV/0!</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6.2" thickBot="1">
      <c r="A61" s="1817"/>
      <c r="B61" s="1818"/>
      <c r="C61" s="1818"/>
      <c r="I61" s="2573" t="s">
        <v>1715</v>
      </c>
      <c r="J61" s="2574" t="e">
        <f ca="1">IF(OR(M48="住宅",J52&lt;L49,J57="是"),"0",ROUND(J60/(1+J53)^J54,0))</f>
        <v>#DIV/0!</v>
      </c>
      <c r="K61" s="2575" t="s">
        <v>1720</v>
      </c>
      <c r="L61" s="2574" t="e">
        <f ca="1">IF(OR(M48="住宅",L49&lt;J52),0,ROUND(L58*(L59/L60-1),0))</f>
        <v>#DIV/0!</v>
      </c>
      <c r="O61" s="2091" t="s">
        <v>1738</v>
      </c>
      <c r="P61" s="2089" t="s">
        <v>1747</v>
      </c>
      <c r="Q61" s="2092">
        <f>L53</f>
        <v>0</v>
      </c>
      <c r="R61" s="2093"/>
    </row>
    <row r="62" spans="1:18" s="1781" customFormat="1" ht="19.2" thickBot="1">
      <c r="A62" s="1817"/>
      <c r="B62" s="1818"/>
      <c r="C62" s="1818"/>
      <c r="K62" s="1807"/>
      <c r="O62" s="2091" t="s">
        <v>1740</v>
      </c>
      <c r="P62" s="2089" t="s">
        <v>1748</v>
      </c>
      <c r="Q62" s="2090">
        <f ca="1">L59</f>
        <v>0</v>
      </c>
      <c r="R62" s="2093" t="s">
        <v>1749</v>
      </c>
    </row>
    <row r="63" spans="1:18" s="1781" customFormat="1" ht="19.2"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6.2" thickBot="1">
      <c r="A64" s="1817"/>
      <c r="B64" s="1818"/>
      <c r="C64" s="1818"/>
      <c r="I64" s="2576" t="s">
        <v>1724</v>
      </c>
      <c r="J64" s="2577">
        <v>70</v>
      </c>
      <c r="K64" s="2577">
        <v>50</v>
      </c>
      <c r="L64" s="2577">
        <v>80</v>
      </c>
      <c r="M64" s="2579">
        <v>0.02</v>
      </c>
      <c r="O64" s="2088" t="s">
        <v>1745</v>
      </c>
      <c r="P64" s="2089" t="s">
        <v>1762</v>
      </c>
      <c r="Q64" s="2090" t="e">
        <f ca="1">Q58+Q59</f>
        <v>#DIV/0!</v>
      </c>
      <c r="R64" s="2093" t="s">
        <v>1746</v>
      </c>
    </row>
    <row r="65" spans="1:18" s="1781" customFormat="1" ht="16.2" thickBot="1">
      <c r="A65" s="1817"/>
      <c r="B65" s="1818"/>
      <c r="C65" s="1818"/>
      <c r="I65" s="2576" t="s">
        <v>1725</v>
      </c>
      <c r="J65" s="2577">
        <v>50</v>
      </c>
      <c r="K65" s="2577">
        <v>35</v>
      </c>
      <c r="L65" s="2577">
        <v>60</v>
      </c>
      <c r="M65" s="809">
        <v>0</v>
      </c>
      <c r="O65" s="2094" t="s">
        <v>1769</v>
      </c>
      <c r="P65" s="1403"/>
      <c r="Q65" s="1411"/>
      <c r="R65" s="1403"/>
    </row>
    <row r="66" spans="1:18" s="1781" customFormat="1" ht="16.2"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6.2" thickBot="1">
      <c r="A67" s="1817"/>
      <c r="B67" s="1818"/>
      <c r="C67" s="1818"/>
      <c r="K67" s="1807"/>
      <c r="O67" s="2088" t="s">
        <v>1733</v>
      </c>
      <c r="P67" s="2089" t="s">
        <v>1759</v>
      </c>
      <c r="Q67" s="2090">
        <f ca="1">C41+J31</f>
        <v>0</v>
      </c>
      <c r="R67" s="2089" t="s">
        <v>1734</v>
      </c>
    </row>
    <row r="68" spans="1:18" s="1781" customFormat="1" ht="19.2" thickBot="1">
      <c r="A68" s="1817"/>
      <c r="B68" s="1818"/>
      <c r="C68" s="1818"/>
      <c r="K68" s="1807"/>
      <c r="O68" s="2088" t="s">
        <v>1735</v>
      </c>
      <c r="P68" s="2089" t="s">
        <v>1766</v>
      </c>
      <c r="Q68" s="2090" t="e">
        <f ca="1">L61</f>
        <v>#DIV/0!</v>
      </c>
      <c r="R68" s="2093" t="s">
        <v>1768</v>
      </c>
    </row>
    <row r="69" spans="1:18" s="1781" customFormat="1" ht="20.399999999999999" thickBot="1">
      <c r="A69" s="1817"/>
      <c r="B69" s="1818"/>
      <c r="C69" s="1818"/>
      <c r="K69" s="1807"/>
      <c r="O69" s="2091" t="s">
        <v>1737</v>
      </c>
      <c r="P69" s="2089" t="s">
        <v>1767</v>
      </c>
      <c r="Q69" s="2095">
        <f ca="1">L52</f>
        <v>0</v>
      </c>
      <c r="R69" s="2096" t="s">
        <v>1770</v>
      </c>
    </row>
    <row r="70" spans="1:18" s="1781" customFormat="1" ht="19.2" thickBot="1">
      <c r="A70" s="1817"/>
      <c r="B70" s="1818"/>
      <c r="C70" s="1818"/>
      <c r="K70" s="1807"/>
      <c r="O70" s="2091" t="s">
        <v>1738</v>
      </c>
      <c r="P70" s="2097" t="s">
        <v>1752</v>
      </c>
      <c r="Q70" s="2090">
        <f ca="1">ROUND(Q71-Q72*Q73,0)</f>
        <v>0</v>
      </c>
      <c r="R70" s="2093"/>
    </row>
    <row r="71" spans="1:18" s="1781" customFormat="1" ht="16.2" thickBot="1">
      <c r="A71" s="1817"/>
      <c r="B71" s="1818"/>
      <c r="C71" s="1818"/>
      <c r="K71" s="1807"/>
      <c r="O71" s="2091" t="s">
        <v>1753</v>
      </c>
      <c r="P71" s="2097" t="s">
        <v>1754</v>
      </c>
      <c r="Q71" s="2090">
        <f ca="1">C42</f>
        <v>0</v>
      </c>
      <c r="R71" s="2089" t="s">
        <v>1734</v>
      </c>
    </row>
    <row r="72" spans="1:18" s="1781" customFormat="1" ht="16.2" thickBot="1">
      <c r="A72" s="1817"/>
      <c r="B72" s="1818"/>
      <c r="C72" s="1818"/>
      <c r="K72" s="1807"/>
      <c r="O72" s="2091" t="s">
        <v>1755</v>
      </c>
      <c r="P72" s="2097" t="s">
        <v>1756</v>
      </c>
      <c r="Q72" s="2090">
        <f ca="1">C15</f>
        <v>0</v>
      </c>
      <c r="R72" s="2089" t="s">
        <v>1734</v>
      </c>
    </row>
    <row r="73" spans="1:18" s="1781" customFormat="1" ht="16.2" thickBot="1">
      <c r="A73" s="1817"/>
      <c r="B73" s="1818"/>
      <c r="C73" s="1818"/>
      <c r="K73" s="1807"/>
      <c r="O73" s="2091" t="s">
        <v>1757</v>
      </c>
      <c r="P73" s="2097" t="s">
        <v>1758</v>
      </c>
      <c r="Q73" s="2092">
        <f ca="1">F43</f>
        <v>0</v>
      </c>
      <c r="R73" s="2093"/>
    </row>
    <row r="74" spans="1:18" s="1781" customFormat="1" ht="16.2" thickBot="1">
      <c r="A74" s="1817"/>
      <c r="B74" s="1818"/>
      <c r="C74" s="1818"/>
      <c r="K74" s="1807"/>
      <c r="O74" s="2091" t="s">
        <v>1740</v>
      </c>
      <c r="P74" s="2089" t="s">
        <v>1747</v>
      </c>
      <c r="Q74" s="2092">
        <f>L53</f>
        <v>0</v>
      </c>
      <c r="R74" s="2093"/>
    </row>
    <row r="75" spans="1:18" s="1781" customFormat="1" ht="19.2" thickBot="1">
      <c r="A75" s="1817"/>
      <c r="B75" s="1818"/>
      <c r="C75" s="1818"/>
      <c r="K75" s="1807"/>
      <c r="O75" s="2091" t="s">
        <v>1742</v>
      </c>
      <c r="P75" s="2089" t="s">
        <v>1748</v>
      </c>
      <c r="Q75" s="2090">
        <f ca="1">L59</f>
        <v>0</v>
      </c>
      <c r="R75" s="2093" t="s">
        <v>1749</v>
      </c>
    </row>
    <row r="76" spans="1:18" s="1781" customFormat="1" ht="19.2" thickBot="1">
      <c r="A76" s="1817"/>
      <c r="B76" s="1818"/>
      <c r="C76" s="1818"/>
      <c r="K76" s="1807"/>
      <c r="O76" s="2091" t="s">
        <v>1771</v>
      </c>
      <c r="P76" s="2089" t="s">
        <v>1750</v>
      </c>
      <c r="Q76" s="2090">
        <f ca="1">L60</f>
        <v>0</v>
      </c>
      <c r="R76" s="2093" t="s">
        <v>1751</v>
      </c>
    </row>
    <row r="77" spans="1:18" s="1781" customFormat="1" ht="16.2"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5" t="s">
        <v>1254</v>
      </c>
      <c r="B1" s="706"/>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3998" t="s">
        <v>1807</v>
      </c>
      <c r="C6" s="747" t="e">
        <f ca="1">ROUND(F6*F8*F7*(1-F9)/10000,0)</f>
        <v>#N/A</v>
      </c>
      <c r="D6" s="2142" t="s">
        <v>1806</v>
      </c>
      <c r="E6" s="748" t="s">
        <v>1267</v>
      </c>
      <c r="F6" s="749" t="e">
        <f ca="1">INDIRECT("'数据-取费表'!u"&amp;$G$1)</f>
        <v>#N/A</v>
      </c>
      <c r="G6" s="1784"/>
      <c r="H6" s="2149" t="s">
        <v>1812</v>
      </c>
      <c r="I6" s="3998" t="s">
        <v>1807</v>
      </c>
      <c r="J6" s="747" t="e">
        <f ca="1">ROUND(M6*M8*M7*(1-M9)/10000,0)</f>
        <v>#N/A</v>
      </c>
      <c r="K6" s="332" t="s">
        <v>1266</v>
      </c>
      <c r="L6" s="748" t="s">
        <v>1267</v>
      </c>
      <c r="M6" s="749" t="e">
        <f ca="1">INDIRECT("'数据-取费表'!z"&amp;$G$1)</f>
        <v>#N/A</v>
      </c>
    </row>
    <row r="7" spans="1:33" ht="18" customHeight="1">
      <c r="A7" s="2145"/>
      <c r="B7" s="3999"/>
      <c r="C7" s="752"/>
      <c r="D7" s="753"/>
      <c r="E7" s="748" t="s">
        <v>1268</v>
      </c>
      <c r="F7" s="749" t="e">
        <f ca="1">IF(INDIRECT("'数据-取费表'!ah"&amp;$G$1)="",INDIRECT("'数据-取费表'!k"&amp;$G$1),INDIRECT("'数据-取费表'!ah"&amp;$G$1))</f>
        <v>#N/A</v>
      </c>
      <c r="G7" s="1784"/>
      <c r="H7" s="2134"/>
      <c r="I7" s="3999"/>
      <c r="J7" s="752"/>
      <c r="K7" s="753"/>
      <c r="L7" s="748" t="s">
        <v>1268</v>
      </c>
      <c r="M7" s="749" t="e">
        <f ca="1">F7</f>
        <v>#N/A</v>
      </c>
    </row>
    <row r="8" spans="1:33" ht="18" customHeight="1">
      <c r="A8" s="2138"/>
      <c r="B8" s="4000"/>
      <c r="C8" s="752"/>
      <c r="D8" s="753"/>
      <c r="E8" s="748" t="s">
        <v>1269</v>
      </c>
      <c r="F8" s="749" t="e">
        <f ca="1">INDIRECT("'数据-取费表'!ai"&amp;$G$1)</f>
        <v>#N/A</v>
      </c>
      <c r="G8" s="1784"/>
      <c r="H8" s="2134"/>
      <c r="I8" s="4000"/>
      <c r="J8" s="752"/>
      <c r="K8" s="753"/>
      <c r="L8" s="748" t="s">
        <v>1269</v>
      </c>
      <c r="M8" s="749" t="e">
        <f ca="1">INDIRECT("'数据-取费表'!ai"&amp;$G$1)</f>
        <v>#N/A</v>
      </c>
    </row>
    <row r="9" spans="1:33" ht="18" customHeight="1">
      <c r="A9" s="750"/>
      <c r="B9" s="4001"/>
      <c r="C9" s="752"/>
      <c r="D9" s="753"/>
      <c r="E9" s="748" t="s">
        <v>1270</v>
      </c>
      <c r="F9" s="758" t="e">
        <f ca="1">INDIRECT("'数据-取费表'!w"&amp;$G$1)</f>
        <v>#N/A</v>
      </c>
      <c r="G9" s="1784"/>
      <c r="H9" s="2150"/>
      <c r="I9" s="4000"/>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0.05</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0.02</v>
      </c>
      <c r="G18" s="3000"/>
      <c r="H18" s="1451" t="s">
        <v>1409</v>
      </c>
      <c r="I18" s="748" t="s">
        <v>1284</v>
      </c>
      <c r="J18" s="51" t="e">
        <f ca="1">ROUND(J6*M18/(1+'数据-取费表'!C42),2)</f>
        <v>#N/A</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3242</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0.02</v>
      </c>
      <c r="G20" s="3000"/>
      <c r="H20" s="1454" t="s">
        <v>1405</v>
      </c>
      <c r="I20" s="332" t="s">
        <v>1289</v>
      </c>
      <c r="J20" s="52" t="e">
        <f ca="1">ROUND(M20*M21/10000,2)</f>
        <v>#N/A</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0.03</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8">
        <f>'数据-取费表'!B20</f>
        <v>0.5</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0.03</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5.33E-2</v>
      </c>
      <c r="D28" s="775" t="s">
        <v>1656</v>
      </c>
      <c r="E28" s="748" t="s">
        <v>1314</v>
      </c>
      <c r="F28" s="773">
        <f>'数据-取费表'!B41</f>
        <v>5.6000000000000001E-2</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7" t="s">
        <v>2280</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5.6000000000000001E-2</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3242</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t="e">
        <f ca="1">ROUND(F34*F35/10000,2)</f>
        <v>#N/A</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7"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0">
        <v>1</v>
      </c>
      <c r="B47" s="3651" t="s">
        <v>583</v>
      </c>
      <c r="C47" s="3652" t="e">
        <f ca="1">C48+C52+C54</f>
        <v>#N/A</v>
      </c>
      <c r="D47" s="3653"/>
      <c r="E47" s="3653"/>
      <c r="F47" s="3654"/>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4004" t="s">
        <v>2226</v>
      </c>
      <c r="L53" s="4005"/>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5.6000000000000001E-2</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2" t="s">
        <v>615</v>
      </c>
      <c r="C61" s="52" t="e">
        <f ca="1">ROUND(F61*F62/10000,2)</f>
        <v>#N/A</v>
      </c>
      <c r="D61" s="777" t="s">
        <v>616</v>
      </c>
      <c r="E61" s="748" t="s">
        <v>617</v>
      </c>
      <c r="F61" s="608">
        <f t="shared" si="0"/>
        <v>1.5</v>
      </c>
      <c r="K61" s="1807"/>
      <c r="O61" s="2091" t="s">
        <v>1740</v>
      </c>
      <c r="P61" s="2089" t="s">
        <v>1748</v>
      </c>
      <c r="Q61" s="2090" t="e">
        <f ca="1">L58</f>
        <v>#N/A</v>
      </c>
      <c r="R61" s="2093" t="s">
        <v>1749</v>
      </c>
    </row>
    <row r="62" spans="1:18" s="1781" customFormat="1" ht="16.2"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6.2"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2"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6.2"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6"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19.2"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0.399999999999999" thickBot="1">
      <c r="A68" s="750"/>
      <c r="B68" s="751"/>
      <c r="C68" s="752"/>
      <c r="D68" s="784" t="s">
        <v>1337</v>
      </c>
      <c r="E68" s="748" t="s">
        <v>1313</v>
      </c>
      <c r="F68" s="785" t="e">
        <f ca="1">F41</f>
        <v>#N/A</v>
      </c>
      <c r="O68" s="2091" t="s">
        <v>1737</v>
      </c>
      <c r="P68" s="2089" t="s">
        <v>1767</v>
      </c>
      <c r="Q68" s="2095" t="e">
        <f ca="1">L51</f>
        <v>#N/A</v>
      </c>
      <c r="R68" s="2096" t="s">
        <v>1770</v>
      </c>
    </row>
    <row r="69" spans="1:18" ht="19.2" thickBot="1">
      <c r="A69" s="754"/>
      <c r="B69" s="755"/>
      <c r="C69" s="756"/>
      <c r="D69" s="779"/>
      <c r="E69" s="748" t="s">
        <v>657</v>
      </c>
      <c r="F69" s="2063"/>
      <c r="O69" s="2091" t="s">
        <v>1738</v>
      </c>
      <c r="P69" s="2097" t="s">
        <v>1752</v>
      </c>
      <c r="Q69" s="2090" t="e">
        <f ca="1">ROUND(Q70-Q71*Q72,0)</f>
        <v>#N/A</v>
      </c>
      <c r="R69" s="2093"/>
    </row>
    <row r="70" spans="1:18" ht="16.2"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6.2" thickBot="1">
      <c r="O71" s="2091" t="s">
        <v>1755</v>
      </c>
      <c r="P71" s="2097" t="s">
        <v>1756</v>
      </c>
      <c r="Q71" s="2090" t="e">
        <f ca="1">C13</f>
        <v>#N/A</v>
      </c>
      <c r="R71" s="2089" t="s">
        <v>1734</v>
      </c>
    </row>
    <row r="72" spans="1:18" ht="16.2" thickBot="1">
      <c r="O72" s="2091" t="s">
        <v>1757</v>
      </c>
      <c r="P72" s="2097" t="s">
        <v>1758</v>
      </c>
      <c r="Q72" s="2092" t="e">
        <f ca="1">J36</f>
        <v>#N/A</v>
      </c>
      <c r="R72" s="2093"/>
    </row>
    <row r="73" spans="1:18" ht="16.2" thickBot="1">
      <c r="O73" s="2091" t="s">
        <v>1740</v>
      </c>
      <c r="P73" s="2089" t="s">
        <v>1747</v>
      </c>
      <c r="Q73" s="2092">
        <f>L52</f>
        <v>0</v>
      </c>
      <c r="R73" s="2093"/>
    </row>
    <row r="74" spans="1:18" ht="19.2" thickBot="1">
      <c r="O74" s="2091" t="s">
        <v>1742</v>
      </c>
      <c r="P74" s="2089" t="s">
        <v>1748</v>
      </c>
      <c r="Q74" s="2090" t="e">
        <f ca="1">L58</f>
        <v>#N/A</v>
      </c>
      <c r="R74" s="2093" t="s">
        <v>1749</v>
      </c>
    </row>
    <row r="75" spans="1:18" ht="16.2" thickBot="1">
      <c r="O75" s="2091" t="s">
        <v>1771</v>
      </c>
      <c r="P75" s="2089" t="str">
        <f>K59</f>
        <v>建筑物剩余耐用年限下的土地年期修正系数Kn</v>
      </c>
      <c r="Q75" s="2090" t="e">
        <f ca="1">L59</f>
        <v>#N/A</v>
      </c>
      <c r="R75" s="2093" t="s">
        <v>1751</v>
      </c>
    </row>
    <row r="76" spans="1:18" ht="16.2"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2440</v>
      </c>
      <c r="B1" s="3055"/>
      <c r="C1" s="3068"/>
      <c r="D1" s="3068"/>
      <c r="E1" s="3056"/>
      <c r="F1" s="3057"/>
      <c r="G1" s="3058"/>
      <c r="J1" s="3061" t="s">
        <v>2297</v>
      </c>
      <c r="K1" s="3062"/>
      <c r="L1" s="3062"/>
      <c r="M1" s="3062"/>
      <c r="N1" s="3062"/>
      <c r="O1" s="3062"/>
      <c r="P1" s="3062"/>
      <c r="Q1" s="3062"/>
      <c r="R1" s="3063"/>
      <c r="S1" s="3064"/>
      <c r="T1" s="3064"/>
      <c r="U1" s="3064"/>
    </row>
    <row r="2" spans="1:22" s="3077" customFormat="1" ht="13.2" customHeight="1">
      <c r="A2" s="3066" t="s">
        <v>2298</v>
      </c>
      <c r="B2" s="3067" t="e">
        <f>C40</f>
        <v>#DIV/0!</v>
      </c>
      <c r="C2" s="3068" t="s">
        <v>2299</v>
      </c>
      <c r="D2" s="3068"/>
      <c r="E2" s="3069"/>
      <c r="F2" s="3070"/>
      <c r="G2" s="3071"/>
      <c r="H2" s="3072"/>
      <c r="I2" s="3073"/>
      <c r="J2" s="4012" t="s">
        <v>2300</v>
      </c>
      <c r="K2" s="4013"/>
      <c r="L2" s="3074" t="s">
        <v>2301</v>
      </c>
      <c r="M2" s="3074" t="s">
        <v>2302</v>
      </c>
      <c r="N2" s="3074" t="s">
        <v>2303</v>
      </c>
      <c r="O2" s="3074" t="s">
        <v>2304</v>
      </c>
      <c r="P2" s="3074" t="s">
        <v>2305</v>
      </c>
      <c r="Q2" s="3075" t="s">
        <v>2306</v>
      </c>
      <c r="R2" s="3076" t="s">
        <v>2307</v>
      </c>
      <c r="S2" s="3064"/>
      <c r="T2" s="3064"/>
      <c r="U2" s="3064"/>
      <c r="V2" s="3073"/>
    </row>
    <row r="3" spans="1:22" s="3077" customFormat="1" ht="13.2" customHeight="1">
      <c r="A3" s="3078" t="s">
        <v>2308</v>
      </c>
      <c r="B3" s="3079" t="e">
        <f>ROUND(B2*10000/B4,0)</f>
        <v>#DIV/0!</v>
      </c>
      <c r="C3" s="3068" t="s">
        <v>2309</v>
      </c>
      <c r="D3" s="3068"/>
      <c r="E3" s="3069"/>
      <c r="F3" s="3070"/>
      <c r="G3" s="3071"/>
      <c r="H3" s="3072"/>
      <c r="I3" s="3073"/>
      <c r="J3" s="4014" t="s">
        <v>2310</v>
      </c>
      <c r="K3" s="4015"/>
      <c r="L3" s="3080"/>
      <c r="M3" s="3080"/>
      <c r="N3" s="3080"/>
      <c r="O3" s="3080"/>
      <c r="P3" s="3080"/>
      <c r="Q3" s="3081"/>
      <c r="R3" s="3082">
        <f>SUM(L3:Q3)</f>
        <v>0</v>
      </c>
      <c r="S3" s="3064"/>
      <c r="T3" s="3064"/>
      <c r="U3" s="3064"/>
      <c r="V3" s="3073"/>
    </row>
    <row r="4" spans="1:22" s="3077" customFormat="1" ht="13.2" customHeight="1">
      <c r="A4" s="3083" t="s">
        <v>2311</v>
      </c>
      <c r="B4" s="3084"/>
      <c r="C4" s="3068"/>
      <c r="D4" s="3068"/>
      <c r="E4" s="3069"/>
      <c r="F4" s="3070"/>
      <c r="G4" s="3071"/>
      <c r="H4" s="3072"/>
      <c r="I4" s="3073"/>
      <c r="J4" s="4014" t="s">
        <v>2312</v>
      </c>
      <c r="K4" s="4015"/>
      <c r="L4" s="3085"/>
      <c r="M4" s="3085"/>
      <c r="N4" s="3085"/>
      <c r="O4" s="3085"/>
      <c r="P4" s="3085"/>
      <c r="Q4" s="3086"/>
      <c r="R4" s="3087">
        <f>SUM(L4:Q4)</f>
        <v>0</v>
      </c>
      <c r="S4" s="3064"/>
      <c r="T4" s="3064"/>
      <c r="U4" s="3064"/>
      <c r="V4" s="3073"/>
    </row>
    <row r="5" spans="1:22" s="3077" customFormat="1" ht="13.2" customHeight="1" thickBot="1">
      <c r="A5" s="3088" t="s">
        <v>2313</v>
      </c>
      <c r="B5" s="3089"/>
      <c r="C5" s="3068"/>
      <c r="D5" s="3090"/>
      <c r="E5" s="3070"/>
      <c r="F5" s="3070"/>
      <c r="G5" s="3071"/>
      <c r="H5" s="3072"/>
      <c r="I5" s="3073"/>
      <c r="J5" s="3091" t="s">
        <v>2314</v>
      </c>
      <c r="K5" s="3092"/>
      <c r="L5" s="3092"/>
      <c r="M5" s="3093"/>
      <c r="N5" s="3093"/>
      <c r="O5" s="3093"/>
      <c r="P5" s="3093"/>
      <c r="Q5" s="3093"/>
      <c r="R5" s="3076">
        <f>SUM(R14,R19,R24,R25,R27,R28)</f>
        <v>0</v>
      </c>
      <c r="S5" s="3064"/>
      <c r="T5" s="3064" t="s">
        <v>2315</v>
      </c>
      <c r="U5" s="3064" t="e">
        <f>ROUND(R5*10000/365/R3,1)</f>
        <v>#DIV/0!</v>
      </c>
      <c r="V5" s="3073"/>
    </row>
    <row r="6" spans="1:22" s="3077" customFormat="1" ht="13.2" customHeight="1" thickBot="1">
      <c r="A6" s="4020" t="s">
        <v>2316</v>
      </c>
      <c r="B6" s="4021"/>
      <c r="C6" s="4022"/>
      <c r="D6" s="3094"/>
      <c r="E6" s="3095"/>
      <c r="F6" s="3096"/>
      <c r="G6" s="3097"/>
      <c r="H6" s="3072"/>
      <c r="I6" s="3073"/>
      <c r="J6" s="4006">
        <v>1</v>
      </c>
      <c r="K6" s="4007" t="s">
        <v>2317</v>
      </c>
      <c r="L6" s="3098" t="s">
        <v>2318</v>
      </c>
      <c r="M6" s="3099" t="s">
        <v>2319</v>
      </c>
      <c r="N6" s="3099" t="s">
        <v>2320</v>
      </c>
      <c r="O6" s="3099" t="s">
        <v>2321</v>
      </c>
      <c r="P6" s="3099" t="s">
        <v>2322</v>
      </c>
      <c r="Q6" s="3099" t="s">
        <v>2323</v>
      </c>
      <c r="R6" s="3082" t="s">
        <v>2324</v>
      </c>
      <c r="S6" s="3064"/>
      <c r="T6" s="3064" t="s">
        <v>2325</v>
      </c>
      <c r="U6" s="3064"/>
      <c r="V6" s="3073"/>
    </row>
    <row r="7" spans="1:22" s="3077" customFormat="1" ht="13.2" customHeight="1">
      <c r="A7" s="3100" t="s">
        <v>2326</v>
      </c>
      <c r="B7" s="3101"/>
      <c r="C7" s="3102"/>
      <c r="D7" s="3103">
        <f>SUM(D9,D10,D11,D17,0)</f>
        <v>0</v>
      </c>
      <c r="E7" s="3104" t="e">
        <f>E9+E10+E11+E17</f>
        <v>#DIV/0!</v>
      </c>
      <c r="F7" s="3105"/>
      <c r="G7" s="3106"/>
      <c r="H7" s="3072"/>
      <c r="I7" s="3073"/>
      <c r="J7" s="4006"/>
      <c r="K7" s="4008"/>
      <c r="L7" s="3107" t="s">
        <v>2327</v>
      </c>
      <c r="M7" s="3108"/>
      <c r="N7" s="3084"/>
      <c r="O7" s="3109"/>
      <c r="P7" s="3109"/>
      <c r="Q7" s="3110">
        <v>365</v>
      </c>
      <c r="R7" s="3111">
        <f>ROUND(M7*N7*O7*P7*Q7/10000,0)</f>
        <v>0</v>
      </c>
      <c r="S7" s="3064"/>
      <c r="T7" s="3064" t="s">
        <v>2328</v>
      </c>
      <c r="U7" s="3064"/>
      <c r="V7" s="3073"/>
    </row>
    <row r="8" spans="1:22" s="3077" customFormat="1" ht="13.2" customHeight="1">
      <c r="A8" s="3112" t="s">
        <v>2329</v>
      </c>
      <c r="B8" s="4023" t="s">
        <v>2330</v>
      </c>
      <c r="C8" s="4024"/>
      <c r="D8" s="3113" t="s">
        <v>2331</v>
      </c>
      <c r="E8" s="3114" t="s">
        <v>2332</v>
      </c>
      <c r="F8" s="3115" t="s">
        <v>2333</v>
      </c>
      <c r="G8" s="3116"/>
      <c r="H8" s="3072"/>
      <c r="I8" s="3073"/>
      <c r="J8" s="4006"/>
      <c r="K8" s="4008"/>
      <c r="L8" s="3107" t="s">
        <v>2334</v>
      </c>
      <c r="M8" s="3108"/>
      <c r="N8" s="3084"/>
      <c r="O8" s="3109"/>
      <c r="P8" s="3109"/>
      <c r="Q8" s="3110">
        <v>365</v>
      </c>
      <c r="R8" s="3111">
        <f t="shared" ref="R8:R13" si="0">ROUND(M8*N8*O8*P8*Q8/10000,0)</f>
        <v>0</v>
      </c>
      <c r="S8" s="3064"/>
      <c r="T8" s="3064" t="s">
        <v>2335</v>
      </c>
      <c r="U8" s="3064"/>
      <c r="V8" s="3073"/>
    </row>
    <row r="9" spans="1:22" s="3077" customFormat="1" ht="13.2" customHeight="1">
      <c r="A9" s="3112">
        <v>1</v>
      </c>
      <c r="B9" s="4023" t="s">
        <v>2336</v>
      </c>
      <c r="C9" s="4024"/>
      <c r="D9" s="3113">
        <f>ROUND(D6*E9,0)</f>
        <v>0</v>
      </c>
      <c r="E9" s="3117"/>
      <c r="F9" s="3118" t="s">
        <v>2337</v>
      </c>
      <c r="G9" s="3097"/>
      <c r="H9" s="3072"/>
      <c r="I9" s="3073"/>
      <c r="J9" s="4006"/>
      <c r="K9" s="4008"/>
      <c r="L9" s="3107" t="s">
        <v>2338</v>
      </c>
      <c r="M9" s="3108"/>
      <c r="N9" s="3084"/>
      <c r="O9" s="3109"/>
      <c r="P9" s="3109"/>
      <c r="Q9" s="3110">
        <v>365</v>
      </c>
      <c r="R9" s="3111">
        <f t="shared" si="0"/>
        <v>0</v>
      </c>
      <c r="S9" s="3064"/>
      <c r="T9" s="3064"/>
      <c r="U9" s="3064"/>
      <c r="V9" s="3073"/>
    </row>
    <row r="10" spans="1:22" s="3077" customFormat="1" ht="13.2" customHeight="1">
      <c r="A10" s="3112">
        <v>2</v>
      </c>
      <c r="B10" s="4023" t="s">
        <v>2339</v>
      </c>
      <c r="C10" s="4024"/>
      <c r="D10" s="3113">
        <f>ROUND(D6*E10,0)</f>
        <v>0</v>
      </c>
      <c r="E10" s="3117"/>
      <c r="F10" s="3118" t="s">
        <v>2340</v>
      </c>
      <c r="G10" s="3097"/>
      <c r="H10" s="3072"/>
      <c r="I10" s="3073"/>
      <c r="J10" s="4006"/>
      <c r="K10" s="4008"/>
      <c r="L10" s="3107" t="s">
        <v>2341</v>
      </c>
      <c r="M10" s="3108"/>
      <c r="N10" s="3084"/>
      <c r="O10" s="3109"/>
      <c r="P10" s="3109"/>
      <c r="Q10" s="3110">
        <v>365</v>
      </c>
      <c r="R10" s="3111">
        <f t="shared" si="0"/>
        <v>0</v>
      </c>
      <c r="S10" s="3064"/>
      <c r="T10" s="3064"/>
      <c r="U10" s="3064"/>
      <c r="V10" s="3073"/>
    </row>
    <row r="11" spans="1:22" s="3077" customFormat="1" ht="13.2" customHeight="1">
      <c r="A11" s="3112">
        <v>3</v>
      </c>
      <c r="B11" s="4023" t="s">
        <v>2342</v>
      </c>
      <c r="C11" s="4024"/>
      <c r="D11" s="3113">
        <f>D12+D14+D15+D16</f>
        <v>0</v>
      </c>
      <c r="E11" s="3119" t="e">
        <f>D11/D6</f>
        <v>#DIV/0!</v>
      </c>
      <c r="F11" s="3115"/>
      <c r="G11" s="3116"/>
      <c r="H11" s="3072"/>
      <c r="I11" s="3073"/>
      <c r="J11" s="4006"/>
      <c r="K11" s="4008"/>
      <c r="L11" s="3107" t="s">
        <v>2343</v>
      </c>
      <c r="M11" s="3108"/>
      <c r="N11" s="3084"/>
      <c r="O11" s="3109"/>
      <c r="P11" s="3109"/>
      <c r="Q11" s="3110">
        <v>365</v>
      </c>
      <c r="R11" s="3111">
        <f t="shared" si="0"/>
        <v>0</v>
      </c>
      <c r="S11" s="3064"/>
      <c r="T11" s="3064"/>
      <c r="U11" s="3064"/>
      <c r="V11" s="3073"/>
    </row>
    <row r="12" spans="1:22" s="3077" customFormat="1" ht="13.2" customHeight="1">
      <c r="A12" s="3120" t="s">
        <v>2344</v>
      </c>
      <c r="B12" s="4016" t="s">
        <v>2345</v>
      </c>
      <c r="C12" s="4017"/>
      <c r="D12" s="3121">
        <f>ROUND(D13*1.2%*(1-30%),0)</f>
        <v>0</v>
      </c>
      <c r="E12" s="3122">
        <v>1.2E-2</v>
      </c>
      <c r="F12" s="3115" t="s">
        <v>2346</v>
      </c>
      <c r="G12" s="3116"/>
      <c r="H12" s="3072"/>
      <c r="I12" s="3073"/>
      <c r="J12" s="4006"/>
      <c r="K12" s="4008"/>
      <c r="L12" s="3107" t="s">
        <v>2347</v>
      </c>
      <c r="M12" s="3108"/>
      <c r="N12" s="3084"/>
      <c r="O12" s="3109"/>
      <c r="P12" s="3109"/>
      <c r="Q12" s="3110">
        <v>365</v>
      </c>
      <c r="R12" s="3111">
        <f t="shared" si="0"/>
        <v>0</v>
      </c>
      <c r="S12" s="3064"/>
      <c r="T12" s="3064"/>
      <c r="U12" s="3064"/>
      <c r="V12" s="3073"/>
    </row>
    <row r="13" spans="1:22" s="3077" customFormat="1" ht="13.2" customHeight="1">
      <c r="A13" s="3120"/>
      <c r="B13" s="3123"/>
      <c r="C13" s="3124" t="s">
        <v>2348</v>
      </c>
      <c r="D13" s="3125"/>
      <c r="E13" s="3126"/>
      <c r="F13" s="3115"/>
      <c r="G13" s="3116"/>
      <c r="H13" s="3072"/>
      <c r="I13" s="3073"/>
      <c r="J13" s="4006"/>
      <c r="K13" s="4008"/>
      <c r="L13" s="3107" t="s">
        <v>2349</v>
      </c>
      <c r="M13" s="3108"/>
      <c r="N13" s="3084"/>
      <c r="O13" s="3109"/>
      <c r="P13" s="3109"/>
      <c r="Q13" s="3110">
        <v>365</v>
      </c>
      <c r="R13" s="3111">
        <f t="shared" si="0"/>
        <v>0</v>
      </c>
      <c r="S13" s="3064"/>
      <c r="T13" s="3064"/>
      <c r="U13" s="3064"/>
      <c r="V13" s="3073"/>
    </row>
    <row r="14" spans="1:22" s="3077" customFormat="1" ht="13.2" customHeight="1">
      <c r="A14" s="3120" t="s">
        <v>2350</v>
      </c>
      <c r="B14" s="4016" t="s">
        <v>2351</v>
      </c>
      <c r="C14" s="4017"/>
      <c r="D14" s="3121">
        <f>ROUND(E14*B5/10000,0)</f>
        <v>0</v>
      </c>
      <c r="E14" s="3110"/>
      <c r="F14" s="3115" t="s">
        <v>2352</v>
      </c>
      <c r="G14" s="3116"/>
      <c r="H14" s="3072"/>
      <c r="I14" s="3073"/>
      <c r="J14" s="4006"/>
      <c r="K14" s="4009"/>
      <c r="L14" s="3127" t="s">
        <v>2353</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2354</v>
      </c>
      <c r="B15" s="4016" t="s">
        <v>2355</v>
      </c>
      <c r="C15" s="4017"/>
      <c r="D15" s="3121">
        <f>ROUND(D6*E15,0)</f>
        <v>0</v>
      </c>
      <c r="E15" s="3122">
        <v>5.5E-2</v>
      </c>
      <c r="F15" s="3115" t="s">
        <v>2356</v>
      </c>
      <c r="G15" s="3097"/>
      <c r="H15" s="3072"/>
      <c r="I15" s="3073"/>
      <c r="J15" s="4006">
        <v>2</v>
      </c>
      <c r="K15" s="4007" t="s">
        <v>2357</v>
      </c>
      <c r="L15" s="3107" t="s">
        <v>2358</v>
      </c>
      <c r="M15" s="3108" t="s">
        <v>2359</v>
      </c>
      <c r="N15" s="3108" t="s">
        <v>2360</v>
      </c>
      <c r="O15" s="3109" t="s">
        <v>2361</v>
      </c>
      <c r="P15" s="3109" t="s">
        <v>2362</v>
      </c>
      <c r="Q15" s="3084" t="s">
        <v>2363</v>
      </c>
      <c r="R15" s="3131" t="s">
        <v>2364</v>
      </c>
      <c r="S15" s="3064"/>
      <c r="T15" s="3064"/>
      <c r="U15" s="3064"/>
      <c r="V15" s="3073"/>
    </row>
    <row r="16" spans="1:22" s="3077" customFormat="1" ht="13.2" customHeight="1">
      <c r="A16" s="3120" t="s">
        <v>2365</v>
      </c>
      <c r="B16" s="4016" t="s">
        <v>2366</v>
      </c>
      <c r="C16" s="4017"/>
      <c r="D16" s="3132">
        <f>D6*E16</f>
        <v>0</v>
      </c>
      <c r="E16" s="3133"/>
      <c r="F16" s="3118" t="s">
        <v>2367</v>
      </c>
      <c r="G16" s="3097"/>
      <c r="H16" s="3072"/>
      <c r="I16" s="3073"/>
      <c r="J16" s="4006"/>
      <c r="K16" s="4008"/>
      <c r="L16" s="3107" t="s">
        <v>2368</v>
      </c>
      <c r="M16" s="3108"/>
      <c r="N16" s="3108"/>
      <c r="O16" s="3109"/>
      <c r="P16" s="3110">
        <v>365</v>
      </c>
      <c r="Q16" s="3084"/>
      <c r="R16" s="3131">
        <f>ROUND(M16*N16*O16*P16/10000,0)</f>
        <v>0</v>
      </c>
      <c r="S16" s="3064"/>
      <c r="T16" s="3064"/>
      <c r="U16" s="3064"/>
      <c r="V16" s="3073"/>
    </row>
    <row r="17" spans="1:22" s="3077" customFormat="1" ht="13.2" customHeight="1" thickBot="1">
      <c r="A17" s="3134">
        <v>4</v>
      </c>
      <c r="B17" s="4018" t="s">
        <v>2369</v>
      </c>
      <c r="C17" s="4019"/>
      <c r="D17" s="3135">
        <f>ROUND(D6*E17,0)</f>
        <v>0</v>
      </c>
      <c r="E17" s="3136"/>
      <c r="F17" s="3137" t="s">
        <v>2370</v>
      </c>
      <c r="G17" s="3097"/>
      <c r="H17" s="3072"/>
      <c r="I17" s="3073"/>
      <c r="J17" s="4006"/>
      <c r="K17" s="4008"/>
      <c r="L17" s="3107" t="s">
        <v>2371</v>
      </c>
      <c r="M17" s="3108"/>
      <c r="N17" s="3108"/>
      <c r="O17" s="3109"/>
      <c r="P17" s="3110">
        <v>365</v>
      </c>
      <c r="Q17" s="3084"/>
      <c r="R17" s="3131">
        <f>ROUND(M17*N17*O17*P17/10000,0)</f>
        <v>0</v>
      </c>
      <c r="S17" s="3064"/>
      <c r="T17" s="3064"/>
      <c r="U17" s="3064"/>
      <c r="V17" s="3073"/>
    </row>
    <row r="18" spans="1:22" s="3077" customFormat="1" ht="13.2" customHeight="1" thickBot="1">
      <c r="A18" s="3100" t="s">
        <v>2372</v>
      </c>
      <c r="B18" s="3101"/>
      <c r="C18" s="3101"/>
      <c r="D18" s="3138">
        <f>ROUND(D6*E18,0)</f>
        <v>0</v>
      </c>
      <c r="E18" s="3139"/>
      <c r="F18" s="3140" t="s">
        <v>2373</v>
      </c>
      <c r="G18" s="3097"/>
      <c r="H18" s="3072"/>
      <c r="I18" s="3073"/>
      <c r="J18" s="4006"/>
      <c r="K18" s="4008"/>
      <c r="L18" s="3107" t="s">
        <v>2374</v>
      </c>
      <c r="M18" s="3108"/>
      <c r="N18" s="3108"/>
      <c r="O18" s="3109"/>
      <c r="P18" s="3110">
        <v>365</v>
      </c>
      <c r="Q18" s="3084"/>
      <c r="R18" s="3131">
        <f>ROUND(M18*N18*O18*P18/10000,0)</f>
        <v>0</v>
      </c>
      <c r="S18" s="3064"/>
      <c r="T18" s="3064"/>
      <c r="U18" s="3064"/>
      <c r="V18" s="3073"/>
    </row>
    <row r="19" spans="1:22" s="3077" customFormat="1" ht="13.2" customHeight="1" thickBot="1">
      <c r="A19" s="3141" t="s">
        <v>2375</v>
      </c>
      <c r="B19" s="3095"/>
      <c r="C19" s="3095"/>
      <c r="D19" s="3095"/>
      <c r="E19" s="3095"/>
      <c r="F19" s="3096"/>
      <c r="G19" s="3116"/>
      <c r="H19" s="3072"/>
      <c r="I19" s="3073"/>
      <c r="J19" s="4006"/>
      <c r="K19" s="4009"/>
      <c r="L19" s="3127" t="s">
        <v>2353</v>
      </c>
      <c r="M19" s="3128"/>
      <c r="N19" s="3128">
        <f>SUM(N16:N18)</f>
        <v>0</v>
      </c>
      <c r="O19" s="3129"/>
      <c r="P19" s="3142" t="s">
        <v>2441</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4006">
        <v>3</v>
      </c>
      <c r="K20" s="4007" t="s">
        <v>2376</v>
      </c>
      <c r="L20" s="3107" t="s">
        <v>2377</v>
      </c>
      <c r="M20" s="3108" t="s">
        <v>2378</v>
      </c>
      <c r="N20" s="3145" t="s">
        <v>2379</v>
      </c>
      <c r="O20" s="3109" t="s">
        <v>2380</v>
      </c>
      <c r="P20" s="3110" t="s">
        <v>2381</v>
      </c>
      <c r="Q20" s="3084" t="s">
        <v>2382</v>
      </c>
      <c r="R20" s="3131" t="s">
        <v>2324</v>
      </c>
      <c r="S20" s="3146"/>
      <c r="T20" s="3146"/>
      <c r="U20" s="3146"/>
      <c r="V20" s="3073"/>
    </row>
    <row r="21" spans="1:22" s="3077" customFormat="1" ht="13.2" customHeight="1">
      <c r="A21" s="3100"/>
      <c r="B21" s="3101"/>
      <c r="C21" s="3147" t="s">
        <v>2383</v>
      </c>
      <c r="D21" s="3148" t="s">
        <v>2384</v>
      </c>
      <c r="E21" s="3149" t="s">
        <v>2385</v>
      </c>
      <c r="F21" s="3144"/>
      <c r="G21" s="3116"/>
      <c r="H21" s="3072"/>
      <c r="I21" s="3073"/>
      <c r="J21" s="4006"/>
      <c r="K21" s="4008"/>
      <c r="L21" s="3107" t="s">
        <v>2386</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2387</v>
      </c>
      <c r="D22" s="3152" t="s">
        <v>2388</v>
      </c>
      <c r="E22" s="3153" t="s">
        <v>2389</v>
      </c>
      <c r="F22" s="3144"/>
      <c r="G22" s="3154"/>
      <c r="H22" s="3072"/>
      <c r="I22" s="3073"/>
      <c r="J22" s="4006"/>
      <c r="K22" s="4008"/>
      <c r="L22" s="3107" t="s">
        <v>2390</v>
      </c>
      <c r="M22" s="3108"/>
      <c r="N22" s="3108"/>
      <c r="O22" s="3109"/>
      <c r="P22" s="3110">
        <v>365</v>
      </c>
      <c r="Q22" s="3084"/>
      <c r="R22" s="3150">
        <f>ROUND(M22*N22*O22*P22/10000,0)</f>
        <v>0</v>
      </c>
      <c r="S22" s="3146"/>
      <c r="T22" s="3146"/>
      <c r="U22" s="3146"/>
      <c r="V22" s="3073"/>
    </row>
    <row r="23" spans="1:22" s="3077" customFormat="1" ht="13.2" customHeight="1">
      <c r="A23" s="3155">
        <v>1</v>
      </c>
      <c r="B23" s="3156" t="s">
        <v>2391</v>
      </c>
      <c r="C23" s="3157">
        <f>D6</f>
        <v>0</v>
      </c>
      <c r="D23" s="3158">
        <f>C23*(1+D24)</f>
        <v>0</v>
      </c>
      <c r="E23" s="3159">
        <f>D23*(1+E24)</f>
        <v>0</v>
      </c>
      <c r="F23" s="3160"/>
      <c r="G23" s="3161"/>
      <c r="H23" s="3072"/>
      <c r="I23" s="3073"/>
      <c r="J23" s="4006"/>
      <c r="K23" s="4008"/>
      <c r="L23" s="3107" t="s">
        <v>2392</v>
      </c>
      <c r="M23" s="3108"/>
      <c r="N23" s="3108"/>
      <c r="O23" s="3109"/>
      <c r="P23" s="3110">
        <v>365</v>
      </c>
      <c r="Q23" s="3084"/>
      <c r="R23" s="3150">
        <f>ROUND(M23*N23*O23*P23/10000,0)</f>
        <v>0</v>
      </c>
      <c r="S23" s="3064"/>
      <c r="T23" s="3064"/>
      <c r="U23" s="3064"/>
      <c r="V23" s="3073"/>
    </row>
    <row r="24" spans="1:22" s="3077" customFormat="1" ht="13.2" customHeight="1">
      <c r="A24" s="3162"/>
      <c r="B24" s="3163" t="s">
        <v>2393</v>
      </c>
      <c r="C24" s="3164"/>
      <c r="D24" s="3165"/>
      <c r="E24" s="3166"/>
      <c r="F24" s="3167"/>
      <c r="G24" s="3161"/>
      <c r="H24" s="3072"/>
      <c r="I24" s="3073"/>
      <c r="J24" s="4006"/>
      <c r="K24" s="4009"/>
      <c r="L24" s="3127" t="s">
        <v>2353</v>
      </c>
      <c r="M24" s="3128">
        <f>SUM(M21:M23)</f>
        <v>0</v>
      </c>
      <c r="N24" s="3128"/>
      <c r="O24" s="3129"/>
      <c r="P24" s="3142" t="s">
        <v>2441</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2394</v>
      </c>
      <c r="L25" s="3170"/>
      <c r="M25" s="3170"/>
      <c r="N25" s="3170"/>
      <c r="O25" s="3170"/>
      <c r="P25" s="3171"/>
      <c r="Q25" s="3172"/>
      <c r="R25" s="3143">
        <f>ROUND(R14*Q25,0)</f>
        <v>0</v>
      </c>
      <c r="S25" s="3064"/>
      <c r="T25" s="3064"/>
      <c r="U25" s="3064"/>
      <c r="V25" s="3173"/>
    </row>
    <row r="26" spans="1:22" s="3174" customFormat="1" ht="13.2" customHeight="1">
      <c r="A26" s="3155">
        <v>2</v>
      </c>
      <c r="B26" s="3156" t="s">
        <v>2395</v>
      </c>
      <c r="C26" s="3157">
        <f>D7</f>
        <v>0</v>
      </c>
      <c r="D26" s="3158">
        <f>D23*D27</f>
        <v>0</v>
      </c>
      <c r="E26" s="3159">
        <f>E23*E27</f>
        <v>0</v>
      </c>
      <c r="F26" s="3160"/>
      <c r="G26" s="3161"/>
      <c r="H26" s="3072"/>
      <c r="I26" s="3073"/>
      <c r="J26" s="4010">
        <v>5</v>
      </c>
      <c r="K26" s="3175" t="s">
        <v>2396</v>
      </c>
      <c r="L26" s="3176"/>
      <c r="M26" s="3177"/>
      <c r="N26" s="3178" t="s">
        <v>2397</v>
      </c>
      <c r="O26" s="3178" t="s">
        <v>2398</v>
      </c>
      <c r="P26" s="3179" t="s">
        <v>2399</v>
      </c>
      <c r="Q26" s="3179" t="s">
        <v>2400</v>
      </c>
      <c r="R26" s="3082" t="s">
        <v>2401</v>
      </c>
      <c r="S26" s="3180"/>
      <c r="T26" s="3180"/>
      <c r="U26" s="3180"/>
      <c r="V26" s="3173"/>
    </row>
    <row r="27" spans="1:22" s="3077" customFormat="1" ht="13.2" customHeight="1">
      <c r="A27" s="3162"/>
      <c r="B27" s="3163" t="s">
        <v>2402</v>
      </c>
      <c r="C27" s="3181" t="e">
        <f>E7</f>
        <v>#DIV/0!</v>
      </c>
      <c r="D27" s="3165"/>
      <c r="E27" s="3166"/>
      <c r="F27" s="3167"/>
      <c r="G27" s="3161"/>
      <c r="H27" s="3182"/>
      <c r="I27" s="3173"/>
      <c r="J27" s="4011"/>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2403</v>
      </c>
      <c r="F28" s="3167"/>
      <c r="G28" s="3154"/>
      <c r="H28" s="3182"/>
      <c r="I28" s="3173"/>
      <c r="J28" s="3188">
        <v>6</v>
      </c>
      <c r="K28" s="3189" t="s">
        <v>2404</v>
      </c>
      <c r="L28" s="3190" t="s">
        <v>2405</v>
      </c>
      <c r="M28" s="3191"/>
      <c r="N28" s="3190" t="s">
        <v>2406</v>
      </c>
      <c r="O28" s="3192"/>
      <c r="P28" s="3190" t="s">
        <v>2407</v>
      </c>
      <c r="Q28" s="3193">
        <v>1.4999999999999999E-2</v>
      </c>
      <c r="R28" s="3194"/>
      <c r="S28" s="3146"/>
      <c r="T28" s="3146"/>
      <c r="U28" s="3146"/>
      <c r="V28" s="3173"/>
    </row>
    <row r="29" spans="1:22" s="3174" customFormat="1" ht="13.2" customHeight="1">
      <c r="A29" s="3155">
        <v>3</v>
      </c>
      <c r="B29" s="3156" t="s">
        <v>2408</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2409</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2410</v>
      </c>
      <c r="K31" s="3062"/>
      <c r="L31" s="3062"/>
      <c r="M31" s="3062"/>
      <c r="N31" s="3062"/>
      <c r="O31" s="3062"/>
      <c r="P31" s="3062"/>
      <c r="Q31" s="3062"/>
      <c r="R31" s="3063"/>
      <c r="S31" s="3146"/>
      <c r="T31" s="3064"/>
      <c r="U31" s="3064"/>
      <c r="V31" s="3173"/>
    </row>
    <row r="32" spans="1:22" s="3174" customFormat="1" ht="13.2" customHeight="1">
      <c r="A32" s="3155">
        <v>4</v>
      </c>
      <c r="B32" s="3156" t="s">
        <v>2411</v>
      </c>
      <c r="C32" s="3157">
        <f>C23-C26-C29</f>
        <v>0</v>
      </c>
      <c r="D32" s="3158">
        <f>D23-D26-D29</f>
        <v>0</v>
      </c>
      <c r="E32" s="3159">
        <f>E23-E26-E29</f>
        <v>0</v>
      </c>
      <c r="F32" s="3160"/>
      <c r="G32" s="3154"/>
      <c r="H32" s="3072"/>
      <c r="I32" s="3073"/>
      <c r="J32" s="4012" t="s">
        <v>2412</v>
      </c>
      <c r="K32" s="4013"/>
      <c r="L32" s="3074" t="s">
        <v>2413</v>
      </c>
      <c r="M32" s="3074" t="s">
        <v>2302</v>
      </c>
      <c r="N32" s="3074" t="s">
        <v>2303</v>
      </c>
      <c r="O32" s="3074" t="s">
        <v>2304</v>
      </c>
      <c r="P32" s="3074" t="s">
        <v>2305</v>
      </c>
      <c r="Q32" s="3075" t="s">
        <v>2414</v>
      </c>
      <c r="R32" s="3197" t="s">
        <v>2415</v>
      </c>
      <c r="S32" s="3146"/>
      <c r="T32" s="3064"/>
      <c r="U32" s="3064"/>
      <c r="V32" s="3173"/>
    </row>
    <row r="33" spans="1:23" s="3077" customFormat="1" ht="13.2" customHeight="1">
      <c r="A33" s="3155"/>
      <c r="B33" s="3156"/>
      <c r="C33" s="3157"/>
      <c r="D33" s="3198"/>
      <c r="E33" s="3199"/>
      <c r="F33" s="3160"/>
      <c r="G33" s="3154"/>
      <c r="H33" s="3182"/>
      <c r="I33" s="3173"/>
      <c r="J33" s="4014" t="s">
        <v>2416</v>
      </c>
      <c r="K33" s="4015"/>
      <c r="L33" s="3080"/>
      <c r="M33" s="3080"/>
      <c r="N33" s="3080"/>
      <c r="O33" s="3080"/>
      <c r="P33" s="3080"/>
      <c r="Q33" s="3081"/>
      <c r="R33" s="3200">
        <f>SUM(L33:Q33)</f>
        <v>0</v>
      </c>
      <c r="S33" s="3146"/>
      <c r="T33" s="3064"/>
      <c r="U33" s="3064"/>
      <c r="V33" s="3073"/>
    </row>
    <row r="34" spans="1:23" s="3077" customFormat="1" ht="13.2" customHeight="1">
      <c r="A34" s="3155">
        <v>5</v>
      </c>
      <c r="B34" s="3156" t="s">
        <v>2417</v>
      </c>
      <c r="C34" s="3201"/>
      <c r="D34" s="3202"/>
      <c r="E34" s="3203"/>
      <c r="F34" s="3160"/>
      <c r="G34" s="3154"/>
      <c r="H34" s="3182"/>
      <c r="I34" s="3173"/>
      <c r="J34" s="4014" t="s">
        <v>2418</v>
      </c>
      <c r="K34" s="4015"/>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2419</v>
      </c>
      <c r="C35" s="3205"/>
      <c r="D35" s="3206"/>
      <c r="E35" s="3207"/>
      <c r="F35" s="3160"/>
      <c r="G35" s="3208"/>
      <c r="H35" s="3072"/>
      <c r="I35" s="3173"/>
      <c r="J35" s="3091" t="s">
        <v>2420</v>
      </c>
      <c r="K35" s="3092"/>
      <c r="L35" s="3092"/>
      <c r="M35" s="3093"/>
      <c r="N35" s="3093"/>
      <c r="O35" s="3093"/>
      <c r="P35" s="3093"/>
      <c r="Q35" s="3093"/>
      <c r="R35" s="3209">
        <f>R40+R41+R43</f>
        <v>0</v>
      </c>
      <c r="S35" s="3146"/>
      <c r="T35" s="3064" t="s">
        <v>2421</v>
      </c>
      <c r="U35" s="3064"/>
      <c r="V35" s="3073"/>
    </row>
    <row r="36" spans="1:23" s="3077" customFormat="1" ht="13.2" customHeight="1" thickBot="1">
      <c r="A36" s="3155">
        <v>7</v>
      </c>
      <c r="B36" s="3210" t="s">
        <v>2422</v>
      </c>
      <c r="C36" s="3211"/>
      <c r="D36" s="3212"/>
      <c r="E36" s="3213"/>
      <c r="F36" s="3214">
        <f>C36+D36+E36</f>
        <v>0</v>
      </c>
      <c r="G36" s="3154"/>
      <c r="H36" s="3072"/>
      <c r="I36" s="3073"/>
      <c r="J36" s="4006">
        <v>1</v>
      </c>
      <c r="K36" s="4007" t="s">
        <v>2423</v>
      </c>
      <c r="L36" s="3098"/>
      <c r="M36" s="3099"/>
      <c r="N36" s="3099"/>
      <c r="O36" s="3099"/>
      <c r="P36" s="3099"/>
      <c r="Q36" s="3099"/>
      <c r="R36" s="3082" t="s">
        <v>2324</v>
      </c>
      <c r="S36" s="3146"/>
      <c r="T36" s="3064" t="s">
        <v>2325</v>
      </c>
      <c r="U36" s="3064"/>
      <c r="V36" s="3073"/>
    </row>
    <row r="37" spans="1:23" s="3077" customFormat="1" ht="13.2" customHeight="1">
      <c r="A37" s="3155"/>
      <c r="B37" s="3156"/>
      <c r="C37" s="3156"/>
      <c r="D37" s="3156"/>
      <c r="E37" s="3156"/>
      <c r="F37" s="3160"/>
      <c r="G37" s="3154"/>
      <c r="H37" s="3072"/>
      <c r="I37" s="3073"/>
      <c r="J37" s="4006"/>
      <c r="K37" s="4008"/>
      <c r="L37" s="3107"/>
      <c r="M37" s="3108"/>
      <c r="N37" s="3084"/>
      <c r="O37" s="3109"/>
      <c r="P37" s="3109"/>
      <c r="Q37" s="3110"/>
      <c r="R37" s="3111"/>
      <c r="S37" s="3146"/>
      <c r="T37" s="3064" t="s">
        <v>2328</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4006"/>
      <c r="K38" s="4008"/>
      <c r="L38" s="3107"/>
      <c r="M38" s="3108"/>
      <c r="N38" s="3084"/>
      <c r="O38" s="3109"/>
      <c r="P38" s="3109"/>
      <c r="Q38" s="3110"/>
      <c r="R38" s="3111"/>
      <c r="S38" s="3146"/>
      <c r="T38" s="3064" t="s">
        <v>2335</v>
      </c>
      <c r="U38" s="3064"/>
      <c r="V38" s="3073"/>
    </row>
    <row r="39" spans="1:23" s="3077" customFormat="1" ht="13.2" customHeight="1">
      <c r="A39" s="3155">
        <v>9</v>
      </c>
      <c r="B39" s="3156" t="s">
        <v>2424</v>
      </c>
      <c r="C39" s="3121" t="e">
        <f>C38</f>
        <v>#DIV/0!</v>
      </c>
      <c r="D39" s="3156">
        <f>D38/(1+D34)^C36</f>
        <v>0</v>
      </c>
      <c r="E39" s="3156">
        <f>E38/(1+E34)^(C36+D36)</f>
        <v>0</v>
      </c>
      <c r="F39" s="3160"/>
      <c r="G39" s="3215"/>
      <c r="H39" s="3072"/>
      <c r="I39" s="3073"/>
      <c r="J39" s="4006"/>
      <c r="K39" s="4008"/>
      <c r="L39" s="3107"/>
      <c r="M39" s="3108"/>
      <c r="N39" s="3084"/>
      <c r="O39" s="3109"/>
      <c r="P39" s="3109"/>
      <c r="Q39" s="3110"/>
      <c r="R39" s="3111"/>
      <c r="S39" s="3146"/>
      <c r="T39" s="3064"/>
      <c r="U39" s="3064"/>
      <c r="V39" s="3073"/>
    </row>
    <row r="40" spans="1:23" s="3077" customFormat="1" ht="13.2" customHeight="1">
      <c r="A40" s="3216">
        <v>10</v>
      </c>
      <c r="B40" s="3156" t="s">
        <v>2425</v>
      </c>
      <c r="C40" s="3217" t="e">
        <f>C39+D39+E39</f>
        <v>#DIV/0!</v>
      </c>
      <c r="D40" s="3218"/>
      <c r="E40" s="3218"/>
      <c r="F40" s="3219"/>
      <c r="G40" s="3154"/>
      <c r="H40" s="3072"/>
      <c r="I40" s="3073"/>
      <c r="J40" s="4006"/>
      <c r="K40" s="4009"/>
      <c r="L40" s="3127" t="s">
        <v>2426</v>
      </c>
      <c r="M40" s="3128"/>
      <c r="N40" s="3128"/>
      <c r="O40" s="3129"/>
      <c r="P40" s="3129"/>
      <c r="Q40" s="3130"/>
      <c r="R40" s="3076">
        <f>SUM(R37:R39)</f>
        <v>0</v>
      </c>
      <c r="S40" s="3146"/>
      <c r="T40" s="3064"/>
      <c r="U40" s="3064"/>
      <c r="V40" s="3073"/>
    </row>
    <row r="41" spans="1:23" s="3077" customFormat="1" ht="13.2" customHeight="1" thickBot="1">
      <c r="A41" s="3220">
        <v>11</v>
      </c>
      <c r="B41" s="3221" t="s">
        <v>2427</v>
      </c>
      <c r="C41" s="3221" t="e">
        <f>ROUND(C40*10000/B4,0)</f>
        <v>#DIV/0!</v>
      </c>
      <c r="D41" s="3222"/>
      <c r="E41" s="3222"/>
      <c r="F41" s="3223"/>
      <c r="G41" s="3224"/>
      <c r="H41" s="3072"/>
      <c r="I41" s="3073"/>
      <c r="J41" s="3168">
        <v>2</v>
      </c>
      <c r="K41" s="3169" t="s">
        <v>2428</v>
      </c>
      <c r="L41" s="3170"/>
      <c r="M41" s="3170"/>
      <c r="N41" s="3170"/>
      <c r="O41" s="3170"/>
      <c r="P41" s="3171"/>
      <c r="Q41" s="3172"/>
      <c r="R41" s="3143">
        <f>ROUND(R40*Q41,0)</f>
        <v>0</v>
      </c>
      <c r="S41" s="3146"/>
      <c r="T41" s="3064"/>
      <c r="U41" s="3180"/>
      <c r="V41" s="3073"/>
    </row>
    <row r="42" spans="1:23" s="3077" customFormat="1" ht="13.2" customHeight="1">
      <c r="G42" s="3224"/>
      <c r="H42" s="3072"/>
      <c r="I42" s="3073"/>
      <c r="J42" s="4010">
        <v>3</v>
      </c>
      <c r="K42" s="3175" t="s">
        <v>2429</v>
      </c>
      <c r="L42" s="3176"/>
      <c r="M42" s="3177"/>
      <c r="N42" s="3178" t="s">
        <v>2430</v>
      </c>
      <c r="O42" s="3178" t="s">
        <v>2431</v>
      </c>
      <c r="P42" s="3179" t="s">
        <v>2432</v>
      </c>
      <c r="Q42" s="3179" t="s">
        <v>2433</v>
      </c>
      <c r="R42" s="3082" t="s">
        <v>2434</v>
      </c>
      <c r="S42" s="3180"/>
      <c r="T42" s="3180"/>
      <c r="U42" s="3064"/>
      <c r="V42" s="3073"/>
    </row>
    <row r="43" spans="1:23" ht="13.2" customHeight="1">
      <c r="A43" s="3077"/>
      <c r="B43" s="3077"/>
      <c r="C43" s="3077"/>
      <c r="D43" s="3077"/>
      <c r="E43" s="3077"/>
      <c r="F43" s="3077"/>
      <c r="I43" s="3059"/>
      <c r="J43" s="4011"/>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2435</v>
      </c>
      <c r="L44" s="3228" t="s">
        <v>2436</v>
      </c>
      <c r="M44" s="3191"/>
      <c r="N44" s="3228" t="s">
        <v>2437</v>
      </c>
      <c r="O44" s="3191"/>
      <c r="P44" s="3228" t="s">
        <v>2438</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3203125" defaultRowHeight="13.2"/>
  <cols>
    <col min="1" max="1" width="9.33203125" style="1905" customWidth="1"/>
    <col min="2" max="2" width="26.6640625" style="1906" customWidth="1"/>
    <col min="3" max="3" width="11.109375" style="1906" customWidth="1"/>
    <col min="4" max="5" width="11.109375" style="1907" customWidth="1"/>
    <col min="6" max="6" width="9.44140625" style="1906" customWidth="1"/>
    <col min="7" max="7" width="31.88671875" style="1906" customWidth="1"/>
    <col min="8" max="25" width="9" style="1908" customWidth="1"/>
    <col min="26" max="254" width="9" style="1906" customWidth="1"/>
    <col min="255" max="16384" width="8.33203125" style="1906"/>
  </cols>
  <sheetData>
    <row r="1" spans="1:25" s="1781" customFormat="1" ht="21">
      <c r="A1" s="408" t="s">
        <v>551</v>
      </c>
      <c r="B1" s="710"/>
      <c r="C1" s="1902"/>
      <c r="D1" s="1902"/>
      <c r="E1" s="1902"/>
      <c r="F1" s="1902"/>
      <c r="G1" s="1829"/>
    </row>
    <row r="2" spans="1:25" s="1781" customFormat="1" ht="18" customHeight="1">
      <c r="A2" s="410" t="s">
        <v>427</v>
      </c>
      <c r="B2" s="412">
        <f ca="1">C23</f>
        <v>541.30150000000003</v>
      </c>
      <c r="C2" s="3007"/>
      <c r="D2" s="3007"/>
      <c r="E2" s="3007"/>
      <c r="F2" s="3007"/>
      <c r="G2" s="3007"/>
    </row>
    <row r="3" spans="1:25" s="1781" customFormat="1" ht="18" customHeight="1">
      <c r="A3" s="1235" t="s">
        <v>1218</v>
      </c>
      <c r="B3" s="412">
        <f ca="1">ROUND(B2*10000/'数据-汇总表'!E3,0)</f>
        <v>9953</v>
      </c>
      <c r="C3" s="3007"/>
      <c r="D3" s="3007"/>
      <c r="E3" s="3007"/>
      <c r="F3" s="3007"/>
      <c r="G3" s="3007"/>
    </row>
    <row r="4" spans="1:25" s="1781" customFormat="1" ht="18" customHeight="1">
      <c r="A4" s="413" t="s">
        <v>428</v>
      </c>
      <c r="B4" s="414">
        <f ca="1">ROUND(B2*10000/'数据-汇总表'!D3,0)</f>
        <v>19905</v>
      </c>
      <c r="C4" s="2961"/>
      <c r="D4" s="3007"/>
      <c r="E4" s="3007"/>
      <c r="F4" s="3007"/>
      <c r="G4" s="3007"/>
    </row>
    <row r="5" spans="1:25" s="1781" customFormat="1" ht="18" customHeight="1" thickBot="1">
      <c r="A5" s="416"/>
      <c r="B5" s="417">
        <f ca="1">ROUND(B2/('数据-汇总表'!D3/666.67),0)</f>
        <v>1327</v>
      </c>
      <c r="C5" s="418" t="s">
        <v>429</v>
      </c>
      <c r="D5" s="3007"/>
      <c r="E5" s="3007"/>
      <c r="F5" s="3007"/>
      <c r="G5" s="3007"/>
    </row>
    <row r="6" spans="1:25" s="1903" customFormat="1" ht="13.5" customHeight="1">
      <c r="A6" s="711"/>
      <c r="B6" s="712" t="s">
        <v>552</v>
      </c>
      <c r="C6" s="713" t="s">
        <v>553</v>
      </c>
      <c r="D6" s="713" t="s">
        <v>554</v>
      </c>
      <c r="E6" s="714" t="s">
        <v>555</v>
      </c>
      <c r="F6" s="714" t="s">
        <v>556</v>
      </c>
      <c r="G6" s="3006" t="s">
        <v>2281</v>
      </c>
    </row>
    <row r="7" spans="1:25" s="1903" customFormat="1" ht="13.5" customHeight="1">
      <c r="A7" s="2117">
        <v>1</v>
      </c>
      <c r="B7" s="715" t="s">
        <v>557</v>
      </c>
      <c r="C7" s="3702">
        <f>C8+C9</f>
        <v>476.92840000000001</v>
      </c>
      <c r="D7" s="716"/>
      <c r="E7" s="717"/>
      <c r="F7" s="717"/>
      <c r="G7" s="2126"/>
    </row>
    <row r="8" spans="1:25" s="1903" customFormat="1" ht="13.5" customHeight="1">
      <c r="A8" s="2117" t="s">
        <v>1786</v>
      </c>
      <c r="B8" s="2120" t="s">
        <v>1788</v>
      </c>
      <c r="C8" s="3703">
        <f>ROUND(D8*E8/10000,4)</f>
        <v>476.92840000000001</v>
      </c>
      <c r="D8" s="3697">
        <f>D13</f>
        <v>543.88</v>
      </c>
      <c r="E8" s="3011">
        <f>'比较法-住宅、综合'!C50</f>
        <v>8769</v>
      </c>
      <c r="F8" s="717"/>
      <c r="G8" s="718"/>
    </row>
    <row r="9" spans="1:25" s="1903" customFormat="1" ht="13.5" customHeight="1">
      <c r="A9" s="2117" t="s">
        <v>1787</v>
      </c>
      <c r="B9" s="2120" t="s">
        <v>1789</v>
      </c>
      <c r="C9" s="3703">
        <f>ROUND(D9*E9/10000,0)</f>
        <v>0</v>
      </c>
      <c r="D9" s="3010">
        <v>0</v>
      </c>
      <c r="E9" s="3011">
        <v>0</v>
      </c>
      <c r="F9" s="717"/>
      <c r="G9" s="718"/>
    </row>
    <row r="10" spans="1:25" s="1903" customFormat="1" ht="36">
      <c r="A10" s="2117">
        <v>2</v>
      </c>
      <c r="B10" s="715" t="s">
        <v>561</v>
      </c>
      <c r="C10" s="3702">
        <f>C11+C14+C15</f>
        <v>10.877599999999999</v>
      </c>
      <c r="D10" s="725"/>
      <c r="E10" s="716"/>
      <c r="F10" s="726"/>
      <c r="G10" s="724" t="s">
        <v>562</v>
      </c>
    </row>
    <row r="11" spans="1:25" s="1903" customFormat="1" ht="13.5" customHeight="1">
      <c r="A11" s="2117" t="s">
        <v>1786</v>
      </c>
      <c r="B11" s="719" t="s">
        <v>558</v>
      </c>
      <c r="C11" s="3704">
        <f>'数据-取费表'!B29</f>
        <v>10.877599999999999</v>
      </c>
      <c r="D11" s="721"/>
      <c r="E11" s="720"/>
      <c r="F11" s="722"/>
      <c r="G11" s="2125" t="s">
        <v>1797</v>
      </c>
    </row>
    <row r="12" spans="1:25" s="1903" customFormat="1" ht="13.5" customHeight="1">
      <c r="A12" s="2123" t="s">
        <v>1794</v>
      </c>
      <c r="B12" s="723" t="s">
        <v>559</v>
      </c>
      <c r="C12" s="3705">
        <f>ROUND(D12*E12/10000,0)</f>
        <v>0</v>
      </c>
      <c r="D12" s="3010">
        <f>'数据-汇总表'!E5</f>
        <v>0</v>
      </c>
      <c r="E12" s="3010">
        <f>'数据-取费表'!B27</f>
        <v>160</v>
      </c>
      <c r="F12" s="722"/>
      <c r="G12" s="724"/>
    </row>
    <row r="13" spans="1:25" s="1903" customFormat="1" ht="13.5" customHeight="1">
      <c r="A13" s="2123" t="s">
        <v>1793</v>
      </c>
      <c r="B13" s="723" t="s">
        <v>560</v>
      </c>
      <c r="C13" s="3705">
        <f>ROUND(D13*E13/10000,4)</f>
        <v>10.877599999999999</v>
      </c>
      <c r="D13" s="3697">
        <f>'数据-汇总表'!E6</f>
        <v>543.88</v>
      </c>
      <c r="E13" s="3010">
        <f>'数据-取费表'!B28</f>
        <v>200</v>
      </c>
      <c r="F13" s="722"/>
      <c r="G13" s="724"/>
    </row>
    <row r="14" spans="1:25" s="1903" customFormat="1" ht="13.5" customHeight="1">
      <c r="A14" s="2117" t="s">
        <v>1787</v>
      </c>
      <c r="B14" s="2122" t="s">
        <v>1790</v>
      </c>
      <c r="C14" s="3706">
        <f>ROUND(D14*E14/10000,0)</f>
        <v>0</v>
      </c>
      <c r="D14" s="3010">
        <v>0</v>
      </c>
      <c r="E14" s="3011">
        <v>0</v>
      </c>
      <c r="F14" s="2121"/>
      <c r="G14" s="2124" t="s">
        <v>1795</v>
      </c>
    </row>
    <row r="15" spans="1:25" s="1903" customFormat="1" ht="13.5" customHeight="1">
      <c r="A15" s="2117" t="s">
        <v>1792</v>
      </c>
      <c r="B15" s="2122" t="s">
        <v>1791</v>
      </c>
      <c r="C15" s="3706">
        <f>ROUND(D15*E15/10000,0)</f>
        <v>0</v>
      </c>
      <c r="D15" s="3010">
        <v>0</v>
      </c>
      <c r="E15" s="3011">
        <v>0</v>
      </c>
      <c r="F15" s="2121"/>
      <c r="G15" s="2124" t="s">
        <v>1796</v>
      </c>
    </row>
    <row r="16" spans="1:25" s="1904" customFormat="1" ht="48">
      <c r="A16" s="2117">
        <v>3</v>
      </c>
      <c r="B16" s="715" t="s">
        <v>563</v>
      </c>
      <c r="C16" s="3706">
        <f>ROUND(D16*E16/10000,0)</f>
        <v>0</v>
      </c>
      <c r="D16" s="3010">
        <v>0</v>
      </c>
      <c r="E16" s="3011">
        <v>0</v>
      </c>
      <c r="F16" s="726"/>
      <c r="G16" s="724"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6.4">
      <c r="A17" s="2118">
        <v>4</v>
      </c>
      <c r="B17" s="715" t="s">
        <v>564</v>
      </c>
      <c r="C17" s="3707">
        <f ca="1">ROUND(IF('数据-取费表'!B19&lt;=1,((C7+C16)*'数据-取费表'!B19+C10*'数据-取费表'!B19/2)*F17,((C7+C16)*(POWER((1+F17),'数据-取费表'!B19)-1)+C10*(POWER((1+F17),'数据-取费表'!B19/2)-1))),4)</f>
        <v>14.471</v>
      </c>
      <c r="D17" s="727"/>
      <c r="E17" s="728"/>
      <c r="F17" s="729">
        <f ca="1">存贷款利率!E3</f>
        <v>0.03</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3702">
        <f>ROUND((C7+C10+C16)*F18,4)</f>
        <v>39.024500000000003</v>
      </c>
      <c r="D18" s="727"/>
      <c r="E18" s="728"/>
      <c r="F18" s="1207">
        <v>0.08</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3702">
        <f ca="1">C7+C10+C16+C17+C18</f>
        <v>541.30150000000003</v>
      </c>
      <c r="D19" s="725"/>
      <c r="E19" s="716"/>
      <c r="F19" s="726"/>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5.2">
      <c r="A20" s="2117">
        <v>7</v>
      </c>
      <c r="B20" s="715" t="s">
        <v>569</v>
      </c>
      <c r="C20" s="3702">
        <f ca="1">ROUND(C19*F20,4)</f>
        <v>0</v>
      </c>
      <c r="D20" s="725"/>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3702">
        <f ca="1">C19+C20</f>
        <v>541.30150000000003</v>
      </c>
      <c r="D21" s="725"/>
      <c r="E21" s="716"/>
      <c r="F21" s="726"/>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3702">
        <f ca="1">ROUND(C21*F22,4)</f>
        <v>541.30150000000003</v>
      </c>
      <c r="D22" s="725"/>
      <c r="E22" s="716"/>
      <c r="F22" s="3709">
        <v>1</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2" customHeight="1" thickBot="1">
      <c r="A23" s="2119">
        <v>10</v>
      </c>
      <c r="B23" s="731" t="s">
        <v>575</v>
      </c>
      <c r="C23" s="3708">
        <f ca="1">C22</f>
        <v>541.30150000000003</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5.10937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2228" t="s">
        <v>666</v>
      </c>
      <c r="C1" s="2229" t="s">
        <v>667</v>
      </c>
      <c r="D1" s="2230"/>
      <c r="E1" s="1848"/>
      <c r="F1" s="2284"/>
      <c r="G1" s="1408" t="s">
        <v>668</v>
      </c>
      <c r="H1" s="476"/>
      <c r="I1" s="476"/>
      <c r="J1" s="476"/>
      <c r="K1" s="477"/>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10"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4.4">
      <c r="A4" s="482" t="s">
        <v>470</v>
      </c>
      <c r="B4" s="483"/>
      <c r="C4" s="3912" t="s">
        <v>471</v>
      </c>
      <c r="D4" s="3913"/>
      <c r="E4" s="3934" t="s">
        <v>472</v>
      </c>
      <c r="F4" s="3935"/>
      <c r="G4" s="3912" t="s">
        <v>473</v>
      </c>
      <c r="H4" s="3913"/>
      <c r="I4" s="3912" t="s">
        <v>474</v>
      </c>
      <c r="J4" s="3913"/>
      <c r="K4" s="816"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893" t="s">
        <v>473</v>
      </c>
      <c r="AC4" s="3893" t="s">
        <v>474</v>
      </c>
    </row>
    <row r="5" spans="1:29">
      <c r="A5" s="485"/>
      <c r="B5" s="486"/>
      <c r="C5" s="3923" t="s">
        <v>2192</v>
      </c>
      <c r="D5" s="3924"/>
      <c r="E5" s="3936" t="s">
        <v>2193</v>
      </c>
      <c r="F5" s="3937"/>
      <c r="G5" s="3923" t="s">
        <v>2194</v>
      </c>
      <c r="H5" s="3924"/>
      <c r="I5" s="3923" t="s">
        <v>2195</v>
      </c>
      <c r="J5" s="3924"/>
      <c r="K5" s="817"/>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817"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SUMIF(58:58,YEAR(E7)&amp;"-"&amp;MONTH(E7),59:59)</f>
        <v>0</v>
      </c>
      <c r="G7" s="493"/>
      <c r="H7" s="490">
        <f>SUMIF(58:58,YEAR(G7)&amp;"-"&amp;MONTH(G7),59:59)</f>
        <v>0</v>
      </c>
      <c r="I7" s="493"/>
      <c r="J7" s="490">
        <f>SUMIF(58:58,YEAR(I7)&amp;"-"&amp;MONTH(I7),59:59)</f>
        <v>0</v>
      </c>
      <c r="K7" s="818"/>
      <c r="L7" s="1856"/>
      <c r="M7" s="1857"/>
      <c r="N7" s="1857"/>
      <c r="O7" s="1857"/>
      <c r="P7" s="3896" t="s">
        <v>479</v>
      </c>
      <c r="Q7" s="3905"/>
      <c r="R7" s="1379" t="s">
        <v>10</v>
      </c>
      <c r="S7" s="1380">
        <f t="shared" ref="S7:S15" si="0">F7</f>
        <v>0</v>
      </c>
      <c r="T7" s="1379" t="s">
        <v>10</v>
      </c>
      <c r="U7" s="1380">
        <f t="shared" ref="U7:U15" si="1">H7</f>
        <v>0</v>
      </c>
      <c r="V7" s="1379" t="s">
        <v>10</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3896" t="s">
        <v>482</v>
      </c>
      <c r="Q8" s="3897"/>
      <c r="R8" s="1379" t="s">
        <v>10</v>
      </c>
      <c r="S8" s="1380">
        <f t="shared" si="0"/>
        <v>0</v>
      </c>
      <c r="T8" s="1379" t="s">
        <v>10</v>
      </c>
      <c r="U8" s="1380">
        <f t="shared" si="1"/>
        <v>0</v>
      </c>
      <c r="V8" s="1379" t="s">
        <v>10</v>
      </c>
      <c r="W8" s="1380">
        <f t="shared" si="2"/>
        <v>0</v>
      </c>
      <c r="X8" s="1381"/>
      <c r="Y8" s="3896" t="s">
        <v>482</v>
      </c>
      <c r="Z8" s="3897"/>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6"/>
      <c r="F10" s="824">
        <f>SUMIF(65:65,E10,66:66)-SUMIF(65:65,C10,66:66)+100</f>
        <v>100</v>
      </c>
      <c r="G10" s="3655"/>
      <c r="H10" s="246">
        <f>SUMIF(65:65,G10,66:66)-SUMIF(65:65,C10,66:66)+100</f>
        <v>100</v>
      </c>
      <c r="I10" s="3655"/>
      <c r="J10" s="246">
        <f>SUMIF(65:65,I10,66:66)-SUMIF(65:65,C10,66:66)+100</f>
        <v>100</v>
      </c>
      <c r="K10" s="818"/>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3904"/>
      <c r="Q11" s="1048" t="str">
        <f t="shared" si="6"/>
        <v>容积率</v>
      </c>
      <c r="R11" s="1379" t="s">
        <v>8</v>
      </c>
      <c r="S11" s="1380" t="e">
        <f t="shared" si="0"/>
        <v>#N/A</v>
      </c>
      <c r="T11" s="1379" t="s">
        <v>8</v>
      </c>
      <c r="U11" s="1380" t="e">
        <f t="shared" si="1"/>
        <v>#N/A</v>
      </c>
      <c r="V11" s="1379" t="s">
        <v>8</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3904"/>
      <c r="Q12" s="1048">
        <f t="shared" si="6"/>
        <v>111</v>
      </c>
      <c r="R12" s="1379" t="s">
        <v>8</v>
      </c>
      <c r="S12" s="1380">
        <f t="shared" si="0"/>
        <v>100</v>
      </c>
      <c r="T12" s="1379" t="s">
        <v>8</v>
      </c>
      <c r="U12" s="1380">
        <f t="shared" si="1"/>
        <v>100</v>
      </c>
      <c r="V12" s="1379" t="s">
        <v>8</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3904"/>
      <c r="Q13" s="1048">
        <f t="shared" si="6"/>
        <v>111</v>
      </c>
      <c r="R13" s="1379" t="s">
        <v>8</v>
      </c>
      <c r="S13" s="1380">
        <f t="shared" si="0"/>
        <v>100</v>
      </c>
      <c r="T13" s="1379" t="s">
        <v>8</v>
      </c>
      <c r="U13" s="1380">
        <f t="shared" si="1"/>
        <v>100</v>
      </c>
      <c r="V13" s="1379" t="s">
        <v>8</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3904"/>
      <c r="Q14" s="1048">
        <f t="shared" si="6"/>
        <v>111</v>
      </c>
      <c r="R14" s="1379" t="s">
        <v>8</v>
      </c>
      <c r="S14" s="1380">
        <f t="shared" si="0"/>
        <v>100</v>
      </c>
      <c r="T14" s="1379" t="s">
        <v>8</v>
      </c>
      <c r="U14" s="1380">
        <f t="shared" si="1"/>
        <v>100</v>
      </c>
      <c r="V14" s="1379" t="s">
        <v>8</v>
      </c>
      <c r="W14" s="1380">
        <f t="shared" si="2"/>
        <v>100</v>
      </c>
      <c r="X14" s="1381"/>
      <c r="Y14" s="3851"/>
      <c r="Z14" s="1047">
        <f t="shared" si="7"/>
        <v>111</v>
      </c>
      <c r="AA14" s="1382">
        <f t="shared" si="3"/>
        <v>1</v>
      </c>
      <c r="AB14" s="1382">
        <f t="shared" si="4"/>
        <v>1</v>
      </c>
      <c r="AC14" s="1382">
        <f t="shared" si="5"/>
        <v>1</v>
      </c>
    </row>
    <row r="15" spans="1:29" ht="96.6">
      <c r="A15" s="2387"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3906" t="s">
        <v>489</v>
      </c>
      <c r="Q15" s="1383" t="str">
        <f t="shared" si="6"/>
        <v>居住社区成熟度</v>
      </c>
      <c r="R15" s="1384" t="s">
        <v>8</v>
      </c>
      <c r="S15" s="1385">
        <f t="shared" si="0"/>
        <v>100</v>
      </c>
      <c r="T15" s="1384" t="s">
        <v>8</v>
      </c>
      <c r="U15" s="1385">
        <f t="shared" si="1"/>
        <v>100</v>
      </c>
      <c r="V15" s="1384" t="s">
        <v>8</v>
      </c>
      <c r="W15" s="1385">
        <f t="shared" si="2"/>
        <v>100</v>
      </c>
      <c r="X15" s="1378"/>
      <c r="Y15" s="3906"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3907"/>
      <c r="Q16" s="1383"/>
      <c r="R16" s="1384"/>
      <c r="S16" s="1385"/>
      <c r="T16" s="1384"/>
      <c r="U16" s="1385"/>
      <c r="V16" s="1384"/>
      <c r="W16" s="1385"/>
      <c r="X16" s="1378"/>
      <c r="Y16" s="3907"/>
      <c r="Z16" s="1386"/>
      <c r="AA16" s="1387">
        <v>1</v>
      </c>
      <c r="AB16" s="1387">
        <v>1</v>
      </c>
      <c r="AC16" s="1387">
        <v>1</v>
      </c>
    </row>
    <row r="17" spans="1:29" ht="82.8">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3907"/>
      <c r="Q17" s="1383" t="str">
        <f>B17</f>
        <v>交通便捷度</v>
      </c>
      <c r="R17" s="1384" t="s">
        <v>8</v>
      </c>
      <c r="S17" s="1385">
        <f>F17</f>
        <v>100</v>
      </c>
      <c r="T17" s="1384" t="s">
        <v>8</v>
      </c>
      <c r="U17" s="1385">
        <f>H17</f>
        <v>100</v>
      </c>
      <c r="V17" s="1384" t="s">
        <v>8</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3907"/>
      <c r="Q19" s="1383" t="str">
        <f>B19</f>
        <v>公共配套设施</v>
      </c>
      <c r="R19" s="1384" t="s">
        <v>8</v>
      </c>
      <c r="S19" s="1385">
        <f>F19</f>
        <v>100</v>
      </c>
      <c r="T19" s="1384" t="s">
        <v>8</v>
      </c>
      <c r="U19" s="1385">
        <f>H19</f>
        <v>100</v>
      </c>
      <c r="V19" s="1384" t="s">
        <v>8</v>
      </c>
      <c r="W19" s="1385">
        <f>J19</f>
        <v>100</v>
      </c>
      <c r="X19" s="1378"/>
      <c r="Y19" s="3907"/>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3907"/>
      <c r="Q20" s="1383"/>
      <c r="R20" s="1384"/>
      <c r="S20" s="1385"/>
      <c r="T20" s="1384"/>
      <c r="U20" s="1385"/>
      <c r="V20" s="1384"/>
      <c r="W20" s="1385"/>
      <c r="X20" s="1378"/>
      <c r="Y20" s="3907"/>
      <c r="Z20" s="1386"/>
      <c r="AA20" s="1387">
        <v>1</v>
      </c>
      <c r="AB20" s="1387">
        <v>1</v>
      </c>
      <c r="AC20" s="1387">
        <v>1</v>
      </c>
    </row>
    <row r="21" spans="1:29" ht="27.6">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3907"/>
      <c r="Q21" s="2190" t="str">
        <f>B21</f>
        <v>基础设施水平</v>
      </c>
      <c r="R21" s="1384" t="s">
        <v>8</v>
      </c>
      <c r="S21" s="1385">
        <f>F21</f>
        <v>100</v>
      </c>
      <c r="T21" s="1384" t="s">
        <v>8</v>
      </c>
      <c r="U21" s="1385">
        <f>H21</f>
        <v>100</v>
      </c>
      <c r="V21" s="1384" t="s">
        <v>8</v>
      </c>
      <c r="W21" s="1385">
        <f>J21</f>
        <v>100</v>
      </c>
      <c r="X21" s="2192"/>
      <c r="Y21" s="3907"/>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4"/>
      <c r="L22" s="1863"/>
      <c r="M22" s="1855"/>
      <c r="N22" s="1855"/>
      <c r="O22" s="1862"/>
      <c r="P22" s="3907"/>
      <c r="Q22" s="2190"/>
      <c r="R22" s="1384"/>
      <c r="S22" s="1385"/>
      <c r="T22" s="1384"/>
      <c r="U22" s="1385"/>
      <c r="V22" s="1384"/>
      <c r="W22" s="1385"/>
      <c r="X22" s="2192"/>
      <c r="Y22" s="3907"/>
      <c r="Z22" s="2191"/>
      <c r="AA22" s="1387">
        <v>1</v>
      </c>
      <c r="AB22" s="1387">
        <v>1</v>
      </c>
      <c r="AC22" s="1387">
        <v>1</v>
      </c>
    </row>
    <row r="23" spans="1:29" ht="55.2">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3907"/>
      <c r="Q23" s="1383" t="str">
        <f>B23</f>
        <v>自然及人文环境</v>
      </c>
      <c r="R23" s="1384" t="s">
        <v>8</v>
      </c>
      <c r="S23" s="1385">
        <f>F23</f>
        <v>100</v>
      </c>
      <c r="T23" s="1384" t="s">
        <v>8</v>
      </c>
      <c r="U23" s="1385">
        <f>H23</f>
        <v>100</v>
      </c>
      <c r="V23" s="1384" t="s">
        <v>8</v>
      </c>
      <c r="W23" s="1385">
        <f>J23</f>
        <v>100</v>
      </c>
      <c r="X23" s="1378"/>
      <c r="Y23" s="3907"/>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3907"/>
      <c r="Q25" s="1383" t="str">
        <f t="shared" ref="Q25:Q46" si="8">B25</f>
        <v>楼层-1</v>
      </c>
      <c r="R25" s="1384" t="s">
        <v>8</v>
      </c>
      <c r="S25" s="1385">
        <f>F25</f>
        <v>100</v>
      </c>
      <c r="T25" s="1384" t="s">
        <v>8</v>
      </c>
      <c r="U25" s="1385">
        <f>H25</f>
        <v>100</v>
      </c>
      <c r="V25" s="1384" t="s">
        <v>8</v>
      </c>
      <c r="W25" s="1385">
        <f>J25</f>
        <v>100</v>
      </c>
      <c r="X25" s="1378"/>
      <c r="Y25" s="3907"/>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3907"/>
      <c r="Q26" s="1383" t="str">
        <f t="shared" si="8"/>
        <v>朝向</v>
      </c>
      <c r="R26" s="1384" t="s">
        <v>8</v>
      </c>
      <c r="S26" s="1385">
        <f>F26</f>
        <v>100</v>
      </c>
      <c r="T26" s="1384" t="s">
        <v>8</v>
      </c>
      <c r="U26" s="1385">
        <f>H26</f>
        <v>100</v>
      </c>
      <c r="V26" s="1384" t="s">
        <v>8</v>
      </c>
      <c r="W26" s="1385">
        <f>J26</f>
        <v>100</v>
      </c>
      <c r="X26" s="1378"/>
      <c r="Y26" s="3907"/>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3907"/>
      <c r="Q27" s="1048" t="str">
        <f t="shared" si="8"/>
        <v>道路级别</v>
      </c>
      <c r="R27" s="1379" t="s">
        <v>8</v>
      </c>
      <c r="S27" s="1380">
        <f>F27</f>
        <v>100</v>
      </c>
      <c r="T27" s="1379" t="s">
        <v>8</v>
      </c>
      <c r="U27" s="1380">
        <f>H27</f>
        <v>100</v>
      </c>
      <c r="V27" s="1379" t="s">
        <v>8</v>
      </c>
      <c r="W27" s="1380">
        <f>J27</f>
        <v>100</v>
      </c>
      <c r="X27" s="1381"/>
      <c r="Y27" s="3907"/>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3907"/>
      <c r="Q28" s="1383">
        <f t="shared" si="8"/>
        <v>111</v>
      </c>
      <c r="R28" s="1384" t="s">
        <v>8</v>
      </c>
      <c r="S28" s="1385">
        <f t="shared" ref="S28:S46" si="9">F28</f>
        <v>100</v>
      </c>
      <c r="T28" s="1384" t="s">
        <v>8</v>
      </c>
      <c r="U28" s="1385">
        <f t="shared" ref="U28:U46" si="10">H28</f>
        <v>100</v>
      </c>
      <c r="V28" s="1384" t="s">
        <v>8</v>
      </c>
      <c r="W28" s="1385">
        <f t="shared" ref="W28:W46" si="11">J28</f>
        <v>100</v>
      </c>
      <c r="X28" s="1378"/>
      <c r="Y28" s="3907"/>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3907"/>
      <c r="Q29" s="1383">
        <f t="shared" si="8"/>
        <v>111</v>
      </c>
      <c r="R29" s="1384" t="s">
        <v>8</v>
      </c>
      <c r="S29" s="1385">
        <f t="shared" si="9"/>
        <v>100</v>
      </c>
      <c r="T29" s="1384" t="s">
        <v>8</v>
      </c>
      <c r="U29" s="1385">
        <f t="shared" si="10"/>
        <v>100</v>
      </c>
      <c r="V29" s="1384" t="s">
        <v>8</v>
      </c>
      <c r="W29" s="1385">
        <f t="shared" si="11"/>
        <v>100</v>
      </c>
      <c r="X29" s="1378"/>
      <c r="Y29" s="3907"/>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3907"/>
      <c r="Q30" s="1383">
        <f t="shared" si="8"/>
        <v>111</v>
      </c>
      <c r="R30" s="1384" t="s">
        <v>8</v>
      </c>
      <c r="S30" s="1385">
        <f t="shared" si="9"/>
        <v>100</v>
      </c>
      <c r="T30" s="1384" t="s">
        <v>8</v>
      </c>
      <c r="U30" s="1385">
        <f t="shared" si="10"/>
        <v>100</v>
      </c>
      <c r="V30" s="1384" t="s">
        <v>8</v>
      </c>
      <c r="W30" s="1385">
        <f t="shared" si="11"/>
        <v>100</v>
      </c>
      <c r="X30" s="1378"/>
      <c r="Y30" s="3907"/>
      <c r="Z30" s="1386">
        <f t="shared" si="12"/>
        <v>111</v>
      </c>
      <c r="AA30" s="1387">
        <f t="shared" si="3"/>
        <v>1</v>
      </c>
      <c r="AB30" s="1387">
        <f t="shared" si="4"/>
        <v>1</v>
      </c>
      <c r="AC30" s="1387">
        <f t="shared" si="5"/>
        <v>1</v>
      </c>
    </row>
    <row r="31" spans="1:29" ht="15.6"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3907"/>
      <c r="Q31" s="1383">
        <f t="shared" si="8"/>
        <v>111</v>
      </c>
      <c r="R31" s="1384" t="s">
        <v>8</v>
      </c>
      <c r="S31" s="1385">
        <f t="shared" si="9"/>
        <v>100</v>
      </c>
      <c r="T31" s="1384" t="s">
        <v>8</v>
      </c>
      <c r="U31" s="1385">
        <f t="shared" si="10"/>
        <v>100</v>
      </c>
      <c r="V31" s="1384" t="s">
        <v>8</v>
      </c>
      <c r="W31" s="1385">
        <f t="shared" si="11"/>
        <v>100</v>
      </c>
      <c r="X31" s="1378"/>
      <c r="Y31" s="3907"/>
      <c r="Z31" s="1386">
        <f t="shared" si="12"/>
        <v>111</v>
      </c>
      <c r="AA31" s="1387">
        <f t="shared" si="3"/>
        <v>1</v>
      </c>
      <c r="AB31" s="1387">
        <f t="shared" si="4"/>
        <v>1</v>
      </c>
      <c r="AC31" s="1387">
        <f t="shared" si="5"/>
        <v>1</v>
      </c>
    </row>
    <row r="32" spans="1:29" ht="15">
      <c r="A32" s="2384"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3908" t="s">
        <v>499</v>
      </c>
      <c r="Q32" s="1383" t="str">
        <f t="shared" si="8"/>
        <v>建筑类型</v>
      </c>
      <c r="R32" s="1384" t="s">
        <v>8</v>
      </c>
      <c r="S32" s="1385">
        <f t="shared" si="9"/>
        <v>100</v>
      </c>
      <c r="T32" s="1384" t="s">
        <v>8</v>
      </c>
      <c r="U32" s="1385">
        <f t="shared" si="10"/>
        <v>100</v>
      </c>
      <c r="V32" s="1384" t="s">
        <v>8</v>
      </c>
      <c r="W32" s="1385">
        <f t="shared" si="11"/>
        <v>100</v>
      </c>
      <c r="X32" s="1378"/>
      <c r="Y32" s="3909"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3909"/>
      <c r="Q33" s="1412" t="str">
        <f t="shared" si="8"/>
        <v>项目建筑规模</v>
      </c>
      <c r="R33" s="1388" t="s">
        <v>8</v>
      </c>
      <c r="S33" s="1389" t="e">
        <f t="shared" si="9"/>
        <v>#N/A</v>
      </c>
      <c r="T33" s="1388" t="s">
        <v>8</v>
      </c>
      <c r="U33" s="1389" t="e">
        <f t="shared" si="10"/>
        <v>#N/A</v>
      </c>
      <c r="V33" s="1388" t="s">
        <v>8</v>
      </c>
      <c r="W33" s="1389" t="e">
        <f t="shared" si="11"/>
        <v>#N/A</v>
      </c>
      <c r="X33" s="1390"/>
      <c r="Y33" s="3909"/>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3909"/>
      <c r="Q34" s="1383" t="str">
        <f t="shared" si="8"/>
        <v>建筑结构</v>
      </c>
      <c r="R34" s="1384" t="s">
        <v>8</v>
      </c>
      <c r="S34" s="1385">
        <f t="shared" si="9"/>
        <v>100</v>
      </c>
      <c r="T34" s="1384" t="s">
        <v>8</v>
      </c>
      <c r="U34" s="1385">
        <f t="shared" si="10"/>
        <v>100</v>
      </c>
      <c r="V34" s="1384" t="s">
        <v>8</v>
      </c>
      <c r="W34" s="1385">
        <f t="shared" si="11"/>
        <v>100</v>
      </c>
      <c r="X34" s="1378"/>
      <c r="Y34" s="3909"/>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3909"/>
      <c r="Q35" s="1383" t="str">
        <f t="shared" si="8"/>
        <v>建筑品质</v>
      </c>
      <c r="R35" s="1384" t="s">
        <v>8</v>
      </c>
      <c r="S35" s="1385">
        <f t="shared" si="9"/>
        <v>100</v>
      </c>
      <c r="T35" s="1384" t="s">
        <v>8</v>
      </c>
      <c r="U35" s="1385">
        <f t="shared" si="10"/>
        <v>100</v>
      </c>
      <c r="V35" s="1384" t="s">
        <v>8</v>
      </c>
      <c r="W35" s="1385">
        <f t="shared" si="11"/>
        <v>100</v>
      </c>
      <c r="X35" s="1378"/>
      <c r="Y35" s="3909"/>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3909"/>
      <c r="Q36" s="1383" t="str">
        <f t="shared" si="8"/>
        <v>公共部分装修</v>
      </c>
      <c r="R36" s="1384" t="s">
        <v>8</v>
      </c>
      <c r="S36" s="1385">
        <f t="shared" si="9"/>
        <v>100</v>
      </c>
      <c r="T36" s="1384" t="s">
        <v>8</v>
      </c>
      <c r="U36" s="1385">
        <f t="shared" si="10"/>
        <v>100</v>
      </c>
      <c r="V36" s="1384" t="s">
        <v>8</v>
      </c>
      <c r="W36" s="1385">
        <f t="shared" si="11"/>
        <v>100</v>
      </c>
      <c r="X36" s="1378"/>
      <c r="Y36" s="3909"/>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09"/>
      <c r="Q37" s="1048" t="str">
        <f t="shared" si="8"/>
        <v>成新度</v>
      </c>
      <c r="R37" s="1379" t="s">
        <v>8</v>
      </c>
      <c r="S37" s="1380" t="e">
        <f t="shared" si="9"/>
        <v>#N/A</v>
      </c>
      <c r="T37" s="1379" t="s">
        <v>8</v>
      </c>
      <c r="U37" s="1380" t="e">
        <f t="shared" si="10"/>
        <v>#N/A</v>
      </c>
      <c r="V37" s="1379" t="s">
        <v>8</v>
      </c>
      <c r="W37" s="1380" t="e">
        <f t="shared" si="11"/>
        <v>#N/A</v>
      </c>
      <c r="X37" s="1381"/>
      <c r="Y37" s="3909"/>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3909" t="s">
        <v>499</v>
      </c>
      <c r="Q38" s="1383" t="str">
        <f t="shared" si="8"/>
        <v>物业管理</v>
      </c>
      <c r="R38" s="1384" t="s">
        <v>8</v>
      </c>
      <c r="S38" s="1385">
        <f t="shared" si="9"/>
        <v>100</v>
      </c>
      <c r="T38" s="1384" t="s">
        <v>8</v>
      </c>
      <c r="U38" s="1385">
        <f t="shared" si="10"/>
        <v>100</v>
      </c>
      <c r="V38" s="1384" t="s">
        <v>8</v>
      </c>
      <c r="W38" s="1385">
        <f t="shared" si="11"/>
        <v>100</v>
      </c>
      <c r="X38" s="1378"/>
      <c r="Y38" s="3909"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3909"/>
      <c r="Q39" s="1383" t="str">
        <f t="shared" si="8"/>
        <v>市政基础设施</v>
      </c>
      <c r="R39" s="1384" t="s">
        <v>8</v>
      </c>
      <c r="S39" s="1385">
        <f t="shared" si="9"/>
        <v>100</v>
      </c>
      <c r="T39" s="1384" t="s">
        <v>8</v>
      </c>
      <c r="U39" s="1385">
        <f t="shared" si="10"/>
        <v>100</v>
      </c>
      <c r="V39" s="1384" t="s">
        <v>8</v>
      </c>
      <c r="W39" s="1385">
        <f t="shared" si="11"/>
        <v>100</v>
      </c>
      <c r="X39" s="1378"/>
      <c r="Y39" s="3909"/>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3909"/>
      <c r="Q40" s="1383" t="str">
        <f t="shared" si="8"/>
        <v>房型</v>
      </c>
      <c r="R40" s="1384" t="s">
        <v>8</v>
      </c>
      <c r="S40" s="1385">
        <f t="shared" si="9"/>
        <v>100</v>
      </c>
      <c r="T40" s="1384" t="s">
        <v>8</v>
      </c>
      <c r="U40" s="1385">
        <f t="shared" si="10"/>
        <v>100</v>
      </c>
      <c r="V40" s="1384" t="s">
        <v>8</v>
      </c>
      <c r="W40" s="1385">
        <f t="shared" si="11"/>
        <v>100</v>
      </c>
      <c r="X40" s="1378"/>
      <c r="Y40" s="3909"/>
      <c r="Z40" s="1386" t="str">
        <f t="shared" si="12"/>
        <v>房型</v>
      </c>
      <c r="AA40" s="1387">
        <f t="shared" si="3"/>
        <v>1</v>
      </c>
      <c r="AB40" s="1387">
        <f t="shared" si="4"/>
        <v>1</v>
      </c>
      <c r="AC40" s="1387">
        <f t="shared" si="5"/>
        <v>1</v>
      </c>
    </row>
    <row r="41" spans="1:29" s="1198" customFormat="1" ht="28.8">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3909"/>
      <c r="Q41" s="1412" t="str">
        <f t="shared" si="8"/>
        <v>单套/主力户型建筑面积</v>
      </c>
      <c r="R41" s="1388" t="s">
        <v>8</v>
      </c>
      <c r="S41" s="1389">
        <f t="shared" si="9"/>
        <v>100</v>
      </c>
      <c r="T41" s="1388" t="s">
        <v>8</v>
      </c>
      <c r="U41" s="1389">
        <f t="shared" si="10"/>
        <v>100</v>
      </c>
      <c r="V41" s="1388" t="s">
        <v>8</v>
      </c>
      <c r="W41" s="1389">
        <f t="shared" si="11"/>
        <v>100</v>
      </c>
      <c r="X41" s="1390"/>
      <c r="Y41" s="3909"/>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3909"/>
      <c r="Q42" s="1383" t="str">
        <f t="shared" si="8"/>
        <v>内部装修</v>
      </c>
      <c r="R42" s="1384" t="s">
        <v>8</v>
      </c>
      <c r="S42" s="1385">
        <f t="shared" si="9"/>
        <v>100</v>
      </c>
      <c r="T42" s="1384" t="s">
        <v>8</v>
      </c>
      <c r="U42" s="1385">
        <f t="shared" si="10"/>
        <v>100</v>
      </c>
      <c r="V42" s="1384" t="s">
        <v>8</v>
      </c>
      <c r="W42" s="1385">
        <f t="shared" si="11"/>
        <v>100</v>
      </c>
      <c r="X42" s="1378"/>
      <c r="Y42" s="3909"/>
      <c r="Z42" s="1386" t="str">
        <f t="shared" si="12"/>
        <v>内部装修</v>
      </c>
      <c r="AA42" s="1387">
        <f t="shared" si="3"/>
        <v>1</v>
      </c>
      <c r="AB42" s="1387">
        <f t="shared" si="4"/>
        <v>1</v>
      </c>
      <c r="AC42" s="1387">
        <f t="shared" si="5"/>
        <v>1</v>
      </c>
    </row>
    <row r="43" spans="1:29" ht="28.8">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3909"/>
      <c r="Q43" s="1383" t="str">
        <f t="shared" si="8"/>
        <v>内部装修维护情况</v>
      </c>
      <c r="R43" s="1384" t="s">
        <v>8</v>
      </c>
      <c r="S43" s="1385">
        <f t="shared" si="9"/>
        <v>100</v>
      </c>
      <c r="T43" s="1384" t="s">
        <v>8</v>
      </c>
      <c r="U43" s="1385">
        <f t="shared" si="10"/>
        <v>100</v>
      </c>
      <c r="V43" s="1384" t="s">
        <v>8</v>
      </c>
      <c r="W43" s="1385">
        <f t="shared" si="11"/>
        <v>100</v>
      </c>
      <c r="X43" s="1378"/>
      <c r="Y43" s="3909"/>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09"/>
      <c r="Q44" s="1048">
        <f t="shared" si="8"/>
        <v>111</v>
      </c>
      <c r="R44" s="1379" t="s">
        <v>8</v>
      </c>
      <c r="S44" s="1380">
        <f t="shared" si="9"/>
        <v>100</v>
      </c>
      <c r="T44" s="1379" t="s">
        <v>8</v>
      </c>
      <c r="U44" s="1380">
        <f t="shared" si="10"/>
        <v>100</v>
      </c>
      <c r="V44" s="1379" t="s">
        <v>8</v>
      </c>
      <c r="W44" s="1380">
        <f t="shared" si="11"/>
        <v>100</v>
      </c>
      <c r="X44" s="1381"/>
      <c r="Y44" s="3909"/>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3909"/>
      <c r="Q45" s="1383">
        <f t="shared" si="8"/>
        <v>111</v>
      </c>
      <c r="R45" s="1384" t="s">
        <v>8</v>
      </c>
      <c r="S45" s="1385">
        <f t="shared" si="9"/>
        <v>100</v>
      </c>
      <c r="T45" s="1384" t="s">
        <v>8</v>
      </c>
      <c r="U45" s="1385">
        <f t="shared" si="10"/>
        <v>100</v>
      </c>
      <c r="V45" s="1384" t="s">
        <v>8</v>
      </c>
      <c r="W45" s="1385">
        <f t="shared" si="11"/>
        <v>100</v>
      </c>
      <c r="X45" s="1378"/>
      <c r="Y45" s="3909"/>
      <c r="Z45" s="1386">
        <f t="shared" si="12"/>
        <v>111</v>
      </c>
      <c r="AA45" s="1387">
        <f t="shared" si="3"/>
        <v>1</v>
      </c>
      <c r="AB45" s="1387">
        <f t="shared" si="4"/>
        <v>1</v>
      </c>
      <c r="AC45" s="1387">
        <f t="shared" si="5"/>
        <v>1</v>
      </c>
    </row>
    <row r="46" spans="1:29" ht="15.6"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4027"/>
      <c r="Q46" s="1383">
        <f t="shared" si="8"/>
        <v>111</v>
      </c>
      <c r="R46" s="1384" t="s">
        <v>7</v>
      </c>
      <c r="S46" s="1385">
        <f t="shared" si="9"/>
        <v>100</v>
      </c>
      <c r="T46" s="1384" t="s">
        <v>7</v>
      </c>
      <c r="U46" s="1385">
        <f t="shared" si="10"/>
        <v>100</v>
      </c>
      <c r="V46" s="1384" t="s">
        <v>7</v>
      </c>
      <c r="W46" s="1385">
        <f t="shared" si="11"/>
        <v>100</v>
      </c>
      <c r="X46" s="1378"/>
      <c r="Y46" s="4027"/>
      <c r="Z46" s="1386">
        <f t="shared" si="12"/>
        <v>111</v>
      </c>
      <c r="AA46" s="1387">
        <f t="shared" si="3"/>
        <v>1</v>
      </c>
      <c r="AB46" s="1387">
        <f t="shared" si="4"/>
        <v>1</v>
      </c>
      <c r="AC46" s="1387">
        <f t="shared" si="5"/>
        <v>1</v>
      </c>
    </row>
    <row r="47" spans="1:29" ht="14.4">
      <c r="A47" s="577" t="s">
        <v>683</v>
      </c>
      <c r="B47" s="848"/>
      <c r="C47" s="2231" t="s">
        <v>6</v>
      </c>
      <c r="D47" s="2232"/>
      <c r="E47" s="2233"/>
      <c r="F47" s="2234"/>
      <c r="G47" s="2235"/>
      <c r="H47" s="2236"/>
      <c r="I47" s="2233"/>
      <c r="J47" s="2236"/>
      <c r="K47" s="1413"/>
      <c r="L47" s="1865"/>
      <c r="M47" s="1866"/>
      <c r="N47" s="1855"/>
      <c r="O47" s="1866"/>
      <c r="P47" s="3904" t="str">
        <f>A47</f>
        <v>成交单价（元/平方米）</v>
      </c>
      <c r="Q47" s="3904"/>
      <c r="R47" s="4026">
        <f>E47</f>
        <v>0</v>
      </c>
      <c r="S47" s="4026"/>
      <c r="T47" s="4026">
        <f>G47</f>
        <v>0</v>
      </c>
      <c r="U47" s="4026"/>
      <c r="V47" s="4026">
        <f>I47</f>
        <v>0</v>
      </c>
      <c r="W47" s="4026"/>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904" t="str">
        <f>A48</f>
        <v>比较价格（元/平方米）</v>
      </c>
      <c r="Q48" s="3904"/>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4"/>
      <c r="L49" s="1865"/>
      <c r="M49" s="1866"/>
      <c r="N49" s="1866"/>
      <c r="O49" s="1866"/>
      <c r="P49" s="3910" t="str">
        <f>A49</f>
        <v>估价对象XX用房的比较价格（楼面单价，元/平方米）</v>
      </c>
      <c r="Q49" s="3911"/>
      <c r="R49" s="4025" t="e">
        <f>IF(F1="售价",ROUND(IF(D48="简单平均",AVERAGE(R48:V48),R48*F48+T48*H48+V48*J48),0),ROUND(IF(D48="简单平均",AVERAGE(R48:V48),R48*F48+T48*H48+V48*J48),1))</f>
        <v>#DIV/0!</v>
      </c>
      <c r="S49" s="4025"/>
      <c r="T49" s="4025"/>
      <c r="U49" s="4025"/>
      <c r="V49" s="4025"/>
      <c r="W49" s="4025"/>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81"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4.4"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9.4"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ht="15.6">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ht="15.6">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6">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6">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6">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6">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6.2"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ht="14.4">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ht="14.4">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350" t="s">
        <v>2030</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1589</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7" t="s">
        <v>1592</v>
      </c>
    </row>
    <row r="23" spans="1:1" ht="17.399999999999999">
      <c r="A23" s="2352" t="s">
        <v>2031</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697</v>
      </c>
      <c r="C1" s="474" t="s">
        <v>667</v>
      </c>
      <c r="D1" s="206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4.4">
      <c r="A4" s="482" t="s">
        <v>470</v>
      </c>
      <c r="B4" s="483"/>
      <c r="C4" s="3912" t="s">
        <v>471</v>
      </c>
      <c r="D4" s="3913"/>
      <c r="E4" s="3934" t="s">
        <v>472</v>
      </c>
      <c r="F4" s="3935"/>
      <c r="G4" s="3912" t="s">
        <v>473</v>
      </c>
      <c r="H4" s="3913"/>
      <c r="I4" s="3912" t="s">
        <v>474</v>
      </c>
      <c r="J4" s="3913"/>
      <c r="K4" s="484"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920"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920"/>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920"/>
      <c r="AC6" s="3895"/>
    </row>
    <row r="7" spans="1:29" s="1116" customFormat="1" ht="15" thickBot="1">
      <c r="A7" s="2389"/>
      <c r="B7" s="2396"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96"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82.8">
      <c r="A15" s="2387"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3906" t="s">
        <v>489</v>
      </c>
      <c r="Q15" s="1383" t="str">
        <f t="shared" si="6"/>
        <v>商业繁华度</v>
      </c>
      <c r="R15" s="1384" t="s">
        <v>5</v>
      </c>
      <c r="S15" s="1385">
        <f t="shared" si="0"/>
        <v>100</v>
      </c>
      <c r="T15" s="1384" t="s">
        <v>5</v>
      </c>
      <c r="U15" s="1385">
        <f t="shared" si="1"/>
        <v>100</v>
      </c>
      <c r="V15" s="1384" t="s">
        <v>5</v>
      </c>
      <c r="W15" s="1385">
        <f t="shared" si="2"/>
        <v>100</v>
      </c>
      <c r="X15" s="1378"/>
      <c r="Y15" s="3906"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907"/>
      <c r="Q16" s="1383"/>
      <c r="R16" s="1384"/>
      <c r="S16" s="1385"/>
      <c r="T16" s="1384"/>
      <c r="U16" s="1385"/>
      <c r="V16" s="1384"/>
      <c r="W16" s="1385"/>
      <c r="X16" s="1378"/>
      <c r="Y16" s="3907"/>
      <c r="Z16" s="1386"/>
      <c r="AA16" s="1387">
        <v>1</v>
      </c>
      <c r="AB16" s="1387">
        <v>1</v>
      </c>
      <c r="AC16" s="1387">
        <v>1</v>
      </c>
    </row>
    <row r="17" spans="1:29" ht="96.6">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3907"/>
      <c r="Q20" s="1383"/>
      <c r="R20" s="1384"/>
      <c r="S20" s="1385"/>
      <c r="T20" s="1384"/>
      <c r="U20" s="1385"/>
      <c r="V20" s="1384"/>
      <c r="W20" s="1385"/>
      <c r="X20" s="1378"/>
      <c r="Y20" s="3907"/>
      <c r="Z20" s="1386"/>
      <c r="AA20" s="1387">
        <v>1</v>
      </c>
      <c r="AB20" s="1387">
        <v>1</v>
      </c>
      <c r="AC20" s="1387">
        <v>1</v>
      </c>
    </row>
    <row r="21" spans="1:29" ht="41.4">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7"/>
      <c r="L22" s="1863"/>
      <c r="M22" s="1855"/>
      <c r="N22" s="1855"/>
      <c r="O22" s="1862"/>
      <c r="P22" s="3907"/>
      <c r="Q22" s="2190"/>
      <c r="R22" s="1384"/>
      <c r="S22" s="1385"/>
      <c r="T22" s="1384"/>
      <c r="U22" s="1385"/>
      <c r="V22" s="1384"/>
      <c r="W22" s="1385"/>
      <c r="X22" s="2192"/>
      <c r="Y22" s="3907"/>
      <c r="Z22" s="2191"/>
      <c r="AA22" s="1387">
        <v>1</v>
      </c>
      <c r="AB22" s="1387">
        <v>1</v>
      </c>
      <c r="AC22" s="1387">
        <v>1</v>
      </c>
    </row>
    <row r="23" spans="1:29" ht="55.2">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3907"/>
      <c r="Q23" s="1383" t="str">
        <f>B23</f>
        <v>自然及人文环境</v>
      </c>
      <c r="R23" s="1384" t="s">
        <v>5</v>
      </c>
      <c r="S23" s="1385">
        <f>F23</f>
        <v>100</v>
      </c>
      <c r="T23" s="1384" t="s">
        <v>5</v>
      </c>
      <c r="U23" s="1385">
        <f>H23</f>
        <v>100</v>
      </c>
      <c r="V23" s="1384" t="s">
        <v>5</v>
      </c>
      <c r="W23" s="1385">
        <f>J23</f>
        <v>100</v>
      </c>
      <c r="X23" s="1378"/>
      <c r="Y23" s="3907"/>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07"/>
      <c r="Q25" s="1383" t="str">
        <f t="shared" ref="Q25:Q46" si="8">B25</f>
        <v>临街状况</v>
      </c>
      <c r="R25" s="1384" t="s">
        <v>5</v>
      </c>
      <c r="S25" s="1385">
        <f>F25</f>
        <v>100</v>
      </c>
      <c r="T25" s="1384" t="s">
        <v>5</v>
      </c>
      <c r="U25" s="1385">
        <f>H25</f>
        <v>100</v>
      </c>
      <c r="V25" s="1384" t="s">
        <v>5</v>
      </c>
      <c r="W25" s="1385">
        <f>J25</f>
        <v>100</v>
      </c>
      <c r="X25" s="1378"/>
      <c r="Y25" s="3907"/>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07"/>
      <c r="Q26" s="1383" t="str">
        <f t="shared" si="8"/>
        <v>平面位置/可视性</v>
      </c>
      <c r="R26" s="1384" t="s">
        <v>5</v>
      </c>
      <c r="S26" s="1385">
        <f>F26</f>
        <v>100</v>
      </c>
      <c r="T26" s="1384" t="s">
        <v>5</v>
      </c>
      <c r="U26" s="1385">
        <f>H26</f>
        <v>100</v>
      </c>
      <c r="V26" s="1384" t="s">
        <v>5</v>
      </c>
      <c r="W26" s="1385">
        <f>J26</f>
        <v>100</v>
      </c>
      <c r="X26" s="1378"/>
      <c r="Y26" s="3907"/>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3907"/>
      <c r="Q27" s="1048" t="str">
        <f t="shared" si="8"/>
        <v>人流量</v>
      </c>
      <c r="R27" s="1379" t="s">
        <v>5</v>
      </c>
      <c r="S27" s="1380">
        <f>F27</f>
        <v>100</v>
      </c>
      <c r="T27" s="1379" t="s">
        <v>5</v>
      </c>
      <c r="U27" s="1380">
        <f>H27</f>
        <v>100</v>
      </c>
      <c r="V27" s="1379" t="s">
        <v>5</v>
      </c>
      <c r="W27" s="1380">
        <f>J27</f>
        <v>100</v>
      </c>
      <c r="X27" s="1381"/>
      <c r="Y27" s="3907"/>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07"/>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07"/>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07"/>
      <c r="Q29" s="1383">
        <f t="shared" si="8"/>
        <v>111</v>
      </c>
      <c r="R29" s="1384" t="s">
        <v>5</v>
      </c>
      <c r="S29" s="1385">
        <f t="shared" si="9"/>
        <v>100</v>
      </c>
      <c r="T29" s="1384" t="s">
        <v>5</v>
      </c>
      <c r="U29" s="1385">
        <f t="shared" si="10"/>
        <v>100</v>
      </c>
      <c r="V29" s="1384" t="s">
        <v>5</v>
      </c>
      <c r="W29" s="1385">
        <f t="shared" si="11"/>
        <v>100</v>
      </c>
      <c r="X29" s="1378"/>
      <c r="Y29" s="3907"/>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07"/>
      <c r="Q30" s="1383">
        <f t="shared" si="8"/>
        <v>111</v>
      </c>
      <c r="R30" s="1384" t="s">
        <v>5</v>
      </c>
      <c r="S30" s="1385">
        <f t="shared" si="9"/>
        <v>100</v>
      </c>
      <c r="T30" s="1384" t="s">
        <v>5</v>
      </c>
      <c r="U30" s="1385">
        <f t="shared" si="10"/>
        <v>100</v>
      </c>
      <c r="V30" s="1384" t="s">
        <v>5</v>
      </c>
      <c r="W30" s="1385">
        <f t="shared" si="11"/>
        <v>100</v>
      </c>
      <c r="X30" s="1378"/>
      <c r="Y30" s="3907"/>
      <c r="Z30" s="1386">
        <f t="shared" si="12"/>
        <v>111</v>
      </c>
      <c r="AA30" s="1387">
        <f t="shared" si="3"/>
        <v>1</v>
      </c>
      <c r="AB30" s="1387">
        <f t="shared" si="4"/>
        <v>1</v>
      </c>
      <c r="AC30" s="1387">
        <f t="shared" si="5"/>
        <v>1</v>
      </c>
    </row>
    <row r="31" spans="1:29" ht="15.6"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3907"/>
      <c r="Q31" s="1383">
        <f t="shared" si="8"/>
        <v>111</v>
      </c>
      <c r="R31" s="1384" t="s">
        <v>5</v>
      </c>
      <c r="S31" s="1385">
        <f t="shared" si="9"/>
        <v>100</v>
      </c>
      <c r="T31" s="1384" t="s">
        <v>5</v>
      </c>
      <c r="U31" s="1385">
        <f t="shared" si="10"/>
        <v>100</v>
      </c>
      <c r="V31" s="1384" t="s">
        <v>5</v>
      </c>
      <c r="W31" s="1385">
        <f t="shared" si="11"/>
        <v>100</v>
      </c>
      <c r="X31" s="1378"/>
      <c r="Y31" s="3907"/>
      <c r="Z31" s="1386">
        <f t="shared" si="12"/>
        <v>111</v>
      </c>
      <c r="AA31" s="1387">
        <f t="shared" si="3"/>
        <v>1</v>
      </c>
      <c r="AB31" s="1387">
        <f t="shared" si="4"/>
        <v>1</v>
      </c>
      <c r="AC31" s="1387">
        <f t="shared" si="5"/>
        <v>1</v>
      </c>
    </row>
    <row r="32" spans="1:29" ht="15">
      <c r="A32" s="2384"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3908" t="s">
        <v>499</v>
      </c>
      <c r="Q32" s="1383" t="str">
        <f t="shared" si="8"/>
        <v>商业类型</v>
      </c>
      <c r="R32" s="1384" t="s">
        <v>5</v>
      </c>
      <c r="S32" s="1385">
        <f t="shared" si="9"/>
        <v>100</v>
      </c>
      <c r="T32" s="1384" t="s">
        <v>5</v>
      </c>
      <c r="U32" s="1385">
        <f t="shared" si="10"/>
        <v>100</v>
      </c>
      <c r="V32" s="1384" t="s">
        <v>5</v>
      </c>
      <c r="W32" s="1385">
        <f t="shared" si="11"/>
        <v>100</v>
      </c>
      <c r="X32" s="1378"/>
      <c r="Y32" s="3909"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09"/>
      <c r="Q33" s="1412" t="str">
        <f t="shared" si="8"/>
        <v>项目建筑规模</v>
      </c>
      <c r="R33" s="1388" t="s">
        <v>5</v>
      </c>
      <c r="S33" s="1389" t="e">
        <f t="shared" si="9"/>
        <v>#N/A</v>
      </c>
      <c r="T33" s="1388" t="s">
        <v>5</v>
      </c>
      <c r="U33" s="1389" t="e">
        <f t="shared" si="10"/>
        <v>#N/A</v>
      </c>
      <c r="V33" s="1388" t="s">
        <v>5</v>
      </c>
      <c r="W33" s="1389" t="e">
        <f t="shared" si="11"/>
        <v>#N/A</v>
      </c>
      <c r="X33" s="1390"/>
      <c r="Y33" s="3909"/>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3909"/>
      <c r="Q34" s="1383" t="str">
        <f t="shared" si="8"/>
        <v>建筑结构</v>
      </c>
      <c r="R34" s="1384" t="s">
        <v>5</v>
      </c>
      <c r="S34" s="1385">
        <f t="shared" si="9"/>
        <v>100</v>
      </c>
      <c r="T34" s="1384" t="s">
        <v>5</v>
      </c>
      <c r="U34" s="1385">
        <f t="shared" si="10"/>
        <v>100</v>
      </c>
      <c r="V34" s="1384" t="s">
        <v>5</v>
      </c>
      <c r="W34" s="1385">
        <f t="shared" si="11"/>
        <v>100</v>
      </c>
      <c r="X34" s="1378"/>
      <c r="Y34" s="3909"/>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09"/>
      <c r="Q35" s="1383" t="str">
        <f t="shared" si="8"/>
        <v>公共部分装修</v>
      </c>
      <c r="R35" s="1384" t="s">
        <v>5</v>
      </c>
      <c r="S35" s="1385">
        <f t="shared" si="9"/>
        <v>100</v>
      </c>
      <c r="T35" s="1384" t="s">
        <v>5</v>
      </c>
      <c r="U35" s="1385">
        <f t="shared" si="10"/>
        <v>100</v>
      </c>
      <c r="V35" s="1384" t="s">
        <v>5</v>
      </c>
      <c r="W35" s="1385">
        <f t="shared" si="11"/>
        <v>100</v>
      </c>
      <c r="X35" s="1378"/>
      <c r="Y35" s="3909"/>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3909"/>
      <c r="Q36" s="1383" t="str">
        <f t="shared" si="8"/>
        <v>成新度</v>
      </c>
      <c r="R36" s="1384" t="s">
        <v>5</v>
      </c>
      <c r="S36" s="1385" t="e">
        <f t="shared" si="9"/>
        <v>#N/A</v>
      </c>
      <c r="T36" s="1384" t="s">
        <v>5</v>
      </c>
      <c r="U36" s="1385" t="e">
        <f t="shared" si="10"/>
        <v>#N/A</v>
      </c>
      <c r="V36" s="1384" t="s">
        <v>5</v>
      </c>
      <c r="W36" s="1385" t="e">
        <f t="shared" si="11"/>
        <v>#N/A</v>
      </c>
      <c r="X36" s="1378"/>
      <c r="Y36" s="3909"/>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09"/>
      <c r="Q37" s="1048" t="str">
        <f t="shared" si="8"/>
        <v>市政基础设施</v>
      </c>
      <c r="R37" s="1379" t="s">
        <v>5</v>
      </c>
      <c r="S37" s="1380">
        <f t="shared" si="9"/>
        <v>100</v>
      </c>
      <c r="T37" s="1379" t="s">
        <v>5</v>
      </c>
      <c r="U37" s="1380">
        <f t="shared" si="10"/>
        <v>100</v>
      </c>
      <c r="V37" s="1379" t="s">
        <v>5</v>
      </c>
      <c r="W37" s="1380">
        <f t="shared" si="11"/>
        <v>100</v>
      </c>
      <c r="X37" s="1381"/>
      <c r="Y37" s="3909"/>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09" t="s">
        <v>706</v>
      </c>
      <c r="Q38" s="1383" t="str">
        <f t="shared" si="8"/>
        <v>业态</v>
      </c>
      <c r="R38" s="1384" t="s">
        <v>5</v>
      </c>
      <c r="S38" s="1385">
        <f t="shared" si="9"/>
        <v>100</v>
      </c>
      <c r="T38" s="1384" t="s">
        <v>5</v>
      </c>
      <c r="U38" s="1385">
        <f t="shared" si="10"/>
        <v>100</v>
      </c>
      <c r="V38" s="1384" t="s">
        <v>5</v>
      </c>
      <c r="W38" s="1385">
        <f t="shared" si="11"/>
        <v>100</v>
      </c>
      <c r="X38" s="1378"/>
      <c r="Y38" s="3909"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09"/>
      <c r="Q39" s="1383" t="str">
        <f t="shared" si="8"/>
        <v>层高</v>
      </c>
      <c r="R39" s="1384" t="s">
        <v>5</v>
      </c>
      <c r="S39" s="1385">
        <f t="shared" si="9"/>
        <v>100</v>
      </c>
      <c r="T39" s="1384" t="s">
        <v>5</v>
      </c>
      <c r="U39" s="1385">
        <f t="shared" si="10"/>
        <v>100</v>
      </c>
      <c r="V39" s="1384" t="s">
        <v>5</v>
      </c>
      <c r="W39" s="1385">
        <f t="shared" si="11"/>
        <v>100</v>
      </c>
      <c r="X39" s="1378"/>
      <c r="Y39" s="3909"/>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3909"/>
      <c r="Q40" s="1383" t="str">
        <f t="shared" si="8"/>
        <v>单套建筑面积</v>
      </c>
      <c r="R40" s="1384" t="s">
        <v>5</v>
      </c>
      <c r="S40" s="1385">
        <f t="shared" si="9"/>
        <v>100</v>
      </c>
      <c r="T40" s="1384" t="s">
        <v>5</v>
      </c>
      <c r="U40" s="1385">
        <f t="shared" si="10"/>
        <v>100</v>
      </c>
      <c r="V40" s="1384" t="s">
        <v>5</v>
      </c>
      <c r="W40" s="1385">
        <f t="shared" si="11"/>
        <v>100</v>
      </c>
      <c r="X40" s="1378"/>
      <c r="Y40" s="3909"/>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09"/>
      <c r="Q41" s="1412" t="str">
        <f t="shared" si="8"/>
        <v>进深比</v>
      </c>
      <c r="R41" s="1388" t="s">
        <v>5</v>
      </c>
      <c r="S41" s="1389">
        <f t="shared" si="9"/>
        <v>100</v>
      </c>
      <c r="T41" s="1388" t="s">
        <v>5</v>
      </c>
      <c r="U41" s="1389">
        <f t="shared" si="10"/>
        <v>100</v>
      </c>
      <c r="V41" s="1388" t="s">
        <v>5</v>
      </c>
      <c r="W41" s="1389">
        <f t="shared" si="11"/>
        <v>100</v>
      </c>
      <c r="X41" s="1390"/>
      <c r="Y41" s="3909"/>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09"/>
      <c r="Q42" s="1383" t="str">
        <f t="shared" si="8"/>
        <v>内部装修</v>
      </c>
      <c r="R42" s="1384" t="s">
        <v>5</v>
      </c>
      <c r="S42" s="1385">
        <f t="shared" si="9"/>
        <v>100</v>
      </c>
      <c r="T42" s="1384" t="s">
        <v>5</v>
      </c>
      <c r="U42" s="1385">
        <f t="shared" si="10"/>
        <v>100</v>
      </c>
      <c r="V42" s="1384" t="s">
        <v>5</v>
      </c>
      <c r="W42" s="1385">
        <f t="shared" si="11"/>
        <v>100</v>
      </c>
      <c r="X42" s="1378"/>
      <c r="Y42" s="3909"/>
      <c r="Z42" s="1386" t="str">
        <f t="shared" si="12"/>
        <v>内部装修</v>
      </c>
      <c r="AA42" s="1387">
        <f t="shared" si="3"/>
        <v>1</v>
      </c>
      <c r="AB42" s="1387">
        <f t="shared" si="4"/>
        <v>1</v>
      </c>
      <c r="AC42" s="1387">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09"/>
      <c r="Q43" s="1383" t="str">
        <f t="shared" si="8"/>
        <v>内部装修维护情况</v>
      </c>
      <c r="R43" s="1384" t="s">
        <v>5</v>
      </c>
      <c r="S43" s="1385">
        <f t="shared" si="9"/>
        <v>100</v>
      </c>
      <c r="T43" s="1384" t="s">
        <v>5</v>
      </c>
      <c r="U43" s="1385">
        <f t="shared" si="10"/>
        <v>100</v>
      </c>
      <c r="V43" s="1384" t="s">
        <v>5</v>
      </c>
      <c r="W43" s="1385">
        <f t="shared" si="11"/>
        <v>100</v>
      </c>
      <c r="X43" s="1378"/>
      <c r="Y43" s="3909"/>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09"/>
      <c r="Q44" s="1048">
        <f t="shared" si="8"/>
        <v>111</v>
      </c>
      <c r="R44" s="1379" t="s">
        <v>5</v>
      </c>
      <c r="S44" s="1380">
        <f t="shared" si="9"/>
        <v>100</v>
      </c>
      <c r="T44" s="1379" t="s">
        <v>5</v>
      </c>
      <c r="U44" s="1380">
        <f t="shared" si="10"/>
        <v>100</v>
      </c>
      <c r="V44" s="1379" t="s">
        <v>5</v>
      </c>
      <c r="W44" s="1380">
        <f t="shared" si="11"/>
        <v>100</v>
      </c>
      <c r="X44" s="1381"/>
      <c r="Y44" s="3909"/>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09"/>
      <c r="Q45" s="1383">
        <f t="shared" si="8"/>
        <v>111</v>
      </c>
      <c r="R45" s="1384" t="s">
        <v>5</v>
      </c>
      <c r="S45" s="1385">
        <f t="shared" si="9"/>
        <v>100</v>
      </c>
      <c r="T45" s="1384" t="s">
        <v>5</v>
      </c>
      <c r="U45" s="1385">
        <f t="shared" si="10"/>
        <v>100</v>
      </c>
      <c r="V45" s="1384" t="s">
        <v>5</v>
      </c>
      <c r="W45" s="1385">
        <f t="shared" si="11"/>
        <v>100</v>
      </c>
      <c r="X45" s="1378"/>
      <c r="Y45" s="3909"/>
      <c r="Z45" s="1386">
        <f t="shared" si="12"/>
        <v>111</v>
      </c>
      <c r="AA45" s="1387">
        <f t="shared" si="3"/>
        <v>1</v>
      </c>
      <c r="AB45" s="1387">
        <f t="shared" si="4"/>
        <v>1</v>
      </c>
      <c r="AC45" s="1387">
        <f t="shared" si="5"/>
        <v>1</v>
      </c>
    </row>
    <row r="46" spans="1:29" ht="15.6"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7"/>
      <c r="Q46" s="1383">
        <f t="shared" si="8"/>
        <v>111</v>
      </c>
      <c r="R46" s="1384" t="s">
        <v>5</v>
      </c>
      <c r="S46" s="1385">
        <f t="shared" si="9"/>
        <v>100</v>
      </c>
      <c r="T46" s="1384" t="s">
        <v>5</v>
      </c>
      <c r="U46" s="1385">
        <f t="shared" si="10"/>
        <v>100</v>
      </c>
      <c r="V46" s="1384" t="s">
        <v>5</v>
      </c>
      <c r="W46" s="1385">
        <f t="shared" si="11"/>
        <v>100</v>
      </c>
      <c r="X46" s="1378"/>
      <c r="Y46" s="4027"/>
      <c r="Z46" s="1386">
        <f t="shared" si="12"/>
        <v>111</v>
      </c>
      <c r="AA46" s="1387">
        <f t="shared" si="3"/>
        <v>1</v>
      </c>
      <c r="AB46" s="1387">
        <f t="shared" si="4"/>
        <v>1</v>
      </c>
      <c r="AC46" s="1387">
        <f t="shared" si="5"/>
        <v>1</v>
      </c>
    </row>
    <row r="47" spans="1:29" ht="14.4">
      <c r="A47" s="577" t="s">
        <v>683</v>
      </c>
      <c r="B47" s="848"/>
      <c r="C47" s="2231" t="s">
        <v>0</v>
      </c>
      <c r="D47" s="2232"/>
      <c r="E47" s="2233"/>
      <c r="F47" s="2234"/>
      <c r="G47" s="2235"/>
      <c r="H47" s="2236"/>
      <c r="I47" s="2233"/>
      <c r="J47" s="2236"/>
      <c r="K47" s="1417"/>
      <c r="L47" s="1865"/>
      <c r="M47" s="1866"/>
      <c r="N47" s="1855"/>
      <c r="O47" s="1866"/>
      <c r="P47" s="3904" t="str">
        <f>A47</f>
        <v>成交单价（元/平方米）</v>
      </c>
      <c r="Q47" s="3904"/>
      <c r="R47" s="4026">
        <f>E47</f>
        <v>0</v>
      </c>
      <c r="S47" s="4026"/>
      <c r="T47" s="4026">
        <f>G47</f>
        <v>0</v>
      </c>
      <c r="U47" s="4026"/>
      <c r="V47" s="4026">
        <f>I47</f>
        <v>0</v>
      </c>
      <c r="W47" s="4026"/>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904" t="str">
        <f>A48</f>
        <v>比较价格（元/平方米）</v>
      </c>
      <c r="Q48" s="3904"/>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8"/>
      <c r="L49" s="1865"/>
      <c r="M49" s="1866"/>
      <c r="N49" s="1855"/>
      <c r="O49" s="1866"/>
      <c r="P49" s="3910" t="str">
        <f>A49</f>
        <v>估价对象XX用房的比较价格（楼面单价，元/平方米）</v>
      </c>
      <c r="Q49" s="3911"/>
      <c r="R49" s="4025" t="e">
        <f>IF(F1="售价",ROUND(IF(D48="简单平均",AVERAGE(R48:V48),R48*F48+T48*H48+V48*J48),0),ROUND(IF(D48="简单平均",AVERAGE(R48:V48),R48*F48+T48*H48+V48*J48),1))</f>
        <v>#DIV/0!</v>
      </c>
      <c r="S49" s="4025"/>
      <c r="T49" s="4025"/>
      <c r="U49" s="4025"/>
      <c r="V49" s="4025"/>
      <c r="W49" s="4025"/>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79"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4.4"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4.4"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938"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717</v>
      </c>
      <c r="C1" s="474" t="s">
        <v>667</v>
      </c>
      <c r="D1" s="812"/>
      <c r="E1" s="476"/>
      <c r="F1" s="2284"/>
      <c r="G1" s="1408" t="s">
        <v>668</v>
      </c>
      <c r="H1" s="476"/>
      <c r="I1" s="476"/>
      <c r="J1" s="476"/>
      <c r="K1" s="477"/>
      <c r="L1" s="2950"/>
      <c r="M1" s="2951"/>
      <c r="N1" s="2951"/>
      <c r="O1" s="2951"/>
      <c r="P1" s="3012"/>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2"/>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2"/>
    </row>
    <row r="4" spans="1:29" ht="14.4">
      <c r="A4" s="482" t="s">
        <v>470</v>
      </c>
      <c r="B4" s="483"/>
      <c r="C4" s="3912" t="s">
        <v>471</v>
      </c>
      <c r="D4" s="3913"/>
      <c r="E4" s="3934" t="s">
        <v>472</v>
      </c>
      <c r="F4" s="3935"/>
      <c r="G4" s="3912" t="s">
        <v>473</v>
      </c>
      <c r="H4" s="3913"/>
      <c r="I4" s="3912" t="s">
        <v>474</v>
      </c>
      <c r="J4" s="3913"/>
      <c r="K4" s="484" t="s">
        <v>475</v>
      </c>
      <c r="L4" s="1854"/>
      <c r="M4" s="1855"/>
      <c r="N4" s="1855"/>
      <c r="O4" s="1855"/>
      <c r="P4" s="4028" t="s">
        <v>476</v>
      </c>
      <c r="Q4" s="3915"/>
      <c r="R4" s="3898" t="s">
        <v>472</v>
      </c>
      <c r="S4" s="3899"/>
      <c r="T4" s="3898" t="s">
        <v>473</v>
      </c>
      <c r="U4" s="3899"/>
      <c r="V4" s="3920" t="s">
        <v>474</v>
      </c>
      <c r="W4" s="3920"/>
      <c r="X4" s="1378"/>
      <c r="Y4" s="3898" t="s">
        <v>476</v>
      </c>
      <c r="Z4" s="3899"/>
      <c r="AA4" s="3893" t="s">
        <v>472</v>
      </c>
      <c r="AB4" s="3893"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4029"/>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4030"/>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6"/>
      <c r="M7" s="1857"/>
      <c r="N7" s="1857"/>
      <c r="O7" s="1857"/>
      <c r="P7" s="3905"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905" t="s">
        <v>482</v>
      </c>
      <c r="Q8" s="3897"/>
      <c r="R8" s="1379" t="s">
        <v>5</v>
      </c>
      <c r="S8" s="1380">
        <f t="shared" si="0"/>
        <v>0</v>
      </c>
      <c r="T8" s="1379" t="s">
        <v>5</v>
      </c>
      <c r="U8" s="1380">
        <f t="shared" si="1"/>
        <v>0</v>
      </c>
      <c r="V8" s="1379" t="s">
        <v>5</v>
      </c>
      <c r="W8" s="1380">
        <f t="shared" si="2"/>
        <v>0</v>
      </c>
      <c r="X8" s="1381"/>
      <c r="Y8" s="3896" t="s">
        <v>482</v>
      </c>
      <c r="Z8" s="3897"/>
      <c r="AA8" s="1382" t="e">
        <f t="shared" ref="AA8:AA47" si="3">D8/F8</f>
        <v>#DIV/0!</v>
      </c>
      <c r="AB8" s="1382" t="e">
        <f t="shared" ref="AB8:AB47" si="4">D8/H8</f>
        <v>#DIV/0!</v>
      </c>
      <c r="AC8" s="1382" t="e">
        <f t="shared" ref="AC8:AC47" si="5">D8/J8</f>
        <v>#DIV/0!</v>
      </c>
    </row>
    <row r="9" spans="1:29" s="1116" customFormat="1" ht="14.4">
      <c r="A9" s="2391"/>
      <c r="B9" s="2398"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SUMIF(66:66,E10,67:67)-SUMIF(66:66,C10,67:67)+100</f>
        <v>100</v>
      </c>
      <c r="G10" s="3656"/>
      <c r="H10" s="246">
        <f>SUMIF(66:66,G10,67:67)-SUMIF(66:66,C10,67:67)+100</f>
        <v>100</v>
      </c>
      <c r="I10" s="3655"/>
      <c r="J10" s="246">
        <f>SUMIF(66:66,I10,67:67)-SUMIF(66:66,C10,67:67)+100</f>
        <v>100</v>
      </c>
      <c r="K10" s="494"/>
      <c r="L10" s="1859"/>
      <c r="M10" s="1898"/>
      <c r="N10" s="1898"/>
      <c r="O10" s="1898"/>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82.8">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3906" t="s">
        <v>489</v>
      </c>
      <c r="Q15" s="1383" t="str">
        <f t="shared" si="6"/>
        <v>办公集聚程度</v>
      </c>
      <c r="R15" s="1384" t="s">
        <v>5</v>
      </c>
      <c r="S15" s="1385">
        <f t="shared" si="0"/>
        <v>100</v>
      </c>
      <c r="T15" s="1384" t="s">
        <v>5</v>
      </c>
      <c r="U15" s="1385">
        <f t="shared" si="1"/>
        <v>100</v>
      </c>
      <c r="V15" s="1384" t="s">
        <v>5</v>
      </c>
      <c r="W15" s="1385">
        <f t="shared" si="2"/>
        <v>100</v>
      </c>
      <c r="X15" s="1378"/>
      <c r="Y15" s="3906"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3907"/>
      <c r="Q16" s="1383"/>
      <c r="R16" s="1384"/>
      <c r="S16" s="1385"/>
      <c r="T16" s="1384"/>
      <c r="U16" s="1385"/>
      <c r="V16" s="1384"/>
      <c r="W16" s="1385"/>
      <c r="X16" s="1378"/>
      <c r="Y16" s="3907"/>
      <c r="Z16" s="1386"/>
      <c r="AA16" s="1387">
        <v>1</v>
      </c>
      <c r="AB16" s="1387">
        <v>1</v>
      </c>
      <c r="AC16" s="1387">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3907"/>
      <c r="Q18" s="1383"/>
      <c r="R18" s="1384"/>
      <c r="S18" s="1385"/>
      <c r="T18" s="1384"/>
      <c r="U18" s="1385"/>
      <c r="V18" s="1384"/>
      <c r="W18" s="1385"/>
      <c r="X18" s="1378"/>
      <c r="Y18" s="3907"/>
      <c r="Z18" s="1386"/>
      <c r="AA18" s="1387">
        <v>1</v>
      </c>
      <c r="AB18" s="1387">
        <v>1</v>
      </c>
      <c r="AC18" s="1387">
        <v>1</v>
      </c>
    </row>
    <row r="19" spans="1:29" ht="41.4">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3907"/>
      <c r="Q20" s="1383"/>
      <c r="R20" s="1384"/>
      <c r="S20" s="1385"/>
      <c r="T20" s="1384"/>
      <c r="U20" s="1385"/>
      <c r="V20" s="1384"/>
      <c r="W20" s="1385"/>
      <c r="X20" s="1378"/>
      <c r="Y20" s="3907"/>
      <c r="Z20" s="1386"/>
      <c r="AA20" s="1387">
        <v>1</v>
      </c>
      <c r="AB20" s="1387">
        <v>1</v>
      </c>
      <c r="AC20" s="1387">
        <v>1</v>
      </c>
    </row>
    <row r="21" spans="1:29" ht="41.4">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548"/>
      <c r="C22" s="537"/>
      <c r="D22" s="525"/>
      <c r="E22" s="546"/>
      <c r="F22" s="525"/>
      <c r="G22" s="524"/>
      <c r="H22" s="525"/>
      <c r="I22" s="524"/>
      <c r="J22" s="525"/>
      <c r="K22" s="2207"/>
      <c r="L22" s="1863"/>
      <c r="M22" s="1855"/>
      <c r="N22" s="1855"/>
      <c r="O22" s="1855"/>
      <c r="P22" s="3907"/>
      <c r="Q22" s="2190"/>
      <c r="R22" s="1384"/>
      <c r="S22" s="1385"/>
      <c r="T22" s="1384"/>
      <c r="U22" s="1385"/>
      <c r="V22" s="1384"/>
      <c r="W22" s="1385"/>
      <c r="X22" s="2192"/>
      <c r="Y22" s="3907"/>
      <c r="Z22" s="2191"/>
      <c r="AA22" s="1387">
        <v>1</v>
      </c>
      <c r="AB22" s="1387">
        <v>1</v>
      </c>
      <c r="AC22" s="1387">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3907"/>
      <c r="Q23" s="1383" t="str">
        <f>B23</f>
        <v>环境质量</v>
      </c>
      <c r="R23" s="1384" t="s">
        <v>5</v>
      </c>
      <c r="S23" s="1385">
        <f>F23</f>
        <v>100</v>
      </c>
      <c r="T23" s="1384" t="s">
        <v>5</v>
      </c>
      <c r="U23" s="1385">
        <f>H23</f>
        <v>100</v>
      </c>
      <c r="V23" s="1384" t="s">
        <v>5</v>
      </c>
      <c r="W23" s="1385">
        <f>J23</f>
        <v>100</v>
      </c>
      <c r="X23" s="1378"/>
      <c r="Y23" s="3907"/>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3907"/>
      <c r="Q24" s="1383"/>
      <c r="R24" s="1384"/>
      <c r="S24" s="1385"/>
      <c r="T24" s="1384"/>
      <c r="U24" s="1385"/>
      <c r="V24" s="1384"/>
      <c r="W24" s="1385"/>
      <c r="X24" s="1378"/>
      <c r="Y24" s="3907"/>
      <c r="Z24" s="1386"/>
      <c r="AA24" s="1387">
        <v>1</v>
      </c>
      <c r="AB24" s="1387">
        <v>1</v>
      </c>
      <c r="AC24" s="1387">
        <v>1</v>
      </c>
    </row>
    <row r="25" spans="1:29" ht="28.8">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3907"/>
      <c r="Q25" s="1383" t="str">
        <f>B25</f>
        <v>毗邻道路的类型与等级</v>
      </c>
      <c r="R25" s="1384" t="s">
        <v>5</v>
      </c>
      <c r="S25" s="1385">
        <f>F25</f>
        <v>100</v>
      </c>
      <c r="T25" s="1384" t="s">
        <v>5</v>
      </c>
      <c r="U25" s="1385">
        <f>H25</f>
        <v>100</v>
      </c>
      <c r="V25" s="1384" t="s">
        <v>5</v>
      </c>
      <c r="W25" s="1385">
        <f>J25</f>
        <v>100</v>
      </c>
      <c r="X25" s="1378"/>
      <c r="Y25" s="3907"/>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3907"/>
      <c r="Q26" s="1383"/>
      <c r="R26" s="1384"/>
      <c r="S26" s="1385"/>
      <c r="T26" s="1384"/>
      <c r="U26" s="1385"/>
      <c r="V26" s="1384"/>
      <c r="W26" s="1385"/>
      <c r="X26" s="1378"/>
      <c r="Y26" s="3907"/>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07"/>
      <c r="Q27" s="1383" t="str">
        <f t="shared" ref="Q27:Q47" si="8">B27</f>
        <v>楼层</v>
      </c>
      <c r="R27" s="1384" t="s">
        <v>5</v>
      </c>
      <c r="S27" s="1385">
        <f>F27</f>
        <v>100</v>
      </c>
      <c r="T27" s="1384" t="s">
        <v>5</v>
      </c>
      <c r="U27" s="1385">
        <f>H27</f>
        <v>100</v>
      </c>
      <c r="V27" s="1384" t="s">
        <v>5</v>
      </c>
      <c r="W27" s="1385">
        <f>J27</f>
        <v>100</v>
      </c>
      <c r="X27" s="1378"/>
      <c r="Y27" s="3907"/>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3907"/>
      <c r="Q28" s="1048" t="str">
        <f t="shared" si="8"/>
        <v>朝向</v>
      </c>
      <c r="R28" s="1379" t="s">
        <v>5</v>
      </c>
      <c r="S28" s="1380">
        <f>F28</f>
        <v>100</v>
      </c>
      <c r="T28" s="1379" t="s">
        <v>5</v>
      </c>
      <c r="U28" s="1380">
        <f>H28</f>
        <v>100</v>
      </c>
      <c r="V28" s="1379" t="s">
        <v>5</v>
      </c>
      <c r="W28" s="1380">
        <f>J28</f>
        <v>100</v>
      </c>
      <c r="X28" s="1381"/>
      <c r="Y28" s="3907"/>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3907"/>
      <c r="Q29" s="1383">
        <f t="shared" si="8"/>
        <v>111</v>
      </c>
      <c r="R29" s="1384" t="s">
        <v>5</v>
      </c>
      <c r="S29" s="1385">
        <f t="shared" ref="S29:S47" si="9">F29</f>
        <v>100</v>
      </c>
      <c r="T29" s="1384" t="s">
        <v>5</v>
      </c>
      <c r="U29" s="1385">
        <f t="shared" ref="U29:U47" si="10">H29</f>
        <v>100</v>
      </c>
      <c r="V29" s="1384" t="s">
        <v>5</v>
      </c>
      <c r="W29" s="1385">
        <f t="shared" ref="W29:W47" si="11">J29</f>
        <v>100</v>
      </c>
      <c r="X29" s="1378"/>
      <c r="Y29" s="3907"/>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3907"/>
      <c r="Q30" s="1383">
        <f t="shared" si="8"/>
        <v>111</v>
      </c>
      <c r="R30" s="1384" t="s">
        <v>5</v>
      </c>
      <c r="S30" s="1385">
        <f t="shared" si="9"/>
        <v>100</v>
      </c>
      <c r="T30" s="1384" t="s">
        <v>5</v>
      </c>
      <c r="U30" s="1385">
        <f t="shared" si="10"/>
        <v>100</v>
      </c>
      <c r="V30" s="1384" t="s">
        <v>5</v>
      </c>
      <c r="W30" s="1385">
        <f t="shared" si="11"/>
        <v>100</v>
      </c>
      <c r="X30" s="1378"/>
      <c r="Y30" s="3907"/>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3907"/>
      <c r="Q31" s="1383">
        <f t="shared" si="8"/>
        <v>111</v>
      </c>
      <c r="R31" s="1384" t="s">
        <v>5</v>
      </c>
      <c r="S31" s="1385">
        <f t="shared" si="9"/>
        <v>100</v>
      </c>
      <c r="T31" s="1384" t="s">
        <v>5</v>
      </c>
      <c r="U31" s="1385">
        <f t="shared" si="10"/>
        <v>100</v>
      </c>
      <c r="V31" s="1384" t="s">
        <v>5</v>
      </c>
      <c r="W31" s="1385">
        <f t="shared" si="11"/>
        <v>100</v>
      </c>
      <c r="X31" s="1378"/>
      <c r="Y31" s="3907"/>
      <c r="Z31" s="1386">
        <f t="shared" si="12"/>
        <v>111</v>
      </c>
      <c r="AA31" s="1387">
        <f t="shared" si="3"/>
        <v>1</v>
      </c>
      <c r="AB31" s="1387">
        <f t="shared" si="4"/>
        <v>1</v>
      </c>
      <c r="AC31" s="1387">
        <f t="shared" si="5"/>
        <v>1</v>
      </c>
    </row>
    <row r="32" spans="1:29" ht="15.6"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3907"/>
      <c r="Q32" s="1383">
        <f t="shared" si="8"/>
        <v>111</v>
      </c>
      <c r="R32" s="1384" t="s">
        <v>5</v>
      </c>
      <c r="S32" s="1385">
        <f t="shared" si="9"/>
        <v>100</v>
      </c>
      <c r="T32" s="1384" t="s">
        <v>5</v>
      </c>
      <c r="U32" s="1385">
        <f t="shared" si="10"/>
        <v>100</v>
      </c>
      <c r="V32" s="1384" t="s">
        <v>5</v>
      </c>
      <c r="W32" s="1385">
        <f t="shared" si="11"/>
        <v>100</v>
      </c>
      <c r="X32" s="1378"/>
      <c r="Y32" s="3907"/>
      <c r="Z32" s="1386">
        <f t="shared" si="12"/>
        <v>111</v>
      </c>
      <c r="AA32" s="1387">
        <f t="shared" si="3"/>
        <v>1</v>
      </c>
      <c r="AB32" s="1387">
        <f t="shared" si="4"/>
        <v>1</v>
      </c>
      <c r="AC32" s="1387">
        <f t="shared" si="5"/>
        <v>1</v>
      </c>
    </row>
    <row r="33" spans="1:29" ht="15">
      <c r="A33" s="2384"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3908" t="s">
        <v>499</v>
      </c>
      <c r="Q33" s="1383" t="str">
        <f t="shared" si="8"/>
        <v>建筑类型</v>
      </c>
      <c r="R33" s="1384" t="s">
        <v>5</v>
      </c>
      <c r="S33" s="1385">
        <f t="shared" si="9"/>
        <v>100</v>
      </c>
      <c r="T33" s="1384" t="s">
        <v>5</v>
      </c>
      <c r="U33" s="1385">
        <f t="shared" si="10"/>
        <v>100</v>
      </c>
      <c r="V33" s="1384" t="s">
        <v>5</v>
      </c>
      <c r="W33" s="1385">
        <f t="shared" si="11"/>
        <v>100</v>
      </c>
      <c r="X33" s="1378"/>
      <c r="Y33" s="3909"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909"/>
      <c r="Q34" s="1412" t="str">
        <f t="shared" si="8"/>
        <v>项目建筑规模</v>
      </c>
      <c r="R34" s="1388" t="s">
        <v>5</v>
      </c>
      <c r="S34" s="1389" t="e">
        <f t="shared" si="9"/>
        <v>#N/A</v>
      </c>
      <c r="T34" s="1388" t="s">
        <v>5</v>
      </c>
      <c r="U34" s="1389" t="e">
        <f t="shared" si="10"/>
        <v>#N/A</v>
      </c>
      <c r="V34" s="1388" t="s">
        <v>5</v>
      </c>
      <c r="W34" s="1389" t="e">
        <f t="shared" si="11"/>
        <v>#N/A</v>
      </c>
      <c r="X34" s="1390"/>
      <c r="Y34" s="3909"/>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909"/>
      <c r="Q35" s="1383" t="str">
        <f t="shared" si="8"/>
        <v>建筑结构</v>
      </c>
      <c r="R35" s="1384" t="s">
        <v>5</v>
      </c>
      <c r="S35" s="1385">
        <f t="shared" si="9"/>
        <v>100</v>
      </c>
      <c r="T35" s="1384" t="s">
        <v>5</v>
      </c>
      <c r="U35" s="1385">
        <f t="shared" si="10"/>
        <v>100</v>
      </c>
      <c r="V35" s="1384" t="s">
        <v>5</v>
      </c>
      <c r="W35" s="1385">
        <f t="shared" si="11"/>
        <v>100</v>
      </c>
      <c r="X35" s="1378"/>
      <c r="Y35" s="3909"/>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909"/>
      <c r="Q36" s="1383" t="str">
        <f t="shared" si="8"/>
        <v>公共部分装修</v>
      </c>
      <c r="R36" s="1384" t="s">
        <v>5</v>
      </c>
      <c r="S36" s="1385">
        <f t="shared" si="9"/>
        <v>100</v>
      </c>
      <c r="T36" s="1384" t="s">
        <v>5</v>
      </c>
      <c r="U36" s="1385">
        <f t="shared" si="10"/>
        <v>100</v>
      </c>
      <c r="V36" s="1384" t="s">
        <v>5</v>
      </c>
      <c r="W36" s="1385">
        <f t="shared" si="11"/>
        <v>100</v>
      </c>
      <c r="X36" s="1378"/>
      <c r="Y36" s="3909"/>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3909"/>
      <c r="Q37" s="1383" t="str">
        <f t="shared" si="8"/>
        <v>成新度</v>
      </c>
      <c r="R37" s="1384" t="s">
        <v>5</v>
      </c>
      <c r="S37" s="1385" t="e">
        <f t="shared" si="9"/>
        <v>#N/A</v>
      </c>
      <c r="T37" s="1384" t="s">
        <v>5</v>
      </c>
      <c r="U37" s="1385" t="e">
        <f t="shared" si="10"/>
        <v>#N/A</v>
      </c>
      <c r="V37" s="1384" t="s">
        <v>5</v>
      </c>
      <c r="W37" s="1385" t="e">
        <f t="shared" si="11"/>
        <v>#N/A</v>
      </c>
      <c r="X37" s="1378"/>
      <c r="Y37" s="3909"/>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909"/>
      <c r="Q38" s="1048" t="str">
        <f t="shared" si="8"/>
        <v>写字楼等级</v>
      </c>
      <c r="R38" s="1379" t="s">
        <v>5</v>
      </c>
      <c r="S38" s="1380">
        <f t="shared" si="9"/>
        <v>100</v>
      </c>
      <c r="T38" s="1379" t="s">
        <v>5</v>
      </c>
      <c r="U38" s="1380">
        <f t="shared" si="10"/>
        <v>100</v>
      </c>
      <c r="V38" s="1379" t="s">
        <v>5</v>
      </c>
      <c r="W38" s="1380">
        <f t="shared" si="11"/>
        <v>100</v>
      </c>
      <c r="X38" s="1381"/>
      <c r="Y38" s="3909"/>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909" t="s">
        <v>499</v>
      </c>
      <c r="Q39" s="1383" t="str">
        <f t="shared" si="8"/>
        <v>物业管理</v>
      </c>
      <c r="R39" s="1384" t="s">
        <v>5</v>
      </c>
      <c r="S39" s="1385">
        <f t="shared" si="9"/>
        <v>100</v>
      </c>
      <c r="T39" s="1384" t="s">
        <v>5</v>
      </c>
      <c r="U39" s="1385">
        <f t="shared" si="10"/>
        <v>100</v>
      </c>
      <c r="V39" s="1384" t="s">
        <v>5</v>
      </c>
      <c r="W39" s="1385">
        <f t="shared" si="11"/>
        <v>100</v>
      </c>
      <c r="X39" s="1378"/>
      <c r="Y39" s="3909"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909"/>
      <c r="Q40" s="1383" t="str">
        <f t="shared" si="8"/>
        <v>市政基础设施</v>
      </c>
      <c r="R40" s="1384" t="s">
        <v>5</v>
      </c>
      <c r="S40" s="1385">
        <f t="shared" si="9"/>
        <v>100</v>
      </c>
      <c r="T40" s="1384" t="s">
        <v>5</v>
      </c>
      <c r="U40" s="1385">
        <f t="shared" si="10"/>
        <v>100</v>
      </c>
      <c r="V40" s="1384" t="s">
        <v>5</v>
      </c>
      <c r="W40" s="1385">
        <f t="shared" si="11"/>
        <v>100</v>
      </c>
      <c r="X40" s="1378"/>
      <c r="Y40" s="3909"/>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909"/>
      <c r="Q41" s="1383" t="str">
        <f t="shared" si="8"/>
        <v>层高</v>
      </c>
      <c r="R41" s="1384" t="s">
        <v>5</v>
      </c>
      <c r="S41" s="1385">
        <f t="shared" si="9"/>
        <v>100</v>
      </c>
      <c r="T41" s="1384" t="s">
        <v>5</v>
      </c>
      <c r="U41" s="1385">
        <f t="shared" si="10"/>
        <v>100</v>
      </c>
      <c r="V41" s="1384" t="s">
        <v>5</v>
      </c>
      <c r="W41" s="1385">
        <f t="shared" si="11"/>
        <v>100</v>
      </c>
      <c r="X41" s="1378"/>
      <c r="Y41" s="3909"/>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09"/>
      <c r="Q42" s="1412" t="str">
        <f t="shared" si="8"/>
        <v>单套建筑面积</v>
      </c>
      <c r="R42" s="1388" t="s">
        <v>5</v>
      </c>
      <c r="S42" s="1389">
        <f t="shared" si="9"/>
        <v>100</v>
      </c>
      <c r="T42" s="1388" t="s">
        <v>5</v>
      </c>
      <c r="U42" s="1389">
        <f t="shared" si="10"/>
        <v>100</v>
      </c>
      <c r="V42" s="1388" t="s">
        <v>5</v>
      </c>
      <c r="W42" s="1389">
        <f t="shared" si="11"/>
        <v>100</v>
      </c>
      <c r="X42" s="1390"/>
      <c r="Y42" s="3909"/>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909"/>
      <c r="Q43" s="1383" t="str">
        <f t="shared" si="8"/>
        <v>内部装修</v>
      </c>
      <c r="R43" s="1384" t="s">
        <v>5</v>
      </c>
      <c r="S43" s="1385">
        <f t="shared" si="9"/>
        <v>100</v>
      </c>
      <c r="T43" s="1384" t="s">
        <v>5</v>
      </c>
      <c r="U43" s="1385">
        <f t="shared" si="10"/>
        <v>100</v>
      </c>
      <c r="V43" s="1384" t="s">
        <v>5</v>
      </c>
      <c r="W43" s="1385">
        <f t="shared" si="11"/>
        <v>100</v>
      </c>
      <c r="X43" s="1378"/>
      <c r="Y43" s="3909"/>
      <c r="Z43" s="1386" t="str">
        <f t="shared" si="12"/>
        <v>内部装修</v>
      </c>
      <c r="AA43" s="1387">
        <f t="shared" si="3"/>
        <v>1</v>
      </c>
      <c r="AB43" s="1387">
        <f t="shared" si="4"/>
        <v>1</v>
      </c>
      <c r="AC43" s="1387">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909"/>
      <c r="Q44" s="1383" t="str">
        <f t="shared" si="8"/>
        <v>内部装修维护情况</v>
      </c>
      <c r="R44" s="1384" t="s">
        <v>5</v>
      </c>
      <c r="S44" s="1385">
        <f t="shared" si="9"/>
        <v>100</v>
      </c>
      <c r="T44" s="1384" t="s">
        <v>5</v>
      </c>
      <c r="U44" s="1385">
        <f t="shared" si="10"/>
        <v>100</v>
      </c>
      <c r="V44" s="1384" t="s">
        <v>5</v>
      </c>
      <c r="W44" s="1385">
        <f t="shared" si="11"/>
        <v>100</v>
      </c>
      <c r="X44" s="1378"/>
      <c r="Y44" s="3909"/>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909"/>
      <c r="Q45" s="1048">
        <f t="shared" si="8"/>
        <v>111</v>
      </c>
      <c r="R45" s="1379" t="s">
        <v>5</v>
      </c>
      <c r="S45" s="1380">
        <f t="shared" si="9"/>
        <v>100</v>
      </c>
      <c r="T45" s="1379" t="s">
        <v>5</v>
      </c>
      <c r="U45" s="1380">
        <f t="shared" si="10"/>
        <v>100</v>
      </c>
      <c r="V45" s="1379" t="s">
        <v>5</v>
      </c>
      <c r="W45" s="1380">
        <f t="shared" si="11"/>
        <v>100</v>
      </c>
      <c r="X45" s="1381"/>
      <c r="Y45" s="3909"/>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09"/>
      <c r="Q46" s="1383">
        <f t="shared" si="8"/>
        <v>111</v>
      </c>
      <c r="R46" s="1384" t="s">
        <v>5</v>
      </c>
      <c r="S46" s="1385">
        <f t="shared" si="9"/>
        <v>100</v>
      </c>
      <c r="T46" s="1384" t="s">
        <v>5</v>
      </c>
      <c r="U46" s="1385">
        <f t="shared" si="10"/>
        <v>100</v>
      </c>
      <c r="V46" s="1384" t="s">
        <v>5</v>
      </c>
      <c r="W46" s="1385">
        <f t="shared" si="11"/>
        <v>100</v>
      </c>
      <c r="X46" s="1378"/>
      <c r="Y46" s="3909"/>
      <c r="Z46" s="1386">
        <f t="shared" si="12"/>
        <v>111</v>
      </c>
      <c r="AA46" s="1387">
        <f t="shared" si="3"/>
        <v>1</v>
      </c>
      <c r="AB46" s="1387">
        <f t="shared" si="4"/>
        <v>1</v>
      </c>
      <c r="AC46" s="1387">
        <f t="shared" si="5"/>
        <v>1</v>
      </c>
    </row>
    <row r="47" spans="1:29" ht="15.6"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7"/>
      <c r="Q47" s="1383">
        <f t="shared" si="8"/>
        <v>111</v>
      </c>
      <c r="R47" s="1384" t="s">
        <v>5</v>
      </c>
      <c r="S47" s="1385">
        <f t="shared" si="9"/>
        <v>100</v>
      </c>
      <c r="T47" s="1384" t="s">
        <v>5</v>
      </c>
      <c r="U47" s="1385">
        <f t="shared" si="10"/>
        <v>100</v>
      </c>
      <c r="V47" s="1384" t="s">
        <v>5</v>
      </c>
      <c r="W47" s="1385">
        <f t="shared" si="11"/>
        <v>100</v>
      </c>
      <c r="X47" s="1378"/>
      <c r="Y47" s="4027"/>
      <c r="Z47" s="1386">
        <f t="shared" si="12"/>
        <v>111</v>
      </c>
      <c r="AA47" s="1387">
        <f t="shared" si="3"/>
        <v>1</v>
      </c>
      <c r="AB47" s="1387">
        <f t="shared" si="4"/>
        <v>1</v>
      </c>
      <c r="AC47" s="1387">
        <f t="shared" si="5"/>
        <v>1</v>
      </c>
    </row>
    <row r="48" spans="1:29" ht="14.4">
      <c r="A48" s="577" t="s">
        <v>683</v>
      </c>
      <c r="B48" s="848"/>
      <c r="C48" s="2231" t="s">
        <v>0</v>
      </c>
      <c r="D48" s="2232"/>
      <c r="E48" s="2233"/>
      <c r="F48" s="2234"/>
      <c r="G48" s="2235"/>
      <c r="H48" s="2236"/>
      <c r="I48" s="2233"/>
      <c r="J48" s="2236"/>
      <c r="K48" s="1417"/>
      <c r="L48" s="1865"/>
      <c r="M48" s="1855"/>
      <c r="N48" s="1855"/>
      <c r="O48" s="1855"/>
      <c r="P48" s="3911" t="str">
        <f>A48</f>
        <v>成交单价（元/平方米）</v>
      </c>
      <c r="Q48" s="3904"/>
      <c r="R48" s="4026">
        <f>E48</f>
        <v>0</v>
      </c>
      <c r="S48" s="4026"/>
      <c r="T48" s="4026">
        <f>G48</f>
        <v>0</v>
      </c>
      <c r="U48" s="4026"/>
      <c r="V48" s="4026">
        <f>I48</f>
        <v>0</v>
      </c>
      <c r="W48" s="4026"/>
      <c r="X48" s="1373"/>
      <c r="Y48" s="1392"/>
      <c r="Z48" s="1373"/>
      <c r="AA48" s="1373"/>
      <c r="AB48" s="1373"/>
      <c r="AC48" s="1373"/>
    </row>
    <row r="49" spans="1:29" ht="15" thickBot="1">
      <c r="A49" s="585"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3911" t="str">
        <f>A49</f>
        <v>比较价格（元/平方米）</v>
      </c>
      <c r="Q49" s="3904"/>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1373"/>
      <c r="Y49" s="1373"/>
      <c r="Z49" s="1373"/>
      <c r="AA49" s="1373"/>
      <c r="AB49" s="1373"/>
      <c r="AC49" s="1373"/>
    </row>
    <row r="50" spans="1:29" ht="15" thickBot="1">
      <c r="A50" s="589" t="s">
        <v>2198</v>
      </c>
      <c r="B50" s="590"/>
      <c r="C50" s="2239" t="e">
        <f>R50</f>
        <v>#DIV/0!</v>
      </c>
      <c r="D50" s="2239"/>
      <c r="E50" s="2239"/>
      <c r="F50" s="2239"/>
      <c r="G50" s="2239"/>
      <c r="H50" s="2239"/>
      <c r="I50" s="2239"/>
      <c r="J50" s="2239"/>
      <c r="K50" s="1418"/>
      <c r="L50" s="1865"/>
      <c r="M50" s="1855"/>
      <c r="N50" s="1855"/>
      <c r="O50" s="1855"/>
      <c r="P50" s="4031" t="str">
        <f>A50</f>
        <v>估价对象XX用房的比较价格（楼面单价，元/平方米）</v>
      </c>
      <c r="Q50" s="3911"/>
      <c r="R50" s="4025" t="e">
        <f>IF(F1="售价",ROUND(IF(D49="简单平均",AVERAGE(R49:V49),R49*F49+T49*H49+V49*J49),0),ROUND(IF(D49="简单平均",AVERAGE(R49:V49),R49*F49+T49*H49+V49*J49),1))</f>
        <v>#DIV/0!</v>
      </c>
      <c r="S50" s="4025"/>
      <c r="T50" s="4025"/>
      <c r="U50" s="4025"/>
      <c r="V50" s="4025"/>
      <c r="W50" s="4025"/>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2.2"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4.4">
      <c r="A59" s="613" t="s">
        <v>478</v>
      </c>
      <c r="B59" s="614"/>
      <c r="C59" s="2279" t="str">
        <f>YEAR(C7)&amp;"-"&amp;MONTH(C7)</f>
        <v>2025-7</v>
      </c>
      <c r="D59" s="2281">
        <f>EDATE(C59,-1)</f>
        <v>45809</v>
      </c>
      <c r="E59" s="2281">
        <f t="shared" ref="E59:O59" si="13">EDATE(D59,-1)</f>
        <v>45778</v>
      </c>
      <c r="F59" s="2281">
        <f t="shared" si="13"/>
        <v>45748</v>
      </c>
      <c r="G59" s="2281">
        <f t="shared" si="13"/>
        <v>45717</v>
      </c>
      <c r="H59" s="2281">
        <f t="shared" si="13"/>
        <v>45689</v>
      </c>
      <c r="I59" s="2281">
        <f t="shared" si="13"/>
        <v>45658</v>
      </c>
      <c r="J59" s="2281">
        <f t="shared" si="13"/>
        <v>45627</v>
      </c>
      <c r="K59" s="2281">
        <f t="shared" si="13"/>
        <v>45597</v>
      </c>
      <c r="L59" s="2281">
        <f t="shared" si="13"/>
        <v>45566</v>
      </c>
      <c r="M59" s="2281">
        <f t="shared" si="13"/>
        <v>45536</v>
      </c>
      <c r="N59" s="2281">
        <f t="shared" si="13"/>
        <v>45505</v>
      </c>
      <c r="O59" s="2281">
        <f t="shared" si="13"/>
        <v>45474</v>
      </c>
      <c r="P59" s="1928"/>
      <c r="Q59" s="1881"/>
      <c r="R59" s="1881"/>
      <c r="S59" s="1881"/>
      <c r="T59" s="1881"/>
      <c r="U59" s="1881"/>
      <c r="V59" s="1881"/>
      <c r="W59" s="1881"/>
      <c r="X59" s="1881"/>
      <c r="Y59" s="1881"/>
      <c r="Z59" s="1881"/>
      <c r="AA59" s="1881"/>
      <c r="AB59" s="1881"/>
      <c r="AC59" s="1881"/>
    </row>
    <row r="60" spans="1:29" s="1116" customFormat="1">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4.4">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4.4"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ht="14.4">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4.4"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9.4"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4.4"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4.4"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4.4"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4.4"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4.4"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4.4"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4.4"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ht="14.4">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 thickTop="1">
      <c r="A83" s="637"/>
      <c r="B83" s="2202" t="s">
        <v>1841</v>
      </c>
      <c r="C83" s="2203" t="s">
        <v>1842</v>
      </c>
      <c r="D83" s="2203" t="s">
        <v>1843</v>
      </c>
      <c r="E83" s="2203" t="s">
        <v>1844</v>
      </c>
      <c r="F83" s="2203" t="s">
        <v>1845</v>
      </c>
      <c r="G83" s="2203" t="s">
        <v>1846</v>
      </c>
      <c r="H83" s="642"/>
      <c r="I83" s="642"/>
      <c r="J83" s="642"/>
      <c r="K83" s="642"/>
      <c r="L83" s="642"/>
      <c r="M83" s="2206"/>
      <c r="N83" s="1886"/>
      <c r="O83" s="1886"/>
      <c r="P83" s="1931"/>
      <c r="Q83" s="1878"/>
      <c r="R83" s="1866"/>
      <c r="S83" s="1866"/>
      <c r="T83" s="1866"/>
      <c r="U83" s="1866"/>
      <c r="V83" s="1866"/>
      <c r="W83" s="1866"/>
      <c r="X83" s="1866"/>
      <c r="Y83" s="1866"/>
      <c r="Z83" s="1866"/>
      <c r="AA83" s="1866"/>
      <c r="AB83" s="1866"/>
      <c r="AC83" s="1866"/>
    </row>
    <row r="84" spans="1:29" ht="14.4"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9.4"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4.4"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4.4"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4.4"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4.4"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4.4"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4.4"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4.4"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4.4"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4.4"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ht="14.4">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4.4"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4.4"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4.4"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4.4"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4.4"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4.4"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4.4"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4.4"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728</v>
      </c>
      <c r="C1" s="474" t="s">
        <v>667</v>
      </c>
      <c r="D1" s="81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470</v>
      </c>
      <c r="B4" s="483"/>
      <c r="C4" s="3912" t="s">
        <v>471</v>
      </c>
      <c r="D4" s="3913"/>
      <c r="E4" s="3934" t="s">
        <v>472</v>
      </c>
      <c r="F4" s="3935"/>
      <c r="G4" s="3912" t="s">
        <v>473</v>
      </c>
      <c r="H4" s="3913"/>
      <c r="I4" s="3912" t="s">
        <v>474</v>
      </c>
      <c r="J4" s="3913"/>
      <c r="K4" s="484"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894"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96"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40" si="3">D8/F8</f>
        <v>#DIV/0!</v>
      </c>
      <c r="AB8" s="1382" t="e">
        <f t="shared" ref="AB8:AB40" si="4">D8/H8</f>
        <v>#DIV/0!</v>
      </c>
      <c r="AC8" s="1382" t="e">
        <f t="shared" ref="AC8:AC40" si="5">D8/J8</f>
        <v>#DIV/0!</v>
      </c>
    </row>
    <row r="9" spans="1:29" s="1116" customFormat="1" ht="14.4">
      <c r="A9" s="2391"/>
      <c r="B9" s="2398"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69">
      <c r="A15" s="2387"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3906" t="s">
        <v>489</v>
      </c>
      <c r="Q15" s="1383" t="str">
        <f t="shared" si="6"/>
        <v>产业集聚程度</v>
      </c>
      <c r="R15" s="1384" t="s">
        <v>5</v>
      </c>
      <c r="S15" s="1385">
        <f t="shared" si="0"/>
        <v>100</v>
      </c>
      <c r="T15" s="1384" t="s">
        <v>5</v>
      </c>
      <c r="U15" s="1385">
        <f t="shared" si="1"/>
        <v>100</v>
      </c>
      <c r="V15" s="1384" t="s">
        <v>5</v>
      </c>
      <c r="W15" s="1385">
        <f t="shared" si="2"/>
        <v>100</v>
      </c>
      <c r="X15" s="1378"/>
      <c r="Y15" s="3906"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907"/>
      <c r="Q16" s="1383"/>
      <c r="R16" s="1384"/>
      <c r="S16" s="1385"/>
      <c r="T16" s="1384"/>
      <c r="U16" s="1385"/>
      <c r="V16" s="1384"/>
      <c r="W16" s="1385"/>
      <c r="X16" s="1378"/>
      <c r="Y16" s="3907"/>
      <c r="Z16" s="1386"/>
      <c r="AA16" s="1387">
        <v>1</v>
      </c>
      <c r="AB16" s="1387">
        <v>1</v>
      </c>
      <c r="AC16" s="1387">
        <v>1</v>
      </c>
    </row>
    <row r="17" spans="1:29" ht="96.6">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8"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3907"/>
      <c r="Q20" s="1383"/>
      <c r="R20" s="1384"/>
      <c r="S20" s="1385"/>
      <c r="T20" s="1384"/>
      <c r="U20" s="1385"/>
      <c r="V20" s="1384"/>
      <c r="W20" s="1385"/>
      <c r="X20" s="1378"/>
      <c r="Y20" s="3907"/>
      <c r="Z20" s="1386"/>
      <c r="AA20" s="1387">
        <v>1</v>
      </c>
      <c r="AB20" s="1387">
        <v>1</v>
      </c>
      <c r="AC20" s="1387">
        <v>1</v>
      </c>
    </row>
    <row r="21" spans="1:29" ht="41.4">
      <c r="A21" s="502"/>
      <c r="B21" s="2196"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548"/>
      <c r="C22" s="834"/>
      <c r="D22" s="525"/>
      <c r="E22" s="546"/>
      <c r="F22" s="527"/>
      <c r="G22" s="546"/>
      <c r="H22" s="525"/>
      <c r="I22" s="546"/>
      <c r="J22" s="525"/>
      <c r="K22" s="2207"/>
      <c r="L22" s="1863"/>
      <c r="M22" s="1855"/>
      <c r="N22" s="1855"/>
      <c r="O22" s="1862"/>
      <c r="P22" s="3907"/>
      <c r="Q22" s="2190"/>
      <c r="R22" s="1384"/>
      <c r="S22" s="1385"/>
      <c r="T22" s="1384"/>
      <c r="U22" s="1385"/>
      <c r="V22" s="1384"/>
      <c r="W22" s="1385"/>
      <c r="X22" s="2192"/>
      <c r="Y22" s="3907"/>
      <c r="Z22" s="2191"/>
      <c r="AA22" s="1387">
        <v>1</v>
      </c>
      <c r="AB22" s="1387">
        <v>1</v>
      </c>
      <c r="AC22" s="1387">
        <v>1</v>
      </c>
    </row>
    <row r="23" spans="1:29" ht="82.8">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3907"/>
      <c r="Q23" s="1383" t="str">
        <f>B23</f>
        <v>环境质量</v>
      </c>
      <c r="R23" s="1384" t="s">
        <v>5</v>
      </c>
      <c r="S23" s="1385">
        <f>F23</f>
        <v>100</v>
      </c>
      <c r="T23" s="1384" t="s">
        <v>5</v>
      </c>
      <c r="U23" s="1385">
        <f>H23</f>
        <v>100</v>
      </c>
      <c r="V23" s="1384" t="s">
        <v>5</v>
      </c>
      <c r="W23" s="1385">
        <f>J23</f>
        <v>100</v>
      </c>
      <c r="X23" s="1378"/>
      <c r="Y23" s="3907"/>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07"/>
      <c r="Q25" s="1383">
        <f>B25</f>
        <v>111</v>
      </c>
      <c r="R25" s="1384" t="s">
        <v>5</v>
      </c>
      <c r="S25" s="1385">
        <f>F25</f>
        <v>100</v>
      </c>
      <c r="T25" s="1384" t="s">
        <v>5</v>
      </c>
      <c r="U25" s="1385">
        <f>H25</f>
        <v>100</v>
      </c>
      <c r="V25" s="1384" t="s">
        <v>5</v>
      </c>
      <c r="W25" s="1385">
        <f>J25</f>
        <v>100</v>
      </c>
      <c r="X25" s="1378"/>
      <c r="Y25" s="3907"/>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07"/>
      <c r="Q26" s="1383">
        <f t="shared" ref="Q26:Q40" si="8">B26</f>
        <v>111</v>
      </c>
      <c r="R26" s="1384" t="s">
        <v>5</v>
      </c>
      <c r="S26" s="1385">
        <f>F26</f>
        <v>100</v>
      </c>
      <c r="T26" s="1384" t="s">
        <v>5</v>
      </c>
      <c r="U26" s="1385">
        <f>H26</f>
        <v>100</v>
      </c>
      <c r="V26" s="1384" t="s">
        <v>5</v>
      </c>
      <c r="W26" s="1385">
        <f>J26</f>
        <v>100</v>
      </c>
      <c r="X26" s="1378"/>
      <c r="Y26" s="3907"/>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3907"/>
      <c r="Q27" s="1048">
        <f t="shared" si="8"/>
        <v>111</v>
      </c>
      <c r="R27" s="1379" t="s">
        <v>5</v>
      </c>
      <c r="S27" s="1380">
        <f>F27</f>
        <v>100</v>
      </c>
      <c r="T27" s="1379" t="s">
        <v>5</v>
      </c>
      <c r="U27" s="1380">
        <f>H27</f>
        <v>100</v>
      </c>
      <c r="V27" s="1379" t="s">
        <v>5</v>
      </c>
      <c r="W27" s="1380">
        <f>J27</f>
        <v>100</v>
      </c>
      <c r="X27" s="1381"/>
      <c r="Y27" s="3907"/>
      <c r="Z27" s="1047">
        <f>Q27</f>
        <v>111</v>
      </c>
      <c r="AA27" s="1387">
        <f>D27/F27</f>
        <v>1</v>
      </c>
      <c r="AB27" s="1387">
        <f>D27/H27</f>
        <v>1</v>
      </c>
      <c r="AC27" s="1387">
        <f>D27/J27</f>
        <v>1</v>
      </c>
    </row>
    <row r="28" spans="1:29" ht="15.6"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3907"/>
      <c r="Q28" s="1383">
        <f t="shared" si="8"/>
        <v>111</v>
      </c>
      <c r="R28" s="1384" t="s">
        <v>5</v>
      </c>
      <c r="S28" s="1385">
        <f t="shared" ref="S28:S40" si="9">F28</f>
        <v>100</v>
      </c>
      <c r="T28" s="1384" t="s">
        <v>5</v>
      </c>
      <c r="U28" s="1385">
        <f t="shared" ref="U28:U40" si="10">H28</f>
        <v>100</v>
      </c>
      <c r="V28" s="1384" t="s">
        <v>5</v>
      </c>
      <c r="W28" s="1385">
        <f t="shared" ref="W28:W40" si="11">J28</f>
        <v>100</v>
      </c>
      <c r="X28" s="1378"/>
      <c r="Y28" s="3907"/>
      <c r="Z28" s="1386">
        <f t="shared" ref="Z28:Z40" si="12">Q28</f>
        <v>111</v>
      </c>
      <c r="AA28" s="1387">
        <f t="shared" si="3"/>
        <v>1</v>
      </c>
      <c r="AB28" s="1387">
        <f t="shared" si="4"/>
        <v>1</v>
      </c>
      <c r="AC28" s="1387">
        <f t="shared" si="5"/>
        <v>1</v>
      </c>
    </row>
    <row r="29" spans="1:29" ht="15">
      <c r="A29" s="2384"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3908" t="s">
        <v>499</v>
      </c>
      <c r="Q29" s="1383" t="str">
        <f t="shared" si="8"/>
        <v>建筑类型</v>
      </c>
      <c r="R29" s="1384" t="s">
        <v>5</v>
      </c>
      <c r="S29" s="1385">
        <f t="shared" si="9"/>
        <v>100</v>
      </c>
      <c r="T29" s="1384" t="s">
        <v>5</v>
      </c>
      <c r="U29" s="1385">
        <f t="shared" si="10"/>
        <v>100</v>
      </c>
      <c r="V29" s="1384" t="s">
        <v>5</v>
      </c>
      <c r="W29" s="1385">
        <f t="shared" si="11"/>
        <v>100</v>
      </c>
      <c r="X29" s="1378"/>
      <c r="Y29" s="3909"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3909"/>
      <c r="Q30" s="1412" t="str">
        <f t="shared" si="8"/>
        <v>项目建筑规模</v>
      </c>
      <c r="R30" s="1388" t="s">
        <v>5</v>
      </c>
      <c r="S30" s="1389" t="e">
        <f t="shared" si="9"/>
        <v>#N/A</v>
      </c>
      <c r="T30" s="1388" t="s">
        <v>5</v>
      </c>
      <c r="U30" s="1389" t="e">
        <f t="shared" si="10"/>
        <v>#N/A</v>
      </c>
      <c r="V30" s="1388" t="s">
        <v>5</v>
      </c>
      <c r="W30" s="1389" t="e">
        <f t="shared" si="11"/>
        <v>#N/A</v>
      </c>
      <c r="X30" s="1390"/>
      <c r="Y30" s="3909"/>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09"/>
      <c r="Q31" s="1383" t="str">
        <f t="shared" si="8"/>
        <v>建筑结构</v>
      </c>
      <c r="R31" s="1384" t="s">
        <v>5</v>
      </c>
      <c r="S31" s="1385">
        <f t="shared" si="9"/>
        <v>100</v>
      </c>
      <c r="T31" s="1384" t="s">
        <v>5</v>
      </c>
      <c r="U31" s="1385">
        <f t="shared" si="10"/>
        <v>100</v>
      </c>
      <c r="V31" s="1384" t="s">
        <v>5</v>
      </c>
      <c r="W31" s="1385">
        <f t="shared" si="11"/>
        <v>100</v>
      </c>
      <c r="X31" s="1378"/>
      <c r="Y31" s="3909"/>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09"/>
      <c r="Q32" s="1383" t="str">
        <f t="shared" si="8"/>
        <v>公共部分装修</v>
      </c>
      <c r="R32" s="1384" t="s">
        <v>5</v>
      </c>
      <c r="S32" s="1385">
        <f t="shared" si="9"/>
        <v>100</v>
      </c>
      <c r="T32" s="1384" t="s">
        <v>5</v>
      </c>
      <c r="U32" s="1385">
        <f t="shared" si="10"/>
        <v>100</v>
      </c>
      <c r="V32" s="1384" t="s">
        <v>5</v>
      </c>
      <c r="W32" s="1385">
        <f t="shared" si="11"/>
        <v>100</v>
      </c>
      <c r="X32" s="1378"/>
      <c r="Y32" s="3909"/>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3909"/>
      <c r="Q33" s="1383" t="str">
        <f t="shared" si="8"/>
        <v>成新度</v>
      </c>
      <c r="R33" s="1384" t="s">
        <v>5</v>
      </c>
      <c r="S33" s="1385" t="e">
        <f t="shared" si="9"/>
        <v>#N/A</v>
      </c>
      <c r="T33" s="1384" t="s">
        <v>5</v>
      </c>
      <c r="U33" s="1385" t="e">
        <f t="shared" si="10"/>
        <v>#N/A</v>
      </c>
      <c r="V33" s="1384" t="s">
        <v>5</v>
      </c>
      <c r="W33" s="1385" t="e">
        <f t="shared" si="11"/>
        <v>#N/A</v>
      </c>
      <c r="X33" s="1378"/>
      <c r="Y33" s="3909"/>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09"/>
      <c r="Q34" s="1048" t="str">
        <f t="shared" si="8"/>
        <v>物业管理</v>
      </c>
      <c r="R34" s="1379" t="s">
        <v>5</v>
      </c>
      <c r="S34" s="1380">
        <f t="shared" si="9"/>
        <v>100</v>
      </c>
      <c r="T34" s="1379" t="s">
        <v>5</v>
      </c>
      <c r="U34" s="1380">
        <f t="shared" si="10"/>
        <v>100</v>
      </c>
      <c r="V34" s="1379" t="s">
        <v>5</v>
      </c>
      <c r="W34" s="1380">
        <f t="shared" si="11"/>
        <v>100</v>
      </c>
      <c r="X34" s="1381"/>
      <c r="Y34" s="3909"/>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09" t="s">
        <v>499</v>
      </c>
      <c r="Q35" s="1383" t="str">
        <f t="shared" si="8"/>
        <v>市政基础设施</v>
      </c>
      <c r="R35" s="1384" t="s">
        <v>5</v>
      </c>
      <c r="S35" s="1385">
        <f t="shared" si="9"/>
        <v>100</v>
      </c>
      <c r="T35" s="1384" t="s">
        <v>5</v>
      </c>
      <c r="U35" s="1385">
        <f t="shared" si="10"/>
        <v>100</v>
      </c>
      <c r="V35" s="1384" t="s">
        <v>5</v>
      </c>
      <c r="W35" s="1385">
        <f t="shared" si="11"/>
        <v>100</v>
      </c>
      <c r="X35" s="1378"/>
      <c r="Y35" s="3909"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09"/>
      <c r="Q36" s="1383" t="str">
        <f t="shared" si="8"/>
        <v>内部装修</v>
      </c>
      <c r="R36" s="1384" t="s">
        <v>5</v>
      </c>
      <c r="S36" s="1385">
        <f t="shared" si="9"/>
        <v>100</v>
      </c>
      <c r="T36" s="1384" t="s">
        <v>5</v>
      </c>
      <c r="U36" s="1385">
        <f t="shared" si="10"/>
        <v>100</v>
      </c>
      <c r="V36" s="1384" t="s">
        <v>5</v>
      </c>
      <c r="W36" s="1385">
        <f t="shared" si="11"/>
        <v>100</v>
      </c>
      <c r="X36" s="1378"/>
      <c r="Y36" s="3909"/>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09"/>
      <c r="Q37" s="1383" t="str">
        <f t="shared" si="8"/>
        <v>内部装修状况</v>
      </c>
      <c r="R37" s="1384" t="s">
        <v>5</v>
      </c>
      <c r="S37" s="1385">
        <f t="shared" si="9"/>
        <v>100</v>
      </c>
      <c r="T37" s="1384" t="s">
        <v>5</v>
      </c>
      <c r="U37" s="1385">
        <f t="shared" si="10"/>
        <v>100</v>
      </c>
      <c r="V37" s="1384" t="s">
        <v>5</v>
      </c>
      <c r="W37" s="1385">
        <f t="shared" si="11"/>
        <v>100</v>
      </c>
      <c r="X37" s="1378"/>
      <c r="Y37" s="3909"/>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3909"/>
      <c r="Q38" s="1412">
        <f t="shared" si="8"/>
        <v>111</v>
      </c>
      <c r="R38" s="1388" t="s">
        <v>5</v>
      </c>
      <c r="S38" s="1389">
        <f t="shared" si="9"/>
        <v>100</v>
      </c>
      <c r="T38" s="1388" t="s">
        <v>5</v>
      </c>
      <c r="U38" s="1389">
        <f t="shared" si="10"/>
        <v>100</v>
      </c>
      <c r="V38" s="1388" t="s">
        <v>5</v>
      </c>
      <c r="W38" s="1389">
        <f t="shared" si="11"/>
        <v>100</v>
      </c>
      <c r="X38" s="1390"/>
      <c r="Y38" s="3909"/>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3909"/>
      <c r="Q39" s="1383">
        <f t="shared" si="8"/>
        <v>111</v>
      </c>
      <c r="R39" s="1384" t="s">
        <v>5</v>
      </c>
      <c r="S39" s="1385">
        <f t="shared" si="9"/>
        <v>100</v>
      </c>
      <c r="T39" s="1384" t="s">
        <v>5</v>
      </c>
      <c r="U39" s="1385">
        <f t="shared" si="10"/>
        <v>100</v>
      </c>
      <c r="V39" s="1384" t="s">
        <v>5</v>
      </c>
      <c r="W39" s="1385">
        <f t="shared" si="11"/>
        <v>100</v>
      </c>
      <c r="X39" s="1378"/>
      <c r="Y39" s="3909"/>
      <c r="Z39" s="1386">
        <f t="shared" si="12"/>
        <v>111</v>
      </c>
      <c r="AA39" s="1387">
        <f t="shared" si="3"/>
        <v>1</v>
      </c>
      <c r="AB39" s="1387">
        <f t="shared" si="4"/>
        <v>1</v>
      </c>
      <c r="AC39" s="1387">
        <f t="shared" si="5"/>
        <v>1</v>
      </c>
    </row>
    <row r="40" spans="1:29" ht="15.6"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4027"/>
      <c r="Q40" s="1383">
        <f t="shared" si="8"/>
        <v>111</v>
      </c>
      <c r="R40" s="1384" t="s">
        <v>5</v>
      </c>
      <c r="S40" s="1385">
        <f t="shared" si="9"/>
        <v>100</v>
      </c>
      <c r="T40" s="1384" t="s">
        <v>5</v>
      </c>
      <c r="U40" s="1385">
        <f t="shared" si="10"/>
        <v>100</v>
      </c>
      <c r="V40" s="1384" t="s">
        <v>5</v>
      </c>
      <c r="W40" s="1385">
        <f t="shared" si="11"/>
        <v>100</v>
      </c>
      <c r="X40" s="1378"/>
      <c r="Y40" s="4027"/>
      <c r="Z40" s="1386">
        <f t="shared" si="12"/>
        <v>111</v>
      </c>
      <c r="AA40" s="1387">
        <f t="shared" si="3"/>
        <v>1</v>
      </c>
      <c r="AB40" s="1387">
        <f t="shared" si="4"/>
        <v>1</v>
      </c>
      <c r="AC40" s="1387">
        <f t="shared" si="5"/>
        <v>1</v>
      </c>
    </row>
    <row r="41" spans="1:29" ht="14.4">
      <c r="A41" s="577" t="s">
        <v>683</v>
      </c>
      <c r="B41" s="848"/>
      <c r="C41" s="2231" t="s">
        <v>0</v>
      </c>
      <c r="D41" s="2232"/>
      <c r="E41" s="2233"/>
      <c r="F41" s="2234"/>
      <c r="G41" s="2235"/>
      <c r="H41" s="2236"/>
      <c r="I41" s="2233"/>
      <c r="J41" s="2236"/>
      <c r="K41" s="1417"/>
      <c r="L41" s="1865"/>
      <c r="M41" s="1866"/>
      <c r="N41" s="1855"/>
      <c r="O41" s="1866"/>
      <c r="P41" s="3904" t="str">
        <f>A41</f>
        <v>成交单价（元/平方米）</v>
      </c>
      <c r="Q41" s="3904"/>
      <c r="R41" s="4026">
        <f>E41</f>
        <v>0</v>
      </c>
      <c r="S41" s="4026"/>
      <c r="T41" s="4026">
        <f>G41</f>
        <v>0</v>
      </c>
      <c r="U41" s="4026"/>
      <c r="V41" s="4026">
        <f>I41</f>
        <v>0</v>
      </c>
      <c r="W41" s="4026"/>
      <c r="X41" s="1373"/>
      <c r="Y41" s="1392"/>
      <c r="Z41" s="1373"/>
      <c r="AA41" s="1373"/>
      <c r="AB41" s="1373"/>
      <c r="AC41" s="1373"/>
    </row>
    <row r="42" spans="1:29" ht="15" thickBot="1">
      <c r="A42" s="585"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904" t="str">
        <f>A42</f>
        <v>比较价格（元/平方米）</v>
      </c>
      <c r="Q42" s="3904"/>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1373"/>
      <c r="Y42" s="1373"/>
      <c r="Z42" s="1373"/>
      <c r="AA42" s="1373"/>
      <c r="AB42" s="1373"/>
      <c r="AC42" s="1373"/>
    </row>
    <row r="43" spans="1:29" ht="15" thickBot="1">
      <c r="A43" s="589" t="s">
        <v>2198</v>
      </c>
      <c r="B43" s="590"/>
      <c r="C43" s="2239" t="e">
        <f>R43</f>
        <v>#DIV/0!</v>
      </c>
      <c r="D43" s="2239"/>
      <c r="E43" s="2239"/>
      <c r="F43" s="2239"/>
      <c r="G43" s="2239"/>
      <c r="H43" s="2239"/>
      <c r="I43" s="2239"/>
      <c r="J43" s="2239"/>
      <c r="K43" s="1418"/>
      <c r="L43" s="1865"/>
      <c r="M43" s="1866"/>
      <c r="N43" s="1866"/>
      <c r="O43" s="1866"/>
      <c r="P43" s="3910" t="str">
        <f>A43</f>
        <v>估价对象XX用房的比较价格（楼面单价，元/平方米）</v>
      </c>
      <c r="Q43" s="3911"/>
      <c r="R43" s="4025" t="e">
        <f>IF(F1="售价",ROUND(IF(D42="简单平均",AVERAGE(R42:V42),R42*F42+T42*H42+V42*J42),0),ROUND(IF(D42="简单平均",AVERAGE(R42:V42),R42*F42+T42*H42+V42*J42),1))</f>
        <v>#DIV/0!</v>
      </c>
      <c r="S43" s="4025"/>
      <c r="T43" s="4025"/>
      <c r="U43" s="4025"/>
      <c r="V43" s="4025"/>
      <c r="W43" s="4025"/>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2.2"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4.4">
      <c r="A52" s="613" t="s">
        <v>478</v>
      </c>
      <c r="B52" s="614"/>
      <c r="C52" s="2279" t="str">
        <f>YEAR(C7)&amp;"-"&amp;MONTH(C7)</f>
        <v>2025-7</v>
      </c>
      <c r="D52" s="2281">
        <f>EDATE(C52,-1)</f>
        <v>45809</v>
      </c>
      <c r="E52" s="2281">
        <f t="shared" ref="E52:O52" si="13">EDATE(D52,-1)</f>
        <v>45778</v>
      </c>
      <c r="F52" s="2281">
        <f t="shared" si="13"/>
        <v>45748</v>
      </c>
      <c r="G52" s="2281">
        <f t="shared" si="13"/>
        <v>45717</v>
      </c>
      <c r="H52" s="2281">
        <f t="shared" si="13"/>
        <v>45689</v>
      </c>
      <c r="I52" s="2281">
        <f t="shared" si="13"/>
        <v>45658</v>
      </c>
      <c r="J52" s="2281">
        <f t="shared" si="13"/>
        <v>45627</v>
      </c>
      <c r="K52" s="2281">
        <f t="shared" si="13"/>
        <v>45597</v>
      </c>
      <c r="L52" s="2281">
        <f t="shared" si="13"/>
        <v>45566</v>
      </c>
      <c r="M52" s="2281">
        <f t="shared" si="13"/>
        <v>45536</v>
      </c>
      <c r="N52" s="2281">
        <f t="shared" si="13"/>
        <v>45505</v>
      </c>
      <c r="O52" s="2281">
        <f t="shared" si="13"/>
        <v>45474</v>
      </c>
      <c r="P52" s="1880"/>
      <c r="Q52" s="1881"/>
      <c r="R52" s="1881"/>
      <c r="S52" s="1881"/>
      <c r="T52" s="1881"/>
      <c r="U52" s="1881"/>
      <c r="V52" s="1881"/>
      <c r="W52" s="1881"/>
      <c r="X52" s="1881"/>
      <c r="Y52" s="1881"/>
      <c r="Z52" s="1881"/>
      <c r="AA52" s="1881"/>
      <c r="AB52" s="1881"/>
      <c r="AC52" s="1881"/>
    </row>
    <row r="53" spans="1:29" s="1116" customFormat="1">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4.4">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4.4"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ht="14.4">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9.4"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4.4"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4.4"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4.4"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4.4"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4.4"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4.4"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4.4"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ht="14.4">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 thickTop="1">
      <c r="A76" s="637"/>
      <c r="B76" s="2202" t="s">
        <v>1841</v>
      </c>
      <c r="C76" s="2203" t="s">
        <v>1842</v>
      </c>
      <c r="D76" s="2203" t="s">
        <v>1843</v>
      </c>
      <c r="E76" s="2203" t="s">
        <v>1844</v>
      </c>
      <c r="F76" s="2203" t="s">
        <v>1845</v>
      </c>
      <c r="G76" s="2203"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4.4"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4.4"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4.4"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4.4"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4.4"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4.4"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4.4"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4.4"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ht="14.4">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9.4"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4.4"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4.4"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4.4"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4.4"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4.4"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12" t="s">
        <v>738</v>
      </c>
      <c r="D4" s="3913"/>
      <c r="E4" s="3912" t="s">
        <v>739</v>
      </c>
      <c r="F4" s="3913"/>
      <c r="G4" s="3912" t="s">
        <v>740</v>
      </c>
      <c r="H4" s="3913"/>
      <c r="I4" s="3912" t="s">
        <v>741</v>
      </c>
      <c r="J4" s="3913"/>
      <c r="K4" s="484" t="s">
        <v>742</v>
      </c>
      <c r="L4" s="1854"/>
      <c r="M4" s="1855"/>
      <c r="N4" s="1855"/>
      <c r="O4" s="1855"/>
      <c r="P4" s="3914" t="s">
        <v>743</v>
      </c>
      <c r="Q4" s="3915"/>
      <c r="R4" s="3898" t="s">
        <v>739</v>
      </c>
      <c r="S4" s="3899"/>
      <c r="T4" s="3898" t="s">
        <v>740</v>
      </c>
      <c r="U4" s="3899"/>
      <c r="V4" s="3920" t="s">
        <v>741</v>
      </c>
      <c r="W4" s="3920"/>
      <c r="X4" s="1378"/>
      <c r="Y4" s="3898" t="s">
        <v>743</v>
      </c>
      <c r="Z4" s="3899"/>
      <c r="AA4" s="3893" t="s">
        <v>739</v>
      </c>
      <c r="AB4" s="3894" t="s">
        <v>740</v>
      </c>
      <c r="AC4" s="3893" t="s">
        <v>741</v>
      </c>
    </row>
    <row r="5" spans="1:29">
      <c r="A5" s="485"/>
      <c r="B5" s="486"/>
      <c r="C5" s="3923" t="s">
        <v>2192</v>
      </c>
      <c r="D5" s="3924"/>
      <c r="E5" s="3923" t="s">
        <v>2193</v>
      </c>
      <c r="F5" s="3924"/>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25" t="s">
        <v>2196</v>
      </c>
      <c r="F6" s="3926"/>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96" t="s">
        <v>479</v>
      </c>
      <c r="Q7" s="3905"/>
      <c r="R7" s="1379" t="s">
        <v>5</v>
      </c>
      <c r="S7" s="1380">
        <f t="shared" ref="S7:S14" si="0">F7</f>
        <v>0</v>
      </c>
      <c r="T7" s="1379" t="s">
        <v>5</v>
      </c>
      <c r="U7" s="1380">
        <f t="shared" ref="U7:U14" si="1">H7</f>
        <v>0</v>
      </c>
      <c r="V7" s="1379" t="s">
        <v>5</v>
      </c>
      <c r="W7" s="1380">
        <f t="shared" ref="W7:W14"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36" si="3">D8/F8</f>
        <v>#DIV/0!</v>
      </c>
      <c r="AB8" s="1382" t="e">
        <f t="shared" ref="AB8:AB36" si="4">D8/H8</f>
        <v>#DIV/0!</v>
      </c>
      <c r="AC8" s="1382" t="e">
        <f t="shared" ref="AC8:AC36" si="5">D8/J8</f>
        <v>#DIV/0!</v>
      </c>
    </row>
    <row r="9" spans="1:29" s="1116" customFormat="1" ht="14.4">
      <c r="A9" s="2391"/>
      <c r="B9" s="2398"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3904" t="s">
        <v>484</v>
      </c>
      <c r="Q9" s="1048" t="str">
        <f t="shared" ref="Q9:Q14" si="6">B9</f>
        <v>用途</v>
      </c>
      <c r="R9" s="1379" t="s">
        <v>5</v>
      </c>
      <c r="S9" s="1380">
        <f t="shared" si="0"/>
        <v>100</v>
      </c>
      <c r="T9" s="1379" t="s">
        <v>5</v>
      </c>
      <c r="U9" s="1380">
        <f t="shared" si="1"/>
        <v>100</v>
      </c>
      <c r="V9" s="1379" t="s">
        <v>5</v>
      </c>
      <c r="W9" s="1380">
        <f t="shared" si="2"/>
        <v>100</v>
      </c>
      <c r="X9" s="1381"/>
      <c r="Y9" s="3851"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04"/>
      <c r="Q11" s="1048">
        <f t="shared" si="6"/>
        <v>111</v>
      </c>
      <c r="R11" s="1379" t="s">
        <v>5</v>
      </c>
      <c r="S11" s="1380">
        <f t="shared" si="0"/>
        <v>100</v>
      </c>
      <c r="T11" s="1379" t="s">
        <v>5</v>
      </c>
      <c r="U11" s="1380">
        <f t="shared" si="1"/>
        <v>100</v>
      </c>
      <c r="V11" s="1379" t="s">
        <v>5</v>
      </c>
      <c r="W11" s="1380">
        <f t="shared" si="2"/>
        <v>100</v>
      </c>
      <c r="X11" s="1381"/>
      <c r="Y11" s="3851"/>
      <c r="Z11" s="1047">
        <f t="shared" si="7"/>
        <v>111</v>
      </c>
      <c r="AA11" s="1382">
        <f t="shared" si="3"/>
        <v>1</v>
      </c>
      <c r="AB11" s="1382">
        <f t="shared" si="4"/>
        <v>1</v>
      </c>
      <c r="AC11" s="1382">
        <f t="shared" si="5"/>
        <v>1</v>
      </c>
    </row>
    <row r="12" spans="1:29" s="1116"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6"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96.6">
      <c r="A14" s="2387"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3906" t="s">
        <v>489</v>
      </c>
      <c r="Q14" s="1383" t="str">
        <f t="shared" si="6"/>
        <v>交通便捷度</v>
      </c>
      <c r="R14" s="1384" t="s">
        <v>5</v>
      </c>
      <c r="S14" s="1385">
        <f t="shared" si="0"/>
        <v>100</v>
      </c>
      <c r="T14" s="1384" t="s">
        <v>5</v>
      </c>
      <c r="U14" s="1385">
        <f t="shared" si="1"/>
        <v>100</v>
      </c>
      <c r="V14" s="1384" t="s">
        <v>5</v>
      </c>
      <c r="W14" s="1385">
        <f t="shared" si="2"/>
        <v>100</v>
      </c>
      <c r="X14" s="1378"/>
      <c r="Y14" s="3906"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3907"/>
      <c r="Q15" s="1383"/>
      <c r="R15" s="1384"/>
      <c r="S15" s="1385"/>
      <c r="T15" s="1384"/>
      <c r="U15" s="1385"/>
      <c r="V15" s="1384"/>
      <c r="W15" s="1385"/>
      <c r="X15" s="1378"/>
      <c r="Y15" s="3907"/>
      <c r="Z15" s="1386"/>
      <c r="AA15" s="1387">
        <v>1</v>
      </c>
      <c r="AB15" s="1387">
        <v>1</v>
      </c>
      <c r="AC15" s="1387">
        <v>1</v>
      </c>
    </row>
    <row r="16" spans="1:29" ht="41.4">
      <c r="A16" s="485"/>
      <c r="B16" s="2208"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3907"/>
      <c r="Q16" s="1383" t="str">
        <f>B16</f>
        <v>公共配套设施</v>
      </c>
      <c r="R16" s="1384" t="s">
        <v>5</v>
      </c>
      <c r="S16" s="1385">
        <f>F16</f>
        <v>100</v>
      </c>
      <c r="T16" s="1384" t="s">
        <v>5</v>
      </c>
      <c r="U16" s="1385">
        <f>H16</f>
        <v>100</v>
      </c>
      <c r="V16" s="1384" t="s">
        <v>5</v>
      </c>
      <c r="W16" s="1385">
        <f>J16</f>
        <v>100</v>
      </c>
      <c r="X16" s="1378"/>
      <c r="Y16" s="3907"/>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3907"/>
      <c r="Q17" s="1383"/>
      <c r="R17" s="1384"/>
      <c r="S17" s="1385"/>
      <c r="T17" s="1384"/>
      <c r="U17" s="1385"/>
      <c r="V17" s="1384"/>
      <c r="W17" s="1385"/>
      <c r="X17" s="1378"/>
      <c r="Y17" s="3907"/>
      <c r="Z17" s="1386"/>
      <c r="AA17" s="1387">
        <v>1</v>
      </c>
      <c r="AB17" s="1387">
        <v>1</v>
      </c>
      <c r="AC17" s="1387">
        <v>1</v>
      </c>
    </row>
    <row r="18" spans="1:29" ht="41.4">
      <c r="A18" s="485"/>
      <c r="B18" s="2196"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3907"/>
      <c r="Q18" s="2190" t="str">
        <f>B18</f>
        <v>基础设施水平</v>
      </c>
      <c r="R18" s="1384" t="s">
        <v>5</v>
      </c>
      <c r="S18" s="1385">
        <f>F18</f>
        <v>100</v>
      </c>
      <c r="T18" s="1384" t="s">
        <v>5</v>
      </c>
      <c r="U18" s="1385">
        <f>H18</f>
        <v>100</v>
      </c>
      <c r="V18" s="1384" t="s">
        <v>5</v>
      </c>
      <c r="W18" s="1385">
        <f>J18</f>
        <v>100</v>
      </c>
      <c r="X18" s="2192"/>
      <c r="Y18" s="3907"/>
      <c r="Z18" s="2191" t="str">
        <f>Q18</f>
        <v>基础设施水平</v>
      </c>
      <c r="AA18" s="1387">
        <f>D18/F18</f>
        <v>1</v>
      </c>
      <c r="AB18" s="1387">
        <f>D18/H18</f>
        <v>1</v>
      </c>
      <c r="AC18" s="1387">
        <f>D18/J18</f>
        <v>1</v>
      </c>
    </row>
    <row r="19" spans="1:29" ht="15">
      <c r="A19" s="485"/>
      <c r="B19" s="548"/>
      <c r="C19" s="834"/>
      <c r="D19" s="529"/>
      <c r="E19" s="546"/>
      <c r="F19" s="527"/>
      <c r="G19" s="546"/>
      <c r="H19" s="525"/>
      <c r="I19" s="546"/>
      <c r="J19" s="525"/>
      <c r="K19" s="2207"/>
      <c r="L19" s="1863"/>
      <c r="M19" s="1855"/>
      <c r="N19" s="1855"/>
      <c r="O19" s="1862"/>
      <c r="P19" s="3907"/>
      <c r="Q19" s="2190"/>
      <c r="R19" s="1384"/>
      <c r="S19" s="1385"/>
      <c r="T19" s="1384"/>
      <c r="U19" s="1385"/>
      <c r="V19" s="1384"/>
      <c r="W19" s="1385"/>
      <c r="X19" s="2192"/>
      <c r="Y19" s="3907"/>
      <c r="Z19" s="2191"/>
      <c r="AA19" s="1387">
        <v>1</v>
      </c>
      <c r="AB19" s="1387">
        <v>1</v>
      </c>
      <c r="AC19" s="1387">
        <v>1</v>
      </c>
    </row>
    <row r="20" spans="1:29" ht="55.2">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3907"/>
      <c r="Q20" s="1383" t="str">
        <f>B20</f>
        <v>自然及人文环境</v>
      </c>
      <c r="R20" s="1384" t="s">
        <v>5</v>
      </c>
      <c r="S20" s="1385">
        <f>F20</f>
        <v>100</v>
      </c>
      <c r="T20" s="1384" t="s">
        <v>5</v>
      </c>
      <c r="U20" s="1385">
        <f>H20</f>
        <v>100</v>
      </c>
      <c r="V20" s="1384" t="s">
        <v>5</v>
      </c>
      <c r="W20" s="1385">
        <f>J20</f>
        <v>100</v>
      </c>
      <c r="X20" s="1378"/>
      <c r="Y20" s="3907"/>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3907"/>
      <c r="Q21" s="1383"/>
      <c r="R21" s="1384"/>
      <c r="S21" s="1385"/>
      <c r="T21" s="1384"/>
      <c r="U21" s="1385"/>
      <c r="V21" s="1384"/>
      <c r="W21" s="1385"/>
      <c r="X21" s="1378"/>
      <c r="Y21" s="3907"/>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07"/>
      <c r="Q22" s="1383" t="str">
        <f>B22</f>
        <v>楼层</v>
      </c>
      <c r="R22" s="1384" t="s">
        <v>5</v>
      </c>
      <c r="S22" s="1385">
        <f>F22</f>
        <v>100</v>
      </c>
      <c r="T22" s="1384" t="s">
        <v>5</v>
      </c>
      <c r="U22" s="1385">
        <f>H22</f>
        <v>100</v>
      </c>
      <c r="V22" s="1384" t="s">
        <v>5</v>
      </c>
      <c r="W22" s="1385">
        <f>J22</f>
        <v>100</v>
      </c>
      <c r="X22" s="1378"/>
      <c r="Y22" s="3907"/>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07"/>
      <c r="Q23" s="1383">
        <f>B23</f>
        <v>111</v>
      </c>
      <c r="R23" s="1384" t="s">
        <v>5</v>
      </c>
      <c r="S23" s="1385">
        <f>F23</f>
        <v>100</v>
      </c>
      <c r="T23" s="1384" t="s">
        <v>5</v>
      </c>
      <c r="U23" s="1385">
        <f>H23</f>
        <v>100</v>
      </c>
      <c r="V23" s="1384" t="s">
        <v>5</v>
      </c>
      <c r="W23" s="1385">
        <f>J23</f>
        <v>100</v>
      </c>
      <c r="X23" s="1378"/>
      <c r="Y23" s="3907"/>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07"/>
      <c r="Q24" s="1383">
        <f t="shared" ref="Q24:Q36" si="8">B24</f>
        <v>111</v>
      </c>
      <c r="R24" s="1384" t="s">
        <v>5</v>
      </c>
      <c r="S24" s="1385">
        <f>F24</f>
        <v>100</v>
      </c>
      <c r="T24" s="1384" t="s">
        <v>5</v>
      </c>
      <c r="U24" s="1385">
        <f>H24</f>
        <v>100</v>
      </c>
      <c r="V24" s="1384" t="s">
        <v>5</v>
      </c>
      <c r="W24" s="1385">
        <f>J24</f>
        <v>100</v>
      </c>
      <c r="X24" s="1378"/>
      <c r="Y24" s="3907"/>
      <c r="Z24" s="1386">
        <f>Q24</f>
        <v>111</v>
      </c>
      <c r="AA24" s="1387">
        <f t="shared" si="3"/>
        <v>1</v>
      </c>
      <c r="AB24" s="1387">
        <f t="shared" si="4"/>
        <v>1</v>
      </c>
      <c r="AC24" s="1387">
        <f t="shared" si="5"/>
        <v>1</v>
      </c>
    </row>
    <row r="25" spans="1:29" s="1116" customFormat="1" ht="15.6"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3907"/>
      <c r="Q25" s="1048">
        <f t="shared" si="8"/>
        <v>111</v>
      </c>
      <c r="R25" s="1379" t="s">
        <v>5</v>
      </c>
      <c r="S25" s="1380">
        <f>F25</f>
        <v>100</v>
      </c>
      <c r="T25" s="1379" t="s">
        <v>5</v>
      </c>
      <c r="U25" s="1380">
        <f>H25</f>
        <v>100</v>
      </c>
      <c r="V25" s="1379" t="s">
        <v>5</v>
      </c>
      <c r="W25" s="1380">
        <f>J25</f>
        <v>100</v>
      </c>
      <c r="X25" s="1381"/>
      <c r="Y25" s="3907"/>
      <c r="Z25" s="1047">
        <f>Q25</f>
        <v>111</v>
      </c>
      <c r="AA25" s="1387">
        <f>D25/F25</f>
        <v>1</v>
      </c>
      <c r="AB25" s="1387">
        <f>D25/H25</f>
        <v>1</v>
      </c>
      <c r="AC25" s="1387">
        <f>D25/J25</f>
        <v>1</v>
      </c>
    </row>
    <row r="26" spans="1:29" ht="15">
      <c r="A26" s="2384"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08"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9"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3909"/>
      <c r="Q27" s="1412" t="str">
        <f t="shared" si="8"/>
        <v>项目停车位配比</v>
      </c>
      <c r="R27" s="1388" t="s">
        <v>5</v>
      </c>
      <c r="S27" s="1389">
        <f t="shared" si="9"/>
        <v>100</v>
      </c>
      <c r="T27" s="1388" t="s">
        <v>5</v>
      </c>
      <c r="U27" s="1389">
        <f t="shared" si="10"/>
        <v>100</v>
      </c>
      <c r="V27" s="1388" t="s">
        <v>5</v>
      </c>
      <c r="W27" s="1389">
        <f t="shared" si="11"/>
        <v>100</v>
      </c>
      <c r="X27" s="1390"/>
      <c r="Y27" s="3909"/>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09"/>
      <c r="Q28" s="1383" t="str">
        <f t="shared" si="8"/>
        <v>公共部分装修</v>
      </c>
      <c r="R28" s="1384" t="s">
        <v>5</v>
      </c>
      <c r="S28" s="1385">
        <f t="shared" si="9"/>
        <v>100</v>
      </c>
      <c r="T28" s="1384" t="s">
        <v>5</v>
      </c>
      <c r="U28" s="1385">
        <f t="shared" si="10"/>
        <v>100</v>
      </c>
      <c r="V28" s="1384" t="s">
        <v>5</v>
      </c>
      <c r="W28" s="1385">
        <f t="shared" si="11"/>
        <v>100</v>
      </c>
      <c r="X28" s="1378"/>
      <c r="Y28" s="3909"/>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3909"/>
      <c r="Q29" s="1383" t="str">
        <f t="shared" si="8"/>
        <v>成新率</v>
      </c>
      <c r="R29" s="1384" t="s">
        <v>5</v>
      </c>
      <c r="S29" s="1385" t="e">
        <f t="shared" si="9"/>
        <v>#N/A</v>
      </c>
      <c r="T29" s="1384" t="s">
        <v>5</v>
      </c>
      <c r="U29" s="1385" t="e">
        <f t="shared" si="10"/>
        <v>#N/A</v>
      </c>
      <c r="V29" s="1384" t="s">
        <v>5</v>
      </c>
      <c r="W29" s="1385" t="e">
        <f t="shared" si="11"/>
        <v>#N/A</v>
      </c>
      <c r="X29" s="1378"/>
      <c r="Y29" s="3909"/>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3909"/>
      <c r="Q30" s="1383" t="str">
        <f t="shared" si="8"/>
        <v>物业等级</v>
      </c>
      <c r="R30" s="1384" t="s">
        <v>5</v>
      </c>
      <c r="S30" s="1385">
        <f t="shared" si="9"/>
        <v>100</v>
      </c>
      <c r="T30" s="1384" t="s">
        <v>5</v>
      </c>
      <c r="U30" s="1385">
        <f t="shared" si="10"/>
        <v>100</v>
      </c>
      <c r="V30" s="1384" t="s">
        <v>5</v>
      </c>
      <c r="W30" s="1385">
        <f t="shared" si="11"/>
        <v>100</v>
      </c>
      <c r="X30" s="1378"/>
      <c r="Y30" s="3909"/>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3909"/>
      <c r="Q31" s="1048" t="str">
        <f t="shared" si="8"/>
        <v>停车位面积</v>
      </c>
      <c r="R31" s="1379" t="s">
        <v>5</v>
      </c>
      <c r="S31" s="1380" t="e">
        <f t="shared" si="9"/>
        <v>#N/A</v>
      </c>
      <c r="T31" s="1379" t="s">
        <v>5</v>
      </c>
      <c r="U31" s="1380" t="e">
        <f t="shared" si="10"/>
        <v>#N/A</v>
      </c>
      <c r="V31" s="1379" t="s">
        <v>5</v>
      </c>
      <c r="W31" s="1380" t="e">
        <f t="shared" si="11"/>
        <v>#N/A</v>
      </c>
      <c r="X31" s="1381"/>
      <c r="Y31" s="3909"/>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09" t="s">
        <v>499</v>
      </c>
      <c r="Q32" s="1383" t="str">
        <f t="shared" si="8"/>
        <v>车位类型</v>
      </c>
      <c r="R32" s="1384" t="s">
        <v>5</v>
      </c>
      <c r="S32" s="1385">
        <f t="shared" si="9"/>
        <v>100</v>
      </c>
      <c r="T32" s="1384" t="s">
        <v>5</v>
      </c>
      <c r="U32" s="1385">
        <f t="shared" si="10"/>
        <v>100</v>
      </c>
      <c r="V32" s="1384" t="s">
        <v>5</v>
      </c>
      <c r="W32" s="1385">
        <f t="shared" si="11"/>
        <v>100</v>
      </c>
      <c r="X32" s="1378"/>
      <c r="Y32" s="3909"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09"/>
      <c r="Q33" s="1383" t="str">
        <f t="shared" si="8"/>
        <v>是否直接入户</v>
      </c>
      <c r="R33" s="1384" t="s">
        <v>5</v>
      </c>
      <c r="S33" s="1385">
        <f t="shared" si="9"/>
        <v>100</v>
      </c>
      <c r="T33" s="1384" t="s">
        <v>5</v>
      </c>
      <c r="U33" s="1385">
        <f t="shared" si="10"/>
        <v>100</v>
      </c>
      <c r="V33" s="1384" t="s">
        <v>5</v>
      </c>
      <c r="W33" s="1385">
        <f t="shared" si="11"/>
        <v>100</v>
      </c>
      <c r="X33" s="1378"/>
      <c r="Y33" s="3909"/>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09"/>
      <c r="Q34" s="1383">
        <f t="shared" si="8"/>
        <v>111</v>
      </c>
      <c r="R34" s="1384" t="s">
        <v>5</v>
      </c>
      <c r="S34" s="1385">
        <f t="shared" si="9"/>
        <v>100</v>
      </c>
      <c r="T34" s="1384" t="s">
        <v>5</v>
      </c>
      <c r="U34" s="1385">
        <f t="shared" si="10"/>
        <v>100</v>
      </c>
      <c r="V34" s="1384" t="s">
        <v>5</v>
      </c>
      <c r="W34" s="1385">
        <f t="shared" si="11"/>
        <v>100</v>
      </c>
      <c r="X34" s="1378"/>
      <c r="Y34" s="3909"/>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09"/>
      <c r="Q35" s="1412">
        <f t="shared" si="8"/>
        <v>111</v>
      </c>
      <c r="R35" s="1388" t="s">
        <v>5</v>
      </c>
      <c r="S35" s="1389">
        <f t="shared" si="9"/>
        <v>100</v>
      </c>
      <c r="T35" s="1388" t="s">
        <v>5</v>
      </c>
      <c r="U35" s="1389">
        <f t="shared" si="10"/>
        <v>100</v>
      </c>
      <c r="V35" s="1388" t="s">
        <v>5</v>
      </c>
      <c r="W35" s="1389">
        <f t="shared" si="11"/>
        <v>100</v>
      </c>
      <c r="X35" s="1390"/>
      <c r="Y35" s="3909"/>
      <c r="Z35" s="1391">
        <f t="shared" si="12"/>
        <v>111</v>
      </c>
      <c r="AA35" s="1387">
        <f t="shared" si="3"/>
        <v>1</v>
      </c>
      <c r="AB35" s="1387">
        <f t="shared" si="4"/>
        <v>1</v>
      </c>
      <c r="AC35" s="1387">
        <f t="shared" si="5"/>
        <v>1</v>
      </c>
    </row>
    <row r="36" spans="1:29" ht="15.6"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09"/>
      <c r="Q36" s="1383">
        <f t="shared" si="8"/>
        <v>111</v>
      </c>
      <c r="R36" s="1384" t="s">
        <v>5</v>
      </c>
      <c r="S36" s="1385">
        <f t="shared" si="9"/>
        <v>100</v>
      </c>
      <c r="T36" s="1384" t="s">
        <v>5</v>
      </c>
      <c r="U36" s="1385">
        <f t="shared" si="10"/>
        <v>100</v>
      </c>
      <c r="V36" s="1384" t="s">
        <v>5</v>
      </c>
      <c r="W36" s="1385">
        <f t="shared" si="11"/>
        <v>100</v>
      </c>
      <c r="X36" s="1378"/>
      <c r="Y36" s="3909"/>
      <c r="Z36" s="1386">
        <f t="shared" si="12"/>
        <v>111</v>
      </c>
      <c r="AA36" s="1387">
        <f t="shared" si="3"/>
        <v>1</v>
      </c>
      <c r="AB36" s="1387">
        <f t="shared" si="4"/>
        <v>1</v>
      </c>
      <c r="AC36" s="1387">
        <f t="shared" si="5"/>
        <v>1</v>
      </c>
    </row>
    <row r="37" spans="1:29" ht="14.4">
      <c r="A37" s="1630" t="s">
        <v>1595</v>
      </c>
      <c r="B37" s="1631" t="s">
        <v>1596</v>
      </c>
      <c r="C37" s="2231" t="s">
        <v>0</v>
      </c>
      <c r="D37" s="2232"/>
      <c r="E37" s="2233"/>
      <c r="F37" s="2234"/>
      <c r="G37" s="2235"/>
      <c r="H37" s="2236"/>
      <c r="I37" s="2233"/>
      <c r="J37" s="2236"/>
      <c r="K37" s="1417"/>
      <c r="L37" s="1865"/>
      <c r="M37" s="1866"/>
      <c r="N37" s="1855"/>
      <c r="O37" s="1866"/>
      <c r="P37" s="3904" t="str">
        <f>A37</f>
        <v>成交单价</v>
      </c>
      <c r="Q37" s="3904"/>
      <c r="R37" s="4026">
        <f>E37</f>
        <v>0</v>
      </c>
      <c r="S37" s="4026"/>
      <c r="T37" s="4026">
        <f>G37</f>
        <v>0</v>
      </c>
      <c r="U37" s="4026"/>
      <c r="V37" s="4026">
        <f>I37</f>
        <v>0</v>
      </c>
      <c r="W37" s="4026"/>
      <c r="X37" s="1373"/>
      <c r="Y37" s="1392"/>
      <c r="Z37" s="1373"/>
      <c r="AA37" s="1373"/>
      <c r="AB37" s="1373"/>
      <c r="AC37" s="1373"/>
    </row>
    <row r="38" spans="1:29" ht="15" thickBot="1">
      <c r="A38" s="585"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904" t="str">
        <f>A38</f>
        <v>比较价格（元/平方米）</v>
      </c>
      <c r="Q38" s="3904"/>
      <c r="R38" s="4026" t="e">
        <f>IF(F1="售价",ROUND(PRODUCT(R37,AA7:AA36),0),ROUND(PRODUCT(R37,AA7:AA36),1))</f>
        <v>#DIV/0!</v>
      </c>
      <c r="S38" s="4026"/>
      <c r="T38" s="4026" t="e">
        <f>IF(F1="售价",ROUND(PRODUCT(T37,AB7:AB36),0),ROUND(PRODUCT(T37,AB7:AB36),1))</f>
        <v>#DIV/0!</v>
      </c>
      <c r="U38" s="4026"/>
      <c r="V38" s="4026" t="e">
        <f>IF(F1="售价",ROUND(PRODUCT(V37,AC7:AC36),0),ROUND(PRODUCT(V37,AC7:AC36),1))</f>
        <v>#DIV/0!</v>
      </c>
      <c r="W38" s="4026"/>
      <c r="X38" s="1373"/>
      <c r="Y38" s="1373"/>
      <c r="Z38" s="1373"/>
      <c r="AA38" s="1373"/>
      <c r="AB38" s="1373"/>
      <c r="AC38" s="1373"/>
    </row>
    <row r="39" spans="1:29" ht="15" thickBot="1">
      <c r="A39" s="589" t="s">
        <v>2198</v>
      </c>
      <c r="B39" s="590"/>
      <c r="C39" s="2239" t="e">
        <f>R39</f>
        <v>#DIV/0!</v>
      </c>
      <c r="D39" s="2239"/>
      <c r="E39" s="2239"/>
      <c r="F39" s="2239"/>
      <c r="G39" s="2239"/>
      <c r="H39" s="2239"/>
      <c r="I39" s="2239"/>
      <c r="J39" s="2239"/>
      <c r="K39" s="1418"/>
      <c r="L39" s="1865"/>
      <c r="M39" s="1866"/>
      <c r="N39" s="1866"/>
      <c r="O39" s="1866"/>
      <c r="P39" s="3910" t="str">
        <f>A39</f>
        <v>估价对象XX用房的比较价格（楼面单价，元/平方米）</v>
      </c>
      <c r="Q39" s="3911"/>
      <c r="R39" s="4025" t="e">
        <f>IF(F1="售价",ROUND(IF(D38="简单平均",AVERAGE(R38:W38),R38*F38+T38*H38+V38*J38),0),ROUND(IF(D38="简单平均",AVERAGE(R38:V38),R38*F38+T38*H38+V38*J38),1))</f>
        <v>#DIV/0!</v>
      </c>
      <c r="S39" s="4025"/>
      <c r="T39" s="4025"/>
      <c r="U39" s="4025"/>
      <c r="V39" s="4025"/>
      <c r="W39" s="4025"/>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2.2"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4.4">
      <c r="A48" s="613" t="s">
        <v>478</v>
      </c>
      <c r="B48" s="614"/>
      <c r="C48" s="2279" t="str">
        <f>YEAR(C7)&amp;"-"&amp;MONTH(C7)</f>
        <v>2025-7</v>
      </c>
      <c r="D48" s="2281">
        <f>EDATE(C48,-1)</f>
        <v>45809</v>
      </c>
      <c r="E48" s="2281">
        <f t="shared" ref="E48:O48" si="13">EDATE(D48,-1)</f>
        <v>45778</v>
      </c>
      <c r="F48" s="2281">
        <f t="shared" si="13"/>
        <v>45748</v>
      </c>
      <c r="G48" s="2281">
        <f t="shared" si="13"/>
        <v>45717</v>
      </c>
      <c r="H48" s="2281">
        <f t="shared" si="13"/>
        <v>45689</v>
      </c>
      <c r="I48" s="2281">
        <f t="shared" si="13"/>
        <v>45658</v>
      </c>
      <c r="J48" s="2281">
        <f t="shared" si="13"/>
        <v>45627</v>
      </c>
      <c r="K48" s="2281">
        <f t="shared" si="13"/>
        <v>45597</v>
      </c>
      <c r="L48" s="2281">
        <f t="shared" si="13"/>
        <v>45566</v>
      </c>
      <c r="M48" s="2281">
        <f t="shared" si="13"/>
        <v>45536</v>
      </c>
      <c r="N48" s="2281">
        <f t="shared" si="13"/>
        <v>45505</v>
      </c>
      <c r="O48" s="2281">
        <f t="shared" si="13"/>
        <v>45474</v>
      </c>
      <c r="P48" s="1880"/>
      <c r="Q48" s="1881"/>
      <c r="R48" s="1881"/>
      <c r="S48" s="1881"/>
      <c r="T48" s="1881"/>
      <c r="U48" s="1881"/>
      <c r="V48" s="1881"/>
      <c r="W48" s="1881"/>
      <c r="X48" s="1881"/>
      <c r="Y48" s="1881"/>
      <c r="Z48" s="1881"/>
      <c r="AA48" s="1881"/>
      <c r="AB48" s="1881"/>
      <c r="AC48" s="1881"/>
    </row>
    <row r="49" spans="1:29" s="1116" customFormat="1">
      <c r="A49" s="615"/>
      <c r="B49" s="616"/>
      <c r="C49" s="2280">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4.4">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4.4"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ht="14.4">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4.4"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9.4"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4.4"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4.4"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4.4"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4.4"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4.4"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4.4"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 thickTop="1">
      <c r="A67" s="637"/>
      <c r="B67" s="2202" t="s">
        <v>1841</v>
      </c>
      <c r="C67" s="2203" t="s">
        <v>1842</v>
      </c>
      <c r="D67" s="2203" t="s">
        <v>1843</v>
      </c>
      <c r="E67" s="2203" t="s">
        <v>1844</v>
      </c>
      <c r="F67" s="2203" t="s">
        <v>1845</v>
      </c>
      <c r="G67" s="2203" t="s">
        <v>1846</v>
      </c>
      <c r="H67" s="642"/>
      <c r="I67" s="642"/>
      <c r="J67" s="642"/>
      <c r="K67" s="642"/>
      <c r="L67" s="642"/>
      <c r="M67" s="2206"/>
      <c r="N67" s="1886"/>
      <c r="O67" s="1886"/>
      <c r="P67" s="1885"/>
      <c r="Q67" s="1878"/>
      <c r="R67" s="1866"/>
      <c r="S67" s="1866"/>
      <c r="T67" s="1866"/>
      <c r="U67" s="1866"/>
      <c r="V67" s="1866"/>
      <c r="W67" s="1866"/>
      <c r="X67" s="1866"/>
      <c r="Y67" s="1866"/>
      <c r="Z67" s="1866"/>
      <c r="AA67" s="1866"/>
      <c r="AB67" s="1866"/>
      <c r="AC67" s="1866"/>
    </row>
    <row r="68" spans="1:29" ht="14.4"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4.4"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4.4"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4.4"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4.4"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4.4"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9.4"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4.4"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4.4"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4.4"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4.4"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4.4"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4.4"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4.4"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4.4"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12" t="s">
        <v>738</v>
      </c>
      <c r="D4" s="3913"/>
      <c r="E4" s="3934" t="s">
        <v>739</v>
      </c>
      <c r="F4" s="3935"/>
      <c r="G4" s="3912" t="s">
        <v>740</v>
      </c>
      <c r="H4" s="3913"/>
      <c r="I4" s="3912" t="s">
        <v>741</v>
      </c>
      <c r="J4" s="3913"/>
      <c r="K4" s="484" t="s">
        <v>742</v>
      </c>
      <c r="L4" s="1854"/>
      <c r="M4" s="1855"/>
      <c r="N4" s="1855"/>
      <c r="O4" s="1855"/>
      <c r="P4" s="3914" t="s">
        <v>743</v>
      </c>
      <c r="Q4" s="3915"/>
      <c r="R4" s="3898" t="s">
        <v>739</v>
      </c>
      <c r="S4" s="3899"/>
      <c r="T4" s="3898" t="s">
        <v>740</v>
      </c>
      <c r="U4" s="3899"/>
      <c r="V4" s="3920" t="s">
        <v>741</v>
      </c>
      <c r="W4" s="3920"/>
      <c r="X4" s="1378"/>
      <c r="Y4" s="3898" t="s">
        <v>743</v>
      </c>
      <c r="Z4" s="3899"/>
      <c r="AA4" s="3893" t="s">
        <v>739</v>
      </c>
      <c r="AB4" s="3894" t="s">
        <v>740</v>
      </c>
      <c r="AC4" s="3893" t="s">
        <v>741</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96" t="s">
        <v>479</v>
      </c>
      <c r="Q7" s="3905"/>
      <c r="R7" s="1379" t="s">
        <v>5</v>
      </c>
      <c r="S7" s="1380">
        <f t="shared" ref="S7:S14" si="0">F7</f>
        <v>0</v>
      </c>
      <c r="T7" s="1379" t="s">
        <v>5</v>
      </c>
      <c r="U7" s="1380">
        <f t="shared" ref="U7:U14" si="1">H7</f>
        <v>0</v>
      </c>
      <c r="V7" s="1379" t="s">
        <v>5</v>
      </c>
      <c r="W7" s="1380">
        <f t="shared" ref="W7:W14"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34" si="3">D8/F8</f>
        <v>#DIV/0!</v>
      </c>
      <c r="AB8" s="1382" t="e">
        <f t="shared" ref="AB8:AB34" si="4">D8/H8</f>
        <v>#DIV/0!</v>
      </c>
      <c r="AC8" s="1382" t="e">
        <f t="shared" ref="AC8:AC34" si="5">D8/J8</f>
        <v>#DIV/0!</v>
      </c>
    </row>
    <row r="9" spans="1:29" s="1116" customFormat="1" ht="14.4">
      <c r="A9" s="2391"/>
      <c r="B9" s="2398"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3904" t="s">
        <v>484</v>
      </c>
      <c r="Q9" s="1048" t="str">
        <f t="shared" ref="Q9:Q14" si="6">B9</f>
        <v>用途</v>
      </c>
      <c r="R9" s="1379" t="s">
        <v>5</v>
      </c>
      <c r="S9" s="1380">
        <f t="shared" si="0"/>
        <v>100</v>
      </c>
      <c r="T9" s="1379" t="s">
        <v>5</v>
      </c>
      <c r="U9" s="1380">
        <f t="shared" si="1"/>
        <v>100</v>
      </c>
      <c r="V9" s="1379" t="s">
        <v>5</v>
      </c>
      <c r="W9" s="1380">
        <f t="shared" si="2"/>
        <v>100</v>
      </c>
      <c r="X9" s="1381"/>
      <c r="Y9" s="3851"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4"/>
      <c r="B11" s="2400">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3904"/>
      <c r="Q11" s="1048">
        <f t="shared" si="6"/>
        <v>111</v>
      </c>
      <c r="R11" s="1379" t="s">
        <v>5</v>
      </c>
      <c r="S11" s="1380">
        <f t="shared" si="0"/>
        <v>100</v>
      </c>
      <c r="T11" s="1379" t="s">
        <v>5</v>
      </c>
      <c r="U11" s="1380">
        <f t="shared" si="1"/>
        <v>100</v>
      </c>
      <c r="V11" s="1379" t="s">
        <v>5</v>
      </c>
      <c r="W11" s="1380">
        <f t="shared" si="2"/>
        <v>100</v>
      </c>
      <c r="X11" s="1381"/>
      <c r="Y11" s="3851"/>
      <c r="Z11" s="1047">
        <f t="shared" si="7"/>
        <v>111</v>
      </c>
      <c r="AA11" s="1382">
        <f t="shared" si="3"/>
        <v>1</v>
      </c>
      <c r="AB11" s="1382">
        <f t="shared" si="4"/>
        <v>1</v>
      </c>
      <c r="AC11" s="1382">
        <f t="shared" si="5"/>
        <v>1</v>
      </c>
    </row>
    <row r="12" spans="1:29" s="1116" customFormat="1" ht="15">
      <c r="A12" s="2394"/>
      <c r="B12" s="2400">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6" thickBot="1">
      <c r="A13" s="2395"/>
      <c r="B13" s="2401">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96.6">
      <c r="A14" s="2387"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3906" t="s">
        <v>489</v>
      </c>
      <c r="Q14" s="1383" t="str">
        <f t="shared" si="6"/>
        <v>交通便捷度</v>
      </c>
      <c r="R14" s="1384" t="s">
        <v>5</v>
      </c>
      <c r="S14" s="1385">
        <f t="shared" si="0"/>
        <v>100</v>
      </c>
      <c r="T14" s="1384" t="s">
        <v>5</v>
      </c>
      <c r="U14" s="1385">
        <f t="shared" si="1"/>
        <v>100</v>
      </c>
      <c r="V14" s="1384" t="s">
        <v>5</v>
      </c>
      <c r="W14" s="1385">
        <f t="shared" si="2"/>
        <v>100</v>
      </c>
      <c r="X14" s="1378"/>
      <c r="Y14" s="3906"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3907"/>
      <c r="Q15" s="1383"/>
      <c r="R15" s="1384"/>
      <c r="S15" s="1385"/>
      <c r="T15" s="1384"/>
      <c r="U15" s="1385"/>
      <c r="V15" s="1384"/>
      <c r="W15" s="1385"/>
      <c r="X15" s="1378"/>
      <c r="Y15" s="3907"/>
      <c r="Z15" s="1386"/>
      <c r="AA15" s="1387">
        <v>1</v>
      </c>
      <c r="AB15" s="1387">
        <v>1</v>
      </c>
      <c r="AC15" s="1387">
        <v>1</v>
      </c>
    </row>
    <row r="16" spans="1:29" ht="41.4">
      <c r="A16" s="502"/>
      <c r="B16" s="2208"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3907"/>
      <c r="Q16" s="1383" t="str">
        <f>B16</f>
        <v>公共配套设施</v>
      </c>
      <c r="R16" s="1384" t="s">
        <v>5</v>
      </c>
      <c r="S16" s="1385">
        <f>F16</f>
        <v>100</v>
      </c>
      <c r="T16" s="1384" t="s">
        <v>5</v>
      </c>
      <c r="U16" s="1385">
        <f>H16</f>
        <v>100</v>
      </c>
      <c r="V16" s="1384" t="s">
        <v>5</v>
      </c>
      <c r="W16" s="1385">
        <f>J16</f>
        <v>100</v>
      </c>
      <c r="X16" s="1378"/>
      <c r="Y16" s="3907"/>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3907"/>
      <c r="Q17" s="1383"/>
      <c r="R17" s="1384"/>
      <c r="S17" s="1385"/>
      <c r="T17" s="1384"/>
      <c r="U17" s="1385"/>
      <c r="V17" s="1384"/>
      <c r="W17" s="1385"/>
      <c r="X17" s="1378"/>
      <c r="Y17" s="3907"/>
      <c r="Z17" s="1386"/>
      <c r="AA17" s="1387">
        <v>1</v>
      </c>
      <c r="AB17" s="1387">
        <v>1</v>
      </c>
      <c r="AC17" s="1387">
        <v>1</v>
      </c>
    </row>
    <row r="18" spans="1:29" ht="41.4">
      <c r="A18" s="502"/>
      <c r="B18" s="2196"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3907"/>
      <c r="Q18" s="2190" t="str">
        <f>B18</f>
        <v>基础设施水平</v>
      </c>
      <c r="R18" s="1384" t="s">
        <v>5</v>
      </c>
      <c r="S18" s="1385">
        <f>F18</f>
        <v>100</v>
      </c>
      <c r="T18" s="1384" t="s">
        <v>5</v>
      </c>
      <c r="U18" s="1385">
        <f>H18</f>
        <v>100</v>
      </c>
      <c r="V18" s="1384" t="s">
        <v>5</v>
      </c>
      <c r="W18" s="1385">
        <f>J18</f>
        <v>100</v>
      </c>
      <c r="X18" s="2192"/>
      <c r="Y18" s="3907"/>
      <c r="Z18" s="2191" t="str">
        <f>Q18</f>
        <v>基础设施水平</v>
      </c>
      <c r="AA18" s="1387">
        <f>D18/F18</f>
        <v>1</v>
      </c>
      <c r="AB18" s="1387">
        <f>D18/H18</f>
        <v>1</v>
      </c>
      <c r="AC18" s="1387">
        <f>D18/J18</f>
        <v>1</v>
      </c>
    </row>
    <row r="19" spans="1:29" ht="15">
      <c r="A19" s="502"/>
      <c r="B19" s="548"/>
      <c r="C19" s="834"/>
      <c r="D19" s="529"/>
      <c r="E19" s="834"/>
      <c r="F19" s="533"/>
      <c r="G19" s="834"/>
      <c r="H19" s="525"/>
      <c r="I19" s="546"/>
      <c r="J19" s="525"/>
      <c r="K19" s="2207"/>
      <c r="L19" s="1863"/>
      <c r="M19" s="1855"/>
      <c r="N19" s="1855"/>
      <c r="O19" s="1862"/>
      <c r="P19" s="3907"/>
      <c r="Q19" s="2190"/>
      <c r="R19" s="1384"/>
      <c r="S19" s="1385"/>
      <c r="T19" s="1384"/>
      <c r="U19" s="1385"/>
      <c r="V19" s="1384"/>
      <c r="W19" s="1385"/>
      <c r="X19" s="2192"/>
      <c r="Y19" s="3907"/>
      <c r="Z19" s="2191"/>
      <c r="AA19" s="1387">
        <v>1</v>
      </c>
      <c r="AB19" s="1387">
        <v>1</v>
      </c>
      <c r="AC19" s="1387">
        <v>1</v>
      </c>
    </row>
    <row r="20" spans="1:29" ht="55.2">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3907"/>
      <c r="Q20" s="1383" t="str">
        <f>B20</f>
        <v>自然及人文环境</v>
      </c>
      <c r="R20" s="1384" t="s">
        <v>5</v>
      </c>
      <c r="S20" s="1385">
        <f>F20</f>
        <v>100</v>
      </c>
      <c r="T20" s="1384" t="s">
        <v>5</v>
      </c>
      <c r="U20" s="1385">
        <f>H20</f>
        <v>100</v>
      </c>
      <c r="V20" s="1384" t="s">
        <v>5</v>
      </c>
      <c r="W20" s="1385">
        <f>J20</f>
        <v>100</v>
      </c>
      <c r="X20" s="1378"/>
      <c r="Y20" s="3907"/>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3907"/>
      <c r="Q21" s="1383"/>
      <c r="R21" s="1384"/>
      <c r="S21" s="1385"/>
      <c r="T21" s="1384"/>
      <c r="U21" s="1385"/>
      <c r="V21" s="1384"/>
      <c r="W21" s="1385"/>
      <c r="X21" s="1378"/>
      <c r="Y21" s="3907"/>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07"/>
      <c r="Q22" s="1383" t="str">
        <f>B22</f>
        <v>楼层</v>
      </c>
      <c r="R22" s="1384" t="s">
        <v>5</v>
      </c>
      <c r="S22" s="1385">
        <f>F22</f>
        <v>100</v>
      </c>
      <c r="T22" s="1384" t="s">
        <v>5</v>
      </c>
      <c r="U22" s="1385">
        <f>H22</f>
        <v>100</v>
      </c>
      <c r="V22" s="1384" t="s">
        <v>5</v>
      </c>
      <c r="W22" s="1385">
        <f>J22</f>
        <v>100</v>
      </c>
      <c r="X22" s="1378"/>
      <c r="Y22" s="3907"/>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07"/>
      <c r="Q23" s="1383">
        <f>B23</f>
        <v>111</v>
      </c>
      <c r="R23" s="1384" t="s">
        <v>5</v>
      </c>
      <c r="S23" s="1385">
        <f>F23</f>
        <v>100</v>
      </c>
      <c r="T23" s="1384" t="s">
        <v>5</v>
      </c>
      <c r="U23" s="1385">
        <f>H23</f>
        <v>100</v>
      </c>
      <c r="V23" s="1384" t="s">
        <v>5</v>
      </c>
      <c r="W23" s="1385">
        <f>J23</f>
        <v>100</v>
      </c>
      <c r="X23" s="1378"/>
      <c r="Y23" s="3907"/>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07"/>
      <c r="Q24" s="1383">
        <f t="shared" ref="Q24:Q34" si="8">B24</f>
        <v>111</v>
      </c>
      <c r="R24" s="1384" t="s">
        <v>5</v>
      </c>
      <c r="S24" s="1385">
        <f>F24</f>
        <v>100</v>
      </c>
      <c r="T24" s="1384" t="s">
        <v>5</v>
      </c>
      <c r="U24" s="1385">
        <f>H24</f>
        <v>100</v>
      </c>
      <c r="V24" s="1384" t="s">
        <v>5</v>
      </c>
      <c r="W24" s="1385">
        <f>J24</f>
        <v>100</v>
      </c>
      <c r="X24" s="1378"/>
      <c r="Y24" s="3907"/>
      <c r="Z24" s="1386">
        <f>Q24</f>
        <v>111</v>
      </c>
      <c r="AA24" s="1387">
        <f t="shared" si="3"/>
        <v>1</v>
      </c>
      <c r="AB24" s="1387">
        <f t="shared" si="4"/>
        <v>1</v>
      </c>
      <c r="AC24" s="1387">
        <f t="shared" si="5"/>
        <v>1</v>
      </c>
    </row>
    <row r="25" spans="1:29" s="1116" customFormat="1" ht="15.6"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3907"/>
      <c r="Q25" s="1048">
        <f t="shared" si="8"/>
        <v>111</v>
      </c>
      <c r="R25" s="1379" t="s">
        <v>5</v>
      </c>
      <c r="S25" s="1380">
        <f>F25</f>
        <v>100</v>
      </c>
      <c r="T25" s="1379" t="s">
        <v>5</v>
      </c>
      <c r="U25" s="1380">
        <f>H25</f>
        <v>100</v>
      </c>
      <c r="V25" s="1379" t="s">
        <v>5</v>
      </c>
      <c r="W25" s="1380">
        <f>J25</f>
        <v>100</v>
      </c>
      <c r="X25" s="1381"/>
      <c r="Y25" s="3907"/>
      <c r="Z25" s="1047">
        <f>Q25</f>
        <v>111</v>
      </c>
      <c r="AA25" s="1387">
        <f>D25/F25</f>
        <v>1</v>
      </c>
      <c r="AB25" s="1387">
        <f>D25/H25</f>
        <v>1</v>
      </c>
      <c r="AC25" s="1387">
        <f>D25/J25</f>
        <v>1</v>
      </c>
    </row>
    <row r="26" spans="1:29" ht="15">
      <c r="A26" s="2384"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3908"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9"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3909"/>
      <c r="Q27" s="1412" t="str">
        <f t="shared" si="8"/>
        <v>成新率</v>
      </c>
      <c r="R27" s="1388" t="s">
        <v>5</v>
      </c>
      <c r="S27" s="1389" t="e">
        <f t="shared" si="9"/>
        <v>#N/A</v>
      </c>
      <c r="T27" s="1388" t="s">
        <v>5</v>
      </c>
      <c r="U27" s="1389" t="e">
        <f t="shared" si="10"/>
        <v>#N/A</v>
      </c>
      <c r="V27" s="1388" t="s">
        <v>5</v>
      </c>
      <c r="W27" s="1389" t="e">
        <f t="shared" si="11"/>
        <v>#N/A</v>
      </c>
      <c r="X27" s="1390"/>
      <c r="Y27" s="3909"/>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09"/>
      <c r="Q28" s="1383" t="str">
        <f t="shared" si="8"/>
        <v>物业等级</v>
      </c>
      <c r="R28" s="1384" t="s">
        <v>5</v>
      </c>
      <c r="S28" s="1385">
        <f t="shared" si="9"/>
        <v>100</v>
      </c>
      <c r="T28" s="1384" t="s">
        <v>5</v>
      </c>
      <c r="U28" s="1385">
        <f t="shared" si="10"/>
        <v>100</v>
      </c>
      <c r="V28" s="1384" t="s">
        <v>5</v>
      </c>
      <c r="W28" s="1385">
        <f t="shared" si="11"/>
        <v>100</v>
      </c>
      <c r="X28" s="1378"/>
      <c r="Y28" s="3909"/>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3909"/>
      <c r="Q29" s="1383" t="str">
        <f t="shared" si="8"/>
        <v>有无电梯</v>
      </c>
      <c r="R29" s="1384" t="s">
        <v>5</v>
      </c>
      <c r="S29" s="1385">
        <f t="shared" si="9"/>
        <v>100</v>
      </c>
      <c r="T29" s="1384" t="s">
        <v>5</v>
      </c>
      <c r="U29" s="1385">
        <f t="shared" si="10"/>
        <v>100</v>
      </c>
      <c r="V29" s="1384" t="s">
        <v>5</v>
      </c>
      <c r="W29" s="1385">
        <f t="shared" si="11"/>
        <v>100</v>
      </c>
      <c r="X29" s="1378"/>
      <c r="Y29" s="3909"/>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3909"/>
      <c r="Q30" s="1383" t="str">
        <f t="shared" si="8"/>
        <v>建筑面积</v>
      </c>
      <c r="R30" s="1384" t="s">
        <v>5</v>
      </c>
      <c r="S30" s="1385" t="e">
        <f t="shared" si="9"/>
        <v>#N/A</v>
      </c>
      <c r="T30" s="1384" t="s">
        <v>5</v>
      </c>
      <c r="U30" s="1385" t="e">
        <f t="shared" si="10"/>
        <v>#N/A</v>
      </c>
      <c r="V30" s="1384" t="s">
        <v>5</v>
      </c>
      <c r="W30" s="1385" t="e">
        <f t="shared" si="11"/>
        <v>#N/A</v>
      </c>
      <c r="X30" s="1378"/>
      <c r="Y30" s="3909"/>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3909"/>
      <c r="Q31" s="1048" t="str">
        <f t="shared" si="8"/>
        <v>是否封闭</v>
      </c>
      <c r="R31" s="1379" t="s">
        <v>5</v>
      </c>
      <c r="S31" s="1380">
        <f t="shared" si="9"/>
        <v>100</v>
      </c>
      <c r="T31" s="1379" t="s">
        <v>5</v>
      </c>
      <c r="U31" s="1380">
        <f t="shared" si="10"/>
        <v>100</v>
      </c>
      <c r="V31" s="1379" t="s">
        <v>5</v>
      </c>
      <c r="W31" s="1380">
        <f t="shared" si="11"/>
        <v>100</v>
      </c>
      <c r="X31" s="1381"/>
      <c r="Y31" s="3909"/>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3909" t="s">
        <v>499</v>
      </c>
      <c r="Q32" s="1383">
        <f t="shared" si="8"/>
        <v>111</v>
      </c>
      <c r="R32" s="1384" t="s">
        <v>5</v>
      </c>
      <c r="S32" s="1385">
        <f t="shared" si="9"/>
        <v>100</v>
      </c>
      <c r="T32" s="1384" t="s">
        <v>5</v>
      </c>
      <c r="U32" s="1385">
        <f t="shared" si="10"/>
        <v>100</v>
      </c>
      <c r="V32" s="1384" t="s">
        <v>5</v>
      </c>
      <c r="W32" s="1385">
        <f t="shared" si="11"/>
        <v>100</v>
      </c>
      <c r="X32" s="1378"/>
      <c r="Y32" s="3909"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3909"/>
      <c r="Q33" s="1383">
        <f t="shared" si="8"/>
        <v>111</v>
      </c>
      <c r="R33" s="1384" t="s">
        <v>5</v>
      </c>
      <c r="S33" s="1385">
        <f t="shared" si="9"/>
        <v>100</v>
      </c>
      <c r="T33" s="1384" t="s">
        <v>5</v>
      </c>
      <c r="U33" s="1385">
        <f t="shared" si="10"/>
        <v>100</v>
      </c>
      <c r="V33" s="1384" t="s">
        <v>5</v>
      </c>
      <c r="W33" s="1385">
        <f t="shared" si="11"/>
        <v>100</v>
      </c>
      <c r="X33" s="1378"/>
      <c r="Y33" s="3909"/>
      <c r="Z33" s="1386">
        <f t="shared" si="12"/>
        <v>111</v>
      </c>
      <c r="AA33" s="1387">
        <f t="shared" si="3"/>
        <v>1</v>
      </c>
      <c r="AB33" s="1387">
        <f t="shared" si="4"/>
        <v>1</v>
      </c>
      <c r="AC33" s="1387">
        <f t="shared" si="5"/>
        <v>1</v>
      </c>
    </row>
    <row r="34" spans="1:29" ht="15.6"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3909"/>
      <c r="Q34" s="1383">
        <f t="shared" si="8"/>
        <v>111</v>
      </c>
      <c r="R34" s="1384" t="s">
        <v>5</v>
      </c>
      <c r="S34" s="1385">
        <f t="shared" si="9"/>
        <v>100</v>
      </c>
      <c r="T34" s="1384" t="s">
        <v>5</v>
      </c>
      <c r="U34" s="1385">
        <f t="shared" si="10"/>
        <v>100</v>
      </c>
      <c r="V34" s="1384" t="s">
        <v>5</v>
      </c>
      <c r="W34" s="1385">
        <f t="shared" si="11"/>
        <v>100</v>
      </c>
      <c r="X34" s="1378"/>
      <c r="Y34" s="3909"/>
      <c r="Z34" s="1386">
        <f t="shared" si="12"/>
        <v>111</v>
      </c>
      <c r="AA34" s="1387">
        <f t="shared" si="3"/>
        <v>1</v>
      </c>
      <c r="AB34" s="1387">
        <f t="shared" si="4"/>
        <v>1</v>
      </c>
      <c r="AC34" s="1387">
        <f t="shared" si="5"/>
        <v>1</v>
      </c>
    </row>
    <row r="35" spans="1:29" ht="14.4">
      <c r="A35" s="577" t="s">
        <v>683</v>
      </c>
      <c r="B35" s="848"/>
      <c r="C35" s="2231" t="s">
        <v>0</v>
      </c>
      <c r="D35" s="2232"/>
      <c r="E35" s="2233"/>
      <c r="F35" s="2234"/>
      <c r="G35" s="2235"/>
      <c r="H35" s="2236"/>
      <c r="I35" s="2233"/>
      <c r="J35" s="2236"/>
      <c r="K35" s="1417"/>
      <c r="L35" s="1865"/>
      <c r="M35" s="1866"/>
      <c r="N35" s="1855"/>
      <c r="O35" s="1866"/>
      <c r="P35" s="3904" t="str">
        <f>A35</f>
        <v>成交单价（元/平方米）</v>
      </c>
      <c r="Q35" s="3904"/>
      <c r="R35" s="4026">
        <f>E35</f>
        <v>0</v>
      </c>
      <c r="S35" s="4026"/>
      <c r="T35" s="4026">
        <f>G35</f>
        <v>0</v>
      </c>
      <c r="U35" s="4026"/>
      <c r="V35" s="4026">
        <f>I35</f>
        <v>0</v>
      </c>
      <c r="W35" s="4026"/>
      <c r="X35" s="1373"/>
      <c r="Y35" s="1392"/>
      <c r="Z35" s="1373"/>
      <c r="AA35" s="1373"/>
      <c r="AB35" s="1373"/>
      <c r="AC35" s="1373"/>
    </row>
    <row r="36" spans="1:29" ht="15" thickBot="1">
      <c r="A36" s="585"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904" t="str">
        <f>A36</f>
        <v>比较价格（元/平方米）</v>
      </c>
      <c r="Q36" s="3904"/>
      <c r="R36" s="4026" t="e">
        <f>IF(F1="售价",ROUND(PRODUCT(R35,AA7:AA34),0),ROUND(PRODUCT(R35,AA7:AA34),1))</f>
        <v>#DIV/0!</v>
      </c>
      <c r="S36" s="4026"/>
      <c r="T36" s="4026" t="e">
        <f>IF(F1="售价",ROUND(PRODUCT(T35,AB7:AB34),0),ROUND(PRODUCT(T35,AB7:AB34),1))</f>
        <v>#DIV/0!</v>
      </c>
      <c r="U36" s="4026"/>
      <c r="V36" s="4026" t="e">
        <f>IF(F1="售价",ROUND(PRODUCT(V35,AC7:AC34),0),ROUND(PRODUCT(V35,AC7:AC34),1))</f>
        <v>#DIV/0!</v>
      </c>
      <c r="W36" s="4026"/>
      <c r="X36" s="1373"/>
      <c r="Y36" s="1373"/>
      <c r="Z36" s="1373"/>
      <c r="AA36" s="1373"/>
      <c r="AB36" s="1373"/>
      <c r="AC36" s="1373"/>
    </row>
    <row r="37" spans="1:29" ht="15" thickBot="1">
      <c r="A37" s="589" t="s">
        <v>2198</v>
      </c>
      <c r="B37" s="590"/>
      <c r="C37" s="2239" t="e">
        <f>R37</f>
        <v>#DIV/0!</v>
      </c>
      <c r="D37" s="2239"/>
      <c r="E37" s="2239"/>
      <c r="F37" s="2239"/>
      <c r="G37" s="2239"/>
      <c r="H37" s="2239"/>
      <c r="I37" s="2239"/>
      <c r="J37" s="2239"/>
      <c r="K37" s="1418"/>
      <c r="L37" s="1865"/>
      <c r="M37" s="1866"/>
      <c r="N37" s="1866"/>
      <c r="O37" s="1866"/>
      <c r="P37" s="3910" t="str">
        <f>A37</f>
        <v>估价对象XX用房的比较价格（楼面单价，元/平方米）</v>
      </c>
      <c r="Q37" s="3911"/>
      <c r="R37" s="4025" t="e">
        <f>IF(F1="售价",ROUND(IF(D36="简单平均",AVERAGE(R36:W36),R36*F36+T36*H36+V36*J36),0),ROUND(IF(D36="简单平均",AVERAGE(R36:V36),R36*F36+T36*H36+V36*J36),1))</f>
        <v>#DIV/0!</v>
      </c>
      <c r="S37" s="4025"/>
      <c r="T37" s="4025"/>
      <c r="U37" s="4025"/>
      <c r="V37" s="4025"/>
      <c r="W37" s="4025"/>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2.2"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4.4">
      <c r="A46" s="613" t="s">
        <v>478</v>
      </c>
      <c r="B46" s="614"/>
      <c r="C46" s="2279" t="str">
        <f>YEAR(C7)&amp;"-"&amp;MONTH(C7)</f>
        <v>2025-7</v>
      </c>
      <c r="D46" s="2281">
        <f>EDATE(C46,-1)</f>
        <v>45809</v>
      </c>
      <c r="E46" s="2281">
        <f t="shared" ref="E46:O46" si="13">EDATE(D46,-1)</f>
        <v>45778</v>
      </c>
      <c r="F46" s="2281">
        <f t="shared" si="13"/>
        <v>45748</v>
      </c>
      <c r="G46" s="2281">
        <f t="shared" si="13"/>
        <v>45717</v>
      </c>
      <c r="H46" s="2281">
        <f t="shared" si="13"/>
        <v>45689</v>
      </c>
      <c r="I46" s="2281">
        <f t="shared" si="13"/>
        <v>45658</v>
      </c>
      <c r="J46" s="2281">
        <f t="shared" si="13"/>
        <v>45627</v>
      </c>
      <c r="K46" s="2281">
        <f t="shared" si="13"/>
        <v>45597</v>
      </c>
      <c r="L46" s="2281">
        <f t="shared" si="13"/>
        <v>45566</v>
      </c>
      <c r="M46" s="2281">
        <f t="shared" si="13"/>
        <v>45536</v>
      </c>
      <c r="N46" s="2281">
        <f t="shared" si="13"/>
        <v>45505</v>
      </c>
      <c r="O46" s="2281">
        <f t="shared" si="13"/>
        <v>45474</v>
      </c>
      <c r="P46" s="1880"/>
      <c r="Q46" s="1881"/>
      <c r="R46" s="1881"/>
      <c r="S46" s="1881"/>
      <c r="T46" s="1881"/>
      <c r="U46" s="1881"/>
      <c r="V46" s="1881"/>
      <c r="W46" s="1881"/>
      <c r="X46" s="1881"/>
      <c r="Y46" s="1881"/>
      <c r="Z46" s="1881"/>
      <c r="AA46" s="1881"/>
      <c r="AB46" s="1881"/>
      <c r="AC46" s="1881"/>
    </row>
    <row r="47" spans="1:29" s="1116" customFormat="1">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4.4">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4.4"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ht="14.4">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4.4"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9.4"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4.4"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4.4"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4.4"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4.4"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4.4"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4.4"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4.4"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2202" t="s">
        <v>1841</v>
      </c>
      <c r="C65" s="2203" t="s">
        <v>1842</v>
      </c>
      <c r="D65" s="2203" t="s">
        <v>1843</v>
      </c>
      <c r="E65" s="2203" t="s">
        <v>1844</v>
      </c>
      <c r="F65" s="2203" t="s">
        <v>1845</v>
      </c>
      <c r="G65" s="2203" t="s">
        <v>1846</v>
      </c>
      <c r="H65" s="642"/>
      <c r="I65" s="642"/>
      <c r="J65" s="642"/>
      <c r="K65" s="642"/>
      <c r="L65" s="642"/>
      <c r="M65" s="2206"/>
      <c r="N65" s="1886"/>
      <c r="O65" s="1886"/>
      <c r="P65" s="1885"/>
      <c r="Q65" s="1878"/>
      <c r="R65" s="1866"/>
      <c r="S65" s="1866"/>
      <c r="T65" s="1866"/>
      <c r="U65" s="1866"/>
      <c r="V65" s="1866"/>
      <c r="W65" s="1866"/>
      <c r="X65" s="1866"/>
      <c r="Y65" s="1866"/>
      <c r="Z65" s="1866"/>
      <c r="AA65" s="1866"/>
      <c r="AB65" s="1866"/>
      <c r="AC65" s="1866"/>
    </row>
    <row r="66" spans="1:29" ht="14.4"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4.4"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4.4"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4.4"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4.4"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4.4"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4.4"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4.4"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4.4"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4.4"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4.4"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4.4"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4.4"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7" customWidth="1"/>
    <col min="2" max="2" width="9.2187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35" t="s">
        <v>1661</v>
      </c>
      <c r="D1" s="4036"/>
      <c r="E1" s="4036"/>
      <c r="F1" s="4036"/>
      <c r="G1" s="4036"/>
      <c r="H1" s="4036"/>
      <c r="I1" s="4036"/>
      <c r="J1" s="4036"/>
      <c r="K1" s="4036"/>
      <c r="L1" s="4036"/>
      <c r="M1" s="4036"/>
      <c r="N1" s="4036"/>
      <c r="O1" s="4036"/>
      <c r="P1" s="4036"/>
      <c r="Q1" s="4036"/>
      <c r="R1" s="4036"/>
      <c r="S1" s="4037"/>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8"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8"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8"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8"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8"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8"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8"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8"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6">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6">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032" t="s">
        <v>14</v>
      </c>
      <c r="D22" s="4033"/>
      <c r="E22" s="4033"/>
      <c r="F22" s="4033"/>
      <c r="G22" s="4033"/>
      <c r="H22" s="4033"/>
      <c r="I22" s="4033"/>
      <c r="J22" s="4033"/>
      <c r="K22" s="4033"/>
      <c r="L22" s="4033"/>
      <c r="M22" s="4033"/>
      <c r="N22" s="4033"/>
      <c r="O22" s="4033"/>
      <c r="P22" s="4033"/>
      <c r="Q22" s="4034"/>
      <c r="R22" s="467"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7" customWidth="1"/>
    <col min="2" max="2" width="13.21875" style="2423" customWidth="1"/>
    <col min="3" max="3" width="15.6640625" style="2423" customWidth="1"/>
    <col min="4" max="4" width="9.33203125" style="2423" bestFit="1" customWidth="1"/>
    <col min="5" max="5" width="13.44140625" style="2423" customWidth="1"/>
    <col min="6" max="6" width="9" style="2423"/>
    <col min="7" max="7" width="9.33203125" style="2423" bestFit="1" customWidth="1"/>
    <col min="8" max="9" width="9" style="2423"/>
    <col min="10" max="10" width="9.33203125" style="2423" bestFit="1" customWidth="1"/>
    <col min="11" max="11" width="4" style="2417" customWidth="1"/>
    <col min="12" max="12" width="5.109375" style="2423" customWidth="1"/>
    <col min="13" max="13" width="13.77734375" style="2423" customWidth="1"/>
    <col min="14" max="256" width="9" style="2423"/>
    <col min="257" max="257" width="4.88671875" style="2415" customWidth="1"/>
    <col min="258" max="258" width="13.21875" style="2415" customWidth="1"/>
    <col min="259" max="259" width="15.6640625" style="2415" customWidth="1"/>
    <col min="260" max="260" width="9.33203125" style="2415" bestFit="1" customWidth="1"/>
    <col min="261" max="261" width="13.44140625" style="2415" customWidth="1"/>
    <col min="262" max="262" width="9" style="2415"/>
    <col min="263" max="263" width="9.33203125" style="2415" bestFit="1" customWidth="1"/>
    <col min="264" max="265" width="9" style="2415"/>
    <col min="266" max="266" width="9.33203125" style="2415" bestFit="1" customWidth="1"/>
    <col min="267" max="267" width="4" style="2415" customWidth="1"/>
    <col min="268" max="268" width="5.109375" style="2415" customWidth="1"/>
    <col min="269" max="269" width="13.77734375" style="2415" customWidth="1"/>
    <col min="270" max="512" width="9" style="2415"/>
    <col min="513" max="513" width="4.88671875" style="2415" customWidth="1"/>
    <col min="514" max="514" width="13.21875" style="2415" customWidth="1"/>
    <col min="515" max="515" width="15.6640625" style="2415" customWidth="1"/>
    <col min="516" max="516" width="9.33203125" style="2415" bestFit="1" customWidth="1"/>
    <col min="517" max="517" width="13.44140625" style="2415" customWidth="1"/>
    <col min="518" max="518" width="9" style="2415"/>
    <col min="519" max="519" width="9.33203125" style="2415" bestFit="1" customWidth="1"/>
    <col min="520" max="521" width="9" style="2415"/>
    <col min="522" max="522" width="9.33203125" style="2415" bestFit="1" customWidth="1"/>
    <col min="523" max="523" width="4" style="2415" customWidth="1"/>
    <col min="524" max="524" width="5.109375" style="2415" customWidth="1"/>
    <col min="525" max="525" width="13.77734375" style="2415" customWidth="1"/>
    <col min="526" max="768" width="9" style="2415"/>
    <col min="769" max="769" width="4.88671875" style="2415" customWidth="1"/>
    <col min="770" max="770" width="13.21875" style="2415" customWidth="1"/>
    <col min="771" max="771" width="15.6640625" style="2415" customWidth="1"/>
    <col min="772" max="772" width="9.33203125" style="2415" bestFit="1" customWidth="1"/>
    <col min="773" max="773" width="13.44140625" style="2415" customWidth="1"/>
    <col min="774" max="774" width="9" style="2415"/>
    <col min="775" max="775" width="9.33203125" style="2415" bestFit="1" customWidth="1"/>
    <col min="776" max="777" width="9" style="2415"/>
    <col min="778" max="778" width="9.33203125" style="2415" bestFit="1" customWidth="1"/>
    <col min="779" max="779" width="4" style="2415" customWidth="1"/>
    <col min="780" max="780" width="5.109375" style="2415" customWidth="1"/>
    <col min="781" max="781" width="13.77734375" style="2415" customWidth="1"/>
    <col min="782" max="1024" width="9" style="2415"/>
    <col min="1025" max="1025" width="4.88671875" style="2415" customWidth="1"/>
    <col min="1026" max="1026" width="13.21875" style="2415" customWidth="1"/>
    <col min="1027" max="1027" width="15.6640625" style="2415" customWidth="1"/>
    <col min="1028" max="1028" width="9.33203125" style="2415" bestFit="1" customWidth="1"/>
    <col min="1029" max="1029" width="13.44140625" style="2415" customWidth="1"/>
    <col min="1030" max="1030" width="9" style="2415"/>
    <col min="1031" max="1031" width="9.33203125" style="2415" bestFit="1" customWidth="1"/>
    <col min="1032" max="1033" width="9" style="2415"/>
    <col min="1034" max="1034" width="9.33203125" style="2415" bestFit="1" customWidth="1"/>
    <col min="1035" max="1035" width="4" style="2415" customWidth="1"/>
    <col min="1036" max="1036" width="5.109375" style="2415" customWidth="1"/>
    <col min="1037" max="1037" width="13.77734375" style="2415" customWidth="1"/>
    <col min="1038" max="1280" width="9" style="2415"/>
    <col min="1281" max="1281" width="4.88671875" style="2415" customWidth="1"/>
    <col min="1282" max="1282" width="13.21875" style="2415" customWidth="1"/>
    <col min="1283" max="1283" width="15.6640625" style="2415" customWidth="1"/>
    <col min="1284" max="1284" width="9.33203125" style="2415" bestFit="1" customWidth="1"/>
    <col min="1285" max="1285" width="13.44140625" style="2415" customWidth="1"/>
    <col min="1286" max="1286" width="9" style="2415"/>
    <col min="1287" max="1287" width="9.33203125" style="2415" bestFit="1" customWidth="1"/>
    <col min="1288" max="1289" width="9" style="2415"/>
    <col min="1290" max="1290" width="9.33203125" style="2415" bestFit="1" customWidth="1"/>
    <col min="1291" max="1291" width="4" style="2415" customWidth="1"/>
    <col min="1292" max="1292" width="5.109375" style="2415" customWidth="1"/>
    <col min="1293" max="1293" width="13.77734375" style="2415" customWidth="1"/>
    <col min="1294" max="1536" width="9" style="2415"/>
    <col min="1537" max="1537" width="4.88671875" style="2415" customWidth="1"/>
    <col min="1538" max="1538" width="13.21875" style="2415" customWidth="1"/>
    <col min="1539" max="1539" width="15.6640625" style="2415" customWidth="1"/>
    <col min="1540" max="1540" width="9.33203125" style="2415" bestFit="1" customWidth="1"/>
    <col min="1541" max="1541" width="13.44140625" style="2415" customWidth="1"/>
    <col min="1542" max="1542" width="9" style="2415"/>
    <col min="1543" max="1543" width="9.33203125" style="2415" bestFit="1" customWidth="1"/>
    <col min="1544" max="1545" width="9" style="2415"/>
    <col min="1546" max="1546" width="9.33203125" style="2415" bestFit="1" customWidth="1"/>
    <col min="1547" max="1547" width="4" style="2415" customWidth="1"/>
    <col min="1548" max="1548" width="5.109375" style="2415" customWidth="1"/>
    <col min="1549" max="1549" width="13.77734375" style="2415" customWidth="1"/>
    <col min="1550" max="1792" width="9" style="2415"/>
    <col min="1793" max="1793" width="4.88671875" style="2415" customWidth="1"/>
    <col min="1794" max="1794" width="13.21875" style="2415" customWidth="1"/>
    <col min="1795" max="1795" width="15.6640625" style="2415" customWidth="1"/>
    <col min="1796" max="1796" width="9.33203125" style="2415" bestFit="1" customWidth="1"/>
    <col min="1797" max="1797" width="13.44140625" style="2415" customWidth="1"/>
    <col min="1798" max="1798" width="9" style="2415"/>
    <col min="1799" max="1799" width="9.33203125" style="2415" bestFit="1" customWidth="1"/>
    <col min="1800" max="1801" width="9" style="2415"/>
    <col min="1802" max="1802" width="9.33203125" style="2415" bestFit="1" customWidth="1"/>
    <col min="1803" max="1803" width="4" style="2415" customWidth="1"/>
    <col min="1804" max="1804" width="5.109375" style="2415" customWidth="1"/>
    <col min="1805" max="1805" width="13.77734375" style="2415" customWidth="1"/>
    <col min="1806" max="2048" width="9" style="2415"/>
    <col min="2049" max="2049" width="4.88671875" style="2415" customWidth="1"/>
    <col min="2050" max="2050" width="13.21875" style="2415" customWidth="1"/>
    <col min="2051" max="2051" width="15.6640625" style="2415" customWidth="1"/>
    <col min="2052" max="2052" width="9.33203125" style="2415" bestFit="1" customWidth="1"/>
    <col min="2053" max="2053" width="13.44140625" style="2415" customWidth="1"/>
    <col min="2054" max="2054" width="9" style="2415"/>
    <col min="2055" max="2055" width="9.33203125" style="2415" bestFit="1" customWidth="1"/>
    <col min="2056" max="2057" width="9" style="2415"/>
    <col min="2058" max="2058" width="9.33203125" style="2415" bestFit="1" customWidth="1"/>
    <col min="2059" max="2059" width="4" style="2415" customWidth="1"/>
    <col min="2060" max="2060" width="5.109375" style="2415" customWidth="1"/>
    <col min="2061" max="2061" width="13.77734375" style="2415" customWidth="1"/>
    <col min="2062" max="2304" width="9" style="2415"/>
    <col min="2305" max="2305" width="4.88671875" style="2415" customWidth="1"/>
    <col min="2306" max="2306" width="13.21875" style="2415" customWidth="1"/>
    <col min="2307" max="2307" width="15.6640625" style="2415" customWidth="1"/>
    <col min="2308" max="2308" width="9.33203125" style="2415" bestFit="1" customWidth="1"/>
    <col min="2309" max="2309" width="13.44140625" style="2415" customWidth="1"/>
    <col min="2310" max="2310" width="9" style="2415"/>
    <col min="2311" max="2311" width="9.33203125" style="2415" bestFit="1" customWidth="1"/>
    <col min="2312" max="2313" width="9" style="2415"/>
    <col min="2314" max="2314" width="9.33203125" style="2415" bestFit="1" customWidth="1"/>
    <col min="2315" max="2315" width="4" style="2415" customWidth="1"/>
    <col min="2316" max="2316" width="5.109375" style="2415" customWidth="1"/>
    <col min="2317" max="2317" width="13.77734375" style="2415" customWidth="1"/>
    <col min="2318" max="2560" width="9" style="2415"/>
    <col min="2561" max="2561" width="4.88671875" style="2415" customWidth="1"/>
    <col min="2562" max="2562" width="13.21875" style="2415" customWidth="1"/>
    <col min="2563" max="2563" width="15.6640625" style="2415" customWidth="1"/>
    <col min="2564" max="2564" width="9.33203125" style="2415" bestFit="1" customWidth="1"/>
    <col min="2565" max="2565" width="13.44140625" style="2415" customWidth="1"/>
    <col min="2566" max="2566" width="9" style="2415"/>
    <col min="2567" max="2567" width="9.33203125" style="2415" bestFit="1" customWidth="1"/>
    <col min="2568" max="2569" width="9" style="2415"/>
    <col min="2570" max="2570" width="9.33203125" style="2415" bestFit="1" customWidth="1"/>
    <col min="2571" max="2571" width="4" style="2415" customWidth="1"/>
    <col min="2572" max="2572" width="5.109375" style="2415" customWidth="1"/>
    <col min="2573" max="2573" width="13.77734375" style="2415" customWidth="1"/>
    <col min="2574" max="2816" width="9" style="2415"/>
    <col min="2817" max="2817" width="4.88671875" style="2415" customWidth="1"/>
    <col min="2818" max="2818" width="13.21875" style="2415" customWidth="1"/>
    <col min="2819" max="2819" width="15.6640625" style="2415" customWidth="1"/>
    <col min="2820" max="2820" width="9.33203125" style="2415" bestFit="1" customWidth="1"/>
    <col min="2821" max="2821" width="13.44140625" style="2415" customWidth="1"/>
    <col min="2822" max="2822" width="9" style="2415"/>
    <col min="2823" max="2823" width="9.33203125" style="2415" bestFit="1" customWidth="1"/>
    <col min="2824" max="2825" width="9" style="2415"/>
    <col min="2826" max="2826" width="9.33203125" style="2415" bestFit="1" customWidth="1"/>
    <col min="2827" max="2827" width="4" style="2415" customWidth="1"/>
    <col min="2828" max="2828" width="5.109375" style="2415" customWidth="1"/>
    <col min="2829" max="2829" width="13.77734375" style="2415" customWidth="1"/>
    <col min="2830" max="3072" width="9" style="2415"/>
    <col min="3073" max="3073" width="4.88671875" style="2415" customWidth="1"/>
    <col min="3074" max="3074" width="13.21875" style="2415" customWidth="1"/>
    <col min="3075" max="3075" width="15.6640625" style="2415" customWidth="1"/>
    <col min="3076" max="3076" width="9.33203125" style="2415" bestFit="1" customWidth="1"/>
    <col min="3077" max="3077" width="13.44140625" style="2415" customWidth="1"/>
    <col min="3078" max="3078" width="9" style="2415"/>
    <col min="3079" max="3079" width="9.33203125" style="2415" bestFit="1" customWidth="1"/>
    <col min="3080" max="3081" width="9" style="2415"/>
    <col min="3082" max="3082" width="9.33203125" style="2415" bestFit="1" customWidth="1"/>
    <col min="3083" max="3083" width="4" style="2415" customWidth="1"/>
    <col min="3084" max="3084" width="5.109375" style="2415" customWidth="1"/>
    <col min="3085" max="3085" width="13.77734375" style="2415" customWidth="1"/>
    <col min="3086" max="3328" width="9" style="2415"/>
    <col min="3329" max="3329" width="4.88671875" style="2415" customWidth="1"/>
    <col min="3330" max="3330" width="13.21875" style="2415" customWidth="1"/>
    <col min="3331" max="3331" width="15.6640625" style="2415" customWidth="1"/>
    <col min="3332" max="3332" width="9.33203125" style="2415" bestFit="1" customWidth="1"/>
    <col min="3333" max="3333" width="13.44140625" style="2415" customWidth="1"/>
    <col min="3334" max="3334" width="9" style="2415"/>
    <col min="3335" max="3335" width="9.33203125" style="2415" bestFit="1" customWidth="1"/>
    <col min="3336" max="3337" width="9" style="2415"/>
    <col min="3338" max="3338" width="9.33203125" style="2415" bestFit="1" customWidth="1"/>
    <col min="3339" max="3339" width="4" style="2415" customWidth="1"/>
    <col min="3340" max="3340" width="5.109375" style="2415" customWidth="1"/>
    <col min="3341" max="3341" width="13.77734375" style="2415" customWidth="1"/>
    <col min="3342" max="3584" width="9" style="2415"/>
    <col min="3585" max="3585" width="4.88671875" style="2415" customWidth="1"/>
    <col min="3586" max="3586" width="13.21875" style="2415" customWidth="1"/>
    <col min="3587" max="3587" width="15.6640625" style="2415" customWidth="1"/>
    <col min="3588" max="3588" width="9.33203125" style="2415" bestFit="1" customWidth="1"/>
    <col min="3589" max="3589" width="13.44140625" style="2415" customWidth="1"/>
    <col min="3590" max="3590" width="9" style="2415"/>
    <col min="3591" max="3591" width="9.33203125" style="2415" bestFit="1" customWidth="1"/>
    <col min="3592" max="3593" width="9" style="2415"/>
    <col min="3594" max="3594" width="9.33203125" style="2415" bestFit="1" customWidth="1"/>
    <col min="3595" max="3595" width="4" style="2415" customWidth="1"/>
    <col min="3596" max="3596" width="5.109375" style="2415" customWidth="1"/>
    <col min="3597" max="3597" width="13.77734375" style="2415" customWidth="1"/>
    <col min="3598" max="3840" width="9" style="2415"/>
    <col min="3841" max="3841" width="4.88671875" style="2415" customWidth="1"/>
    <col min="3842" max="3842" width="13.21875" style="2415" customWidth="1"/>
    <col min="3843" max="3843" width="15.6640625" style="2415" customWidth="1"/>
    <col min="3844" max="3844" width="9.33203125" style="2415" bestFit="1" customWidth="1"/>
    <col min="3845" max="3845" width="13.44140625" style="2415" customWidth="1"/>
    <col min="3846" max="3846" width="9" style="2415"/>
    <col min="3847" max="3847" width="9.33203125" style="2415" bestFit="1" customWidth="1"/>
    <col min="3848" max="3849" width="9" style="2415"/>
    <col min="3850" max="3850" width="9.33203125" style="2415" bestFit="1" customWidth="1"/>
    <col min="3851" max="3851" width="4" style="2415" customWidth="1"/>
    <col min="3852" max="3852" width="5.109375" style="2415" customWidth="1"/>
    <col min="3853" max="3853" width="13.77734375" style="2415" customWidth="1"/>
    <col min="3854" max="4096" width="9" style="2415"/>
    <col min="4097" max="4097" width="4.88671875" style="2415" customWidth="1"/>
    <col min="4098" max="4098" width="13.21875" style="2415" customWidth="1"/>
    <col min="4099" max="4099" width="15.6640625" style="2415" customWidth="1"/>
    <col min="4100" max="4100" width="9.33203125" style="2415" bestFit="1" customWidth="1"/>
    <col min="4101" max="4101" width="13.44140625" style="2415" customWidth="1"/>
    <col min="4102" max="4102" width="9" style="2415"/>
    <col min="4103" max="4103" width="9.33203125" style="2415" bestFit="1" customWidth="1"/>
    <col min="4104" max="4105" width="9" style="2415"/>
    <col min="4106" max="4106" width="9.33203125" style="2415" bestFit="1" customWidth="1"/>
    <col min="4107" max="4107" width="4" style="2415" customWidth="1"/>
    <col min="4108" max="4108" width="5.109375" style="2415" customWidth="1"/>
    <col min="4109" max="4109" width="13.77734375" style="2415" customWidth="1"/>
    <col min="4110" max="4352" width="9" style="2415"/>
    <col min="4353" max="4353" width="4.88671875" style="2415" customWidth="1"/>
    <col min="4354" max="4354" width="13.21875" style="2415" customWidth="1"/>
    <col min="4355" max="4355" width="15.6640625" style="2415" customWidth="1"/>
    <col min="4356" max="4356" width="9.33203125" style="2415" bestFit="1" customWidth="1"/>
    <col min="4357" max="4357" width="13.44140625" style="2415" customWidth="1"/>
    <col min="4358" max="4358" width="9" style="2415"/>
    <col min="4359" max="4359" width="9.33203125" style="2415" bestFit="1" customWidth="1"/>
    <col min="4360" max="4361" width="9" style="2415"/>
    <col min="4362" max="4362" width="9.33203125" style="2415" bestFit="1" customWidth="1"/>
    <col min="4363" max="4363" width="4" style="2415" customWidth="1"/>
    <col min="4364" max="4364" width="5.109375" style="2415" customWidth="1"/>
    <col min="4365" max="4365" width="13.77734375" style="2415" customWidth="1"/>
    <col min="4366" max="4608" width="9" style="2415"/>
    <col min="4609" max="4609" width="4.88671875" style="2415" customWidth="1"/>
    <col min="4610" max="4610" width="13.21875" style="2415" customWidth="1"/>
    <col min="4611" max="4611" width="15.6640625" style="2415" customWidth="1"/>
    <col min="4612" max="4612" width="9.33203125" style="2415" bestFit="1" customWidth="1"/>
    <col min="4613" max="4613" width="13.44140625" style="2415" customWidth="1"/>
    <col min="4614" max="4614" width="9" style="2415"/>
    <col min="4615" max="4615" width="9.33203125" style="2415" bestFit="1" customWidth="1"/>
    <col min="4616" max="4617" width="9" style="2415"/>
    <col min="4618" max="4618" width="9.33203125" style="2415" bestFit="1" customWidth="1"/>
    <col min="4619" max="4619" width="4" style="2415" customWidth="1"/>
    <col min="4620" max="4620" width="5.109375" style="2415" customWidth="1"/>
    <col min="4621" max="4621" width="13.77734375" style="2415" customWidth="1"/>
    <col min="4622" max="4864" width="9" style="2415"/>
    <col min="4865" max="4865" width="4.88671875" style="2415" customWidth="1"/>
    <col min="4866" max="4866" width="13.21875" style="2415" customWidth="1"/>
    <col min="4867" max="4867" width="15.6640625" style="2415" customWidth="1"/>
    <col min="4868" max="4868" width="9.33203125" style="2415" bestFit="1" customWidth="1"/>
    <col min="4869" max="4869" width="13.44140625" style="2415" customWidth="1"/>
    <col min="4870" max="4870" width="9" style="2415"/>
    <col min="4871" max="4871" width="9.33203125" style="2415" bestFit="1" customWidth="1"/>
    <col min="4872" max="4873" width="9" style="2415"/>
    <col min="4874" max="4874" width="9.33203125" style="2415" bestFit="1" customWidth="1"/>
    <col min="4875" max="4875" width="4" style="2415" customWidth="1"/>
    <col min="4876" max="4876" width="5.109375" style="2415" customWidth="1"/>
    <col min="4877" max="4877" width="13.77734375" style="2415" customWidth="1"/>
    <col min="4878" max="5120" width="9" style="2415"/>
    <col min="5121" max="5121" width="4.88671875" style="2415" customWidth="1"/>
    <col min="5122" max="5122" width="13.21875" style="2415" customWidth="1"/>
    <col min="5123" max="5123" width="15.6640625" style="2415" customWidth="1"/>
    <col min="5124" max="5124" width="9.33203125" style="2415" bestFit="1" customWidth="1"/>
    <col min="5125" max="5125" width="13.44140625" style="2415" customWidth="1"/>
    <col min="5126" max="5126" width="9" style="2415"/>
    <col min="5127" max="5127" width="9.33203125" style="2415" bestFit="1" customWidth="1"/>
    <col min="5128" max="5129" width="9" style="2415"/>
    <col min="5130" max="5130" width="9.33203125" style="2415" bestFit="1" customWidth="1"/>
    <col min="5131" max="5131" width="4" style="2415" customWidth="1"/>
    <col min="5132" max="5132" width="5.109375" style="2415" customWidth="1"/>
    <col min="5133" max="5133" width="13.77734375" style="2415" customWidth="1"/>
    <col min="5134" max="5376" width="9" style="2415"/>
    <col min="5377" max="5377" width="4.88671875" style="2415" customWidth="1"/>
    <col min="5378" max="5378" width="13.21875" style="2415" customWidth="1"/>
    <col min="5379" max="5379" width="15.6640625" style="2415" customWidth="1"/>
    <col min="5380" max="5380" width="9.33203125" style="2415" bestFit="1" customWidth="1"/>
    <col min="5381" max="5381" width="13.44140625" style="2415" customWidth="1"/>
    <col min="5382" max="5382" width="9" style="2415"/>
    <col min="5383" max="5383" width="9.33203125" style="2415" bestFit="1" customWidth="1"/>
    <col min="5384" max="5385" width="9" style="2415"/>
    <col min="5386" max="5386" width="9.33203125" style="2415" bestFit="1" customWidth="1"/>
    <col min="5387" max="5387" width="4" style="2415" customWidth="1"/>
    <col min="5388" max="5388" width="5.109375" style="2415" customWidth="1"/>
    <col min="5389" max="5389" width="13.77734375" style="2415" customWidth="1"/>
    <col min="5390" max="5632" width="9" style="2415"/>
    <col min="5633" max="5633" width="4.88671875" style="2415" customWidth="1"/>
    <col min="5634" max="5634" width="13.21875" style="2415" customWidth="1"/>
    <col min="5635" max="5635" width="15.6640625" style="2415" customWidth="1"/>
    <col min="5636" max="5636" width="9.33203125" style="2415" bestFit="1" customWidth="1"/>
    <col min="5637" max="5637" width="13.44140625" style="2415" customWidth="1"/>
    <col min="5638" max="5638" width="9" style="2415"/>
    <col min="5639" max="5639" width="9.33203125" style="2415" bestFit="1" customWidth="1"/>
    <col min="5640" max="5641" width="9" style="2415"/>
    <col min="5642" max="5642" width="9.33203125" style="2415" bestFit="1" customWidth="1"/>
    <col min="5643" max="5643" width="4" style="2415" customWidth="1"/>
    <col min="5644" max="5644" width="5.109375" style="2415" customWidth="1"/>
    <col min="5645" max="5645" width="13.77734375" style="2415" customWidth="1"/>
    <col min="5646" max="5888" width="9" style="2415"/>
    <col min="5889" max="5889" width="4.88671875" style="2415" customWidth="1"/>
    <col min="5890" max="5890" width="13.21875" style="2415" customWidth="1"/>
    <col min="5891" max="5891" width="15.6640625" style="2415" customWidth="1"/>
    <col min="5892" max="5892" width="9.33203125" style="2415" bestFit="1" customWidth="1"/>
    <col min="5893" max="5893" width="13.44140625" style="2415" customWidth="1"/>
    <col min="5894" max="5894" width="9" style="2415"/>
    <col min="5895" max="5895" width="9.33203125" style="2415" bestFit="1" customWidth="1"/>
    <col min="5896" max="5897" width="9" style="2415"/>
    <col min="5898" max="5898" width="9.33203125" style="2415" bestFit="1" customWidth="1"/>
    <col min="5899" max="5899" width="4" style="2415" customWidth="1"/>
    <col min="5900" max="5900" width="5.109375" style="2415" customWidth="1"/>
    <col min="5901" max="5901" width="13.77734375" style="2415" customWidth="1"/>
    <col min="5902" max="6144" width="9" style="2415"/>
    <col min="6145" max="6145" width="4.88671875" style="2415" customWidth="1"/>
    <col min="6146" max="6146" width="13.21875" style="2415" customWidth="1"/>
    <col min="6147" max="6147" width="15.6640625" style="2415" customWidth="1"/>
    <col min="6148" max="6148" width="9.33203125" style="2415" bestFit="1" customWidth="1"/>
    <col min="6149" max="6149" width="13.44140625" style="2415" customWidth="1"/>
    <col min="6150" max="6150" width="9" style="2415"/>
    <col min="6151" max="6151" width="9.33203125" style="2415" bestFit="1" customWidth="1"/>
    <col min="6152" max="6153" width="9" style="2415"/>
    <col min="6154" max="6154" width="9.33203125" style="2415" bestFit="1" customWidth="1"/>
    <col min="6155" max="6155" width="4" style="2415" customWidth="1"/>
    <col min="6156" max="6156" width="5.109375" style="2415" customWidth="1"/>
    <col min="6157" max="6157" width="13.77734375" style="2415" customWidth="1"/>
    <col min="6158" max="6400" width="9" style="2415"/>
    <col min="6401" max="6401" width="4.88671875" style="2415" customWidth="1"/>
    <col min="6402" max="6402" width="13.21875" style="2415" customWidth="1"/>
    <col min="6403" max="6403" width="15.6640625" style="2415" customWidth="1"/>
    <col min="6404" max="6404" width="9.33203125" style="2415" bestFit="1" customWidth="1"/>
    <col min="6405" max="6405" width="13.44140625" style="2415" customWidth="1"/>
    <col min="6406" max="6406" width="9" style="2415"/>
    <col min="6407" max="6407" width="9.33203125" style="2415" bestFit="1" customWidth="1"/>
    <col min="6408" max="6409" width="9" style="2415"/>
    <col min="6410" max="6410" width="9.33203125" style="2415" bestFit="1" customWidth="1"/>
    <col min="6411" max="6411" width="4" style="2415" customWidth="1"/>
    <col min="6412" max="6412" width="5.109375" style="2415" customWidth="1"/>
    <col min="6413" max="6413" width="13.77734375" style="2415" customWidth="1"/>
    <col min="6414" max="6656" width="9" style="2415"/>
    <col min="6657" max="6657" width="4.88671875" style="2415" customWidth="1"/>
    <col min="6658" max="6658" width="13.21875" style="2415" customWidth="1"/>
    <col min="6659" max="6659" width="15.6640625" style="2415" customWidth="1"/>
    <col min="6660" max="6660" width="9.33203125" style="2415" bestFit="1" customWidth="1"/>
    <col min="6661" max="6661" width="13.44140625" style="2415" customWidth="1"/>
    <col min="6662" max="6662" width="9" style="2415"/>
    <col min="6663" max="6663" width="9.33203125" style="2415" bestFit="1" customWidth="1"/>
    <col min="6664" max="6665" width="9" style="2415"/>
    <col min="6666" max="6666" width="9.33203125" style="2415" bestFit="1" customWidth="1"/>
    <col min="6667" max="6667" width="4" style="2415" customWidth="1"/>
    <col min="6668" max="6668" width="5.109375" style="2415" customWidth="1"/>
    <col min="6669" max="6669" width="13.77734375" style="2415" customWidth="1"/>
    <col min="6670" max="6912" width="9" style="2415"/>
    <col min="6913" max="6913" width="4.88671875" style="2415" customWidth="1"/>
    <col min="6914" max="6914" width="13.21875" style="2415" customWidth="1"/>
    <col min="6915" max="6915" width="15.6640625" style="2415" customWidth="1"/>
    <col min="6916" max="6916" width="9.33203125" style="2415" bestFit="1" customWidth="1"/>
    <col min="6917" max="6917" width="13.44140625" style="2415" customWidth="1"/>
    <col min="6918" max="6918" width="9" style="2415"/>
    <col min="6919" max="6919" width="9.33203125" style="2415" bestFit="1" customWidth="1"/>
    <col min="6920" max="6921" width="9" style="2415"/>
    <col min="6922" max="6922" width="9.33203125" style="2415" bestFit="1" customWidth="1"/>
    <col min="6923" max="6923" width="4" style="2415" customWidth="1"/>
    <col min="6924" max="6924" width="5.109375" style="2415" customWidth="1"/>
    <col min="6925" max="6925" width="13.77734375" style="2415" customWidth="1"/>
    <col min="6926" max="7168" width="9" style="2415"/>
    <col min="7169" max="7169" width="4.88671875" style="2415" customWidth="1"/>
    <col min="7170" max="7170" width="13.21875" style="2415" customWidth="1"/>
    <col min="7171" max="7171" width="15.6640625" style="2415" customWidth="1"/>
    <col min="7172" max="7172" width="9.33203125" style="2415" bestFit="1" customWidth="1"/>
    <col min="7173" max="7173" width="13.44140625" style="2415" customWidth="1"/>
    <col min="7174" max="7174" width="9" style="2415"/>
    <col min="7175" max="7175" width="9.33203125" style="2415" bestFit="1" customWidth="1"/>
    <col min="7176" max="7177" width="9" style="2415"/>
    <col min="7178" max="7178" width="9.33203125" style="2415" bestFit="1" customWidth="1"/>
    <col min="7179" max="7179" width="4" style="2415" customWidth="1"/>
    <col min="7180" max="7180" width="5.109375" style="2415" customWidth="1"/>
    <col min="7181" max="7181" width="13.77734375" style="2415" customWidth="1"/>
    <col min="7182" max="7424" width="9" style="2415"/>
    <col min="7425" max="7425" width="4.88671875" style="2415" customWidth="1"/>
    <col min="7426" max="7426" width="13.21875" style="2415" customWidth="1"/>
    <col min="7427" max="7427" width="15.6640625" style="2415" customWidth="1"/>
    <col min="7428" max="7428" width="9.33203125" style="2415" bestFit="1" customWidth="1"/>
    <col min="7429" max="7429" width="13.44140625" style="2415" customWidth="1"/>
    <col min="7430" max="7430" width="9" style="2415"/>
    <col min="7431" max="7431" width="9.33203125" style="2415" bestFit="1" customWidth="1"/>
    <col min="7432" max="7433" width="9" style="2415"/>
    <col min="7434" max="7434" width="9.33203125" style="2415" bestFit="1" customWidth="1"/>
    <col min="7435" max="7435" width="4" style="2415" customWidth="1"/>
    <col min="7436" max="7436" width="5.109375" style="2415" customWidth="1"/>
    <col min="7437" max="7437" width="13.77734375" style="2415" customWidth="1"/>
    <col min="7438" max="7680" width="9" style="2415"/>
    <col min="7681" max="7681" width="4.88671875" style="2415" customWidth="1"/>
    <col min="7682" max="7682" width="13.21875" style="2415" customWidth="1"/>
    <col min="7683" max="7683" width="15.6640625" style="2415" customWidth="1"/>
    <col min="7684" max="7684" width="9.33203125" style="2415" bestFit="1" customWidth="1"/>
    <col min="7685" max="7685" width="13.44140625" style="2415" customWidth="1"/>
    <col min="7686" max="7686" width="9" style="2415"/>
    <col min="7687" max="7687" width="9.33203125" style="2415" bestFit="1" customWidth="1"/>
    <col min="7688" max="7689" width="9" style="2415"/>
    <col min="7690" max="7690" width="9.33203125" style="2415" bestFit="1" customWidth="1"/>
    <col min="7691" max="7691" width="4" style="2415" customWidth="1"/>
    <col min="7692" max="7692" width="5.109375" style="2415" customWidth="1"/>
    <col min="7693" max="7693" width="13.77734375" style="2415" customWidth="1"/>
    <col min="7694" max="7936" width="9" style="2415"/>
    <col min="7937" max="7937" width="4.88671875" style="2415" customWidth="1"/>
    <col min="7938" max="7938" width="13.21875" style="2415" customWidth="1"/>
    <col min="7939" max="7939" width="15.6640625" style="2415" customWidth="1"/>
    <col min="7940" max="7940" width="9.33203125" style="2415" bestFit="1" customWidth="1"/>
    <col min="7941" max="7941" width="13.44140625" style="2415" customWidth="1"/>
    <col min="7942" max="7942" width="9" style="2415"/>
    <col min="7943" max="7943" width="9.33203125" style="2415" bestFit="1" customWidth="1"/>
    <col min="7944" max="7945" width="9" style="2415"/>
    <col min="7946" max="7946" width="9.33203125" style="2415" bestFit="1" customWidth="1"/>
    <col min="7947" max="7947" width="4" style="2415" customWidth="1"/>
    <col min="7948" max="7948" width="5.109375" style="2415" customWidth="1"/>
    <col min="7949" max="7949" width="13.77734375" style="2415" customWidth="1"/>
    <col min="7950" max="8192" width="9" style="2415"/>
    <col min="8193" max="8193" width="4.88671875" style="2415" customWidth="1"/>
    <col min="8194" max="8194" width="13.21875" style="2415" customWidth="1"/>
    <col min="8195" max="8195" width="15.6640625" style="2415" customWidth="1"/>
    <col min="8196" max="8196" width="9.33203125" style="2415" bestFit="1" customWidth="1"/>
    <col min="8197" max="8197" width="13.44140625" style="2415" customWidth="1"/>
    <col min="8198" max="8198" width="9" style="2415"/>
    <col min="8199" max="8199" width="9.33203125" style="2415" bestFit="1" customWidth="1"/>
    <col min="8200" max="8201" width="9" style="2415"/>
    <col min="8202" max="8202" width="9.33203125" style="2415" bestFit="1" customWidth="1"/>
    <col min="8203" max="8203" width="4" style="2415" customWidth="1"/>
    <col min="8204" max="8204" width="5.109375" style="2415" customWidth="1"/>
    <col min="8205" max="8205" width="13.77734375" style="2415" customWidth="1"/>
    <col min="8206" max="8448" width="9" style="2415"/>
    <col min="8449" max="8449" width="4.88671875" style="2415" customWidth="1"/>
    <col min="8450" max="8450" width="13.21875" style="2415" customWidth="1"/>
    <col min="8451" max="8451" width="15.6640625" style="2415" customWidth="1"/>
    <col min="8452" max="8452" width="9.33203125" style="2415" bestFit="1" customWidth="1"/>
    <col min="8453" max="8453" width="13.44140625" style="2415" customWidth="1"/>
    <col min="8454" max="8454" width="9" style="2415"/>
    <col min="8455" max="8455" width="9.33203125" style="2415" bestFit="1" customWidth="1"/>
    <col min="8456" max="8457" width="9" style="2415"/>
    <col min="8458" max="8458" width="9.33203125" style="2415" bestFit="1" customWidth="1"/>
    <col min="8459" max="8459" width="4" style="2415" customWidth="1"/>
    <col min="8460" max="8460" width="5.109375" style="2415" customWidth="1"/>
    <col min="8461" max="8461" width="13.77734375" style="2415" customWidth="1"/>
    <col min="8462" max="8704" width="9" style="2415"/>
    <col min="8705" max="8705" width="4.88671875" style="2415" customWidth="1"/>
    <col min="8706" max="8706" width="13.21875" style="2415" customWidth="1"/>
    <col min="8707" max="8707" width="15.6640625" style="2415" customWidth="1"/>
    <col min="8708" max="8708" width="9.33203125" style="2415" bestFit="1" customWidth="1"/>
    <col min="8709" max="8709" width="13.44140625" style="2415" customWidth="1"/>
    <col min="8710" max="8710" width="9" style="2415"/>
    <col min="8711" max="8711" width="9.33203125" style="2415" bestFit="1" customWidth="1"/>
    <col min="8712" max="8713" width="9" style="2415"/>
    <col min="8714" max="8714" width="9.33203125" style="2415" bestFit="1" customWidth="1"/>
    <col min="8715" max="8715" width="4" style="2415" customWidth="1"/>
    <col min="8716" max="8716" width="5.109375" style="2415" customWidth="1"/>
    <col min="8717" max="8717" width="13.77734375" style="2415" customWidth="1"/>
    <col min="8718" max="8960" width="9" style="2415"/>
    <col min="8961" max="8961" width="4.88671875" style="2415" customWidth="1"/>
    <col min="8962" max="8962" width="13.21875" style="2415" customWidth="1"/>
    <col min="8963" max="8963" width="15.6640625" style="2415" customWidth="1"/>
    <col min="8964" max="8964" width="9.33203125" style="2415" bestFit="1" customWidth="1"/>
    <col min="8965" max="8965" width="13.44140625" style="2415" customWidth="1"/>
    <col min="8966" max="8966" width="9" style="2415"/>
    <col min="8967" max="8967" width="9.33203125" style="2415" bestFit="1" customWidth="1"/>
    <col min="8968" max="8969" width="9" style="2415"/>
    <col min="8970" max="8970" width="9.33203125" style="2415" bestFit="1" customWidth="1"/>
    <col min="8971" max="8971" width="4" style="2415" customWidth="1"/>
    <col min="8972" max="8972" width="5.109375" style="2415" customWidth="1"/>
    <col min="8973" max="8973" width="13.77734375" style="2415" customWidth="1"/>
    <col min="8974" max="9216" width="9" style="2415"/>
    <col min="9217" max="9217" width="4.88671875" style="2415" customWidth="1"/>
    <col min="9218" max="9218" width="13.21875" style="2415" customWidth="1"/>
    <col min="9219" max="9219" width="15.6640625" style="2415" customWidth="1"/>
    <col min="9220" max="9220" width="9.33203125" style="2415" bestFit="1" customWidth="1"/>
    <col min="9221" max="9221" width="13.44140625" style="2415" customWidth="1"/>
    <col min="9222" max="9222" width="9" style="2415"/>
    <col min="9223" max="9223" width="9.33203125" style="2415" bestFit="1" customWidth="1"/>
    <col min="9224" max="9225" width="9" style="2415"/>
    <col min="9226" max="9226" width="9.33203125" style="2415" bestFit="1" customWidth="1"/>
    <col min="9227" max="9227" width="4" style="2415" customWidth="1"/>
    <col min="9228" max="9228" width="5.109375" style="2415" customWidth="1"/>
    <col min="9229" max="9229" width="13.77734375" style="2415" customWidth="1"/>
    <col min="9230" max="9472" width="9" style="2415"/>
    <col min="9473" max="9473" width="4.88671875" style="2415" customWidth="1"/>
    <col min="9474" max="9474" width="13.21875" style="2415" customWidth="1"/>
    <col min="9475" max="9475" width="15.6640625" style="2415" customWidth="1"/>
    <col min="9476" max="9476" width="9.33203125" style="2415" bestFit="1" customWidth="1"/>
    <col min="9477" max="9477" width="13.44140625" style="2415" customWidth="1"/>
    <col min="9478" max="9478" width="9" style="2415"/>
    <col min="9479" max="9479" width="9.33203125" style="2415" bestFit="1" customWidth="1"/>
    <col min="9480" max="9481" width="9" style="2415"/>
    <col min="9482" max="9482" width="9.33203125" style="2415" bestFit="1" customWidth="1"/>
    <col min="9483" max="9483" width="4" style="2415" customWidth="1"/>
    <col min="9484" max="9484" width="5.109375" style="2415" customWidth="1"/>
    <col min="9485" max="9485" width="13.77734375" style="2415" customWidth="1"/>
    <col min="9486" max="9728" width="9" style="2415"/>
    <col min="9729" max="9729" width="4.88671875" style="2415" customWidth="1"/>
    <col min="9730" max="9730" width="13.21875" style="2415" customWidth="1"/>
    <col min="9731" max="9731" width="15.6640625" style="2415" customWidth="1"/>
    <col min="9732" max="9732" width="9.33203125" style="2415" bestFit="1" customWidth="1"/>
    <col min="9733" max="9733" width="13.44140625" style="2415" customWidth="1"/>
    <col min="9734" max="9734" width="9" style="2415"/>
    <col min="9735" max="9735" width="9.33203125" style="2415" bestFit="1" customWidth="1"/>
    <col min="9736" max="9737" width="9" style="2415"/>
    <col min="9738" max="9738" width="9.33203125" style="2415" bestFit="1" customWidth="1"/>
    <col min="9739" max="9739" width="4" style="2415" customWidth="1"/>
    <col min="9740" max="9740" width="5.109375" style="2415" customWidth="1"/>
    <col min="9741" max="9741" width="13.77734375" style="2415" customWidth="1"/>
    <col min="9742" max="9984" width="9" style="2415"/>
    <col min="9985" max="9985" width="4.88671875" style="2415" customWidth="1"/>
    <col min="9986" max="9986" width="13.21875" style="2415" customWidth="1"/>
    <col min="9987" max="9987" width="15.6640625" style="2415" customWidth="1"/>
    <col min="9988" max="9988" width="9.33203125" style="2415" bestFit="1" customWidth="1"/>
    <col min="9989" max="9989" width="13.44140625" style="2415" customWidth="1"/>
    <col min="9990" max="9990" width="9" style="2415"/>
    <col min="9991" max="9991" width="9.33203125" style="2415" bestFit="1" customWidth="1"/>
    <col min="9992" max="9993" width="9" style="2415"/>
    <col min="9994" max="9994" width="9.33203125" style="2415" bestFit="1" customWidth="1"/>
    <col min="9995" max="9995" width="4" style="2415" customWidth="1"/>
    <col min="9996" max="9996" width="5.109375" style="2415" customWidth="1"/>
    <col min="9997" max="9997" width="13.77734375" style="2415" customWidth="1"/>
    <col min="9998" max="10240" width="9" style="2415"/>
    <col min="10241" max="10241" width="4.88671875" style="2415" customWidth="1"/>
    <col min="10242" max="10242" width="13.21875" style="2415" customWidth="1"/>
    <col min="10243" max="10243" width="15.6640625" style="2415" customWidth="1"/>
    <col min="10244" max="10244" width="9.33203125" style="2415" bestFit="1" customWidth="1"/>
    <col min="10245" max="10245" width="13.44140625" style="2415" customWidth="1"/>
    <col min="10246" max="10246" width="9" style="2415"/>
    <col min="10247" max="10247" width="9.33203125" style="2415" bestFit="1" customWidth="1"/>
    <col min="10248" max="10249" width="9" style="2415"/>
    <col min="10250" max="10250" width="9.33203125" style="2415" bestFit="1" customWidth="1"/>
    <col min="10251" max="10251" width="4" style="2415" customWidth="1"/>
    <col min="10252" max="10252" width="5.109375" style="2415" customWidth="1"/>
    <col min="10253" max="10253" width="13.77734375" style="2415" customWidth="1"/>
    <col min="10254" max="10496" width="9" style="2415"/>
    <col min="10497" max="10497" width="4.88671875" style="2415" customWidth="1"/>
    <col min="10498" max="10498" width="13.21875" style="2415" customWidth="1"/>
    <col min="10499" max="10499" width="15.6640625" style="2415" customWidth="1"/>
    <col min="10500" max="10500" width="9.33203125" style="2415" bestFit="1" customWidth="1"/>
    <col min="10501" max="10501" width="13.44140625" style="2415" customWidth="1"/>
    <col min="10502" max="10502" width="9" style="2415"/>
    <col min="10503" max="10503" width="9.33203125" style="2415" bestFit="1" customWidth="1"/>
    <col min="10504" max="10505" width="9" style="2415"/>
    <col min="10506" max="10506" width="9.33203125" style="2415" bestFit="1" customWidth="1"/>
    <col min="10507" max="10507" width="4" style="2415" customWidth="1"/>
    <col min="10508" max="10508" width="5.109375" style="2415" customWidth="1"/>
    <col min="10509" max="10509" width="13.77734375" style="2415" customWidth="1"/>
    <col min="10510" max="10752" width="9" style="2415"/>
    <col min="10753" max="10753" width="4.88671875" style="2415" customWidth="1"/>
    <col min="10754" max="10754" width="13.21875" style="2415" customWidth="1"/>
    <col min="10755" max="10755" width="15.6640625" style="2415" customWidth="1"/>
    <col min="10756" max="10756" width="9.33203125" style="2415" bestFit="1" customWidth="1"/>
    <col min="10757" max="10757" width="13.44140625" style="2415" customWidth="1"/>
    <col min="10758" max="10758" width="9" style="2415"/>
    <col min="10759" max="10759" width="9.33203125" style="2415" bestFit="1" customWidth="1"/>
    <col min="10760" max="10761" width="9" style="2415"/>
    <col min="10762" max="10762" width="9.33203125" style="2415" bestFit="1" customWidth="1"/>
    <col min="10763" max="10763" width="4" style="2415" customWidth="1"/>
    <col min="10764" max="10764" width="5.109375" style="2415" customWidth="1"/>
    <col min="10765" max="10765" width="13.77734375" style="2415" customWidth="1"/>
    <col min="10766" max="11008" width="9" style="2415"/>
    <col min="11009" max="11009" width="4.88671875" style="2415" customWidth="1"/>
    <col min="11010" max="11010" width="13.21875" style="2415" customWidth="1"/>
    <col min="11011" max="11011" width="15.6640625" style="2415" customWidth="1"/>
    <col min="11012" max="11012" width="9.33203125" style="2415" bestFit="1" customWidth="1"/>
    <col min="11013" max="11013" width="13.44140625" style="2415" customWidth="1"/>
    <col min="11014" max="11014" width="9" style="2415"/>
    <col min="11015" max="11015" width="9.33203125" style="2415" bestFit="1" customWidth="1"/>
    <col min="11016" max="11017" width="9" style="2415"/>
    <col min="11018" max="11018" width="9.33203125" style="2415" bestFit="1" customWidth="1"/>
    <col min="11019" max="11019" width="4" style="2415" customWidth="1"/>
    <col min="11020" max="11020" width="5.109375" style="2415" customWidth="1"/>
    <col min="11021" max="11021" width="13.77734375" style="2415" customWidth="1"/>
    <col min="11022" max="11264" width="9" style="2415"/>
    <col min="11265" max="11265" width="4.88671875" style="2415" customWidth="1"/>
    <col min="11266" max="11266" width="13.21875" style="2415" customWidth="1"/>
    <col min="11267" max="11267" width="15.6640625" style="2415" customWidth="1"/>
    <col min="11268" max="11268" width="9.33203125" style="2415" bestFit="1" customWidth="1"/>
    <col min="11269" max="11269" width="13.44140625" style="2415" customWidth="1"/>
    <col min="11270" max="11270" width="9" style="2415"/>
    <col min="11271" max="11271" width="9.33203125" style="2415" bestFit="1" customWidth="1"/>
    <col min="11272" max="11273" width="9" style="2415"/>
    <col min="11274" max="11274" width="9.33203125" style="2415" bestFit="1" customWidth="1"/>
    <col min="11275" max="11275" width="4" style="2415" customWidth="1"/>
    <col min="11276" max="11276" width="5.109375" style="2415" customWidth="1"/>
    <col min="11277" max="11277" width="13.77734375" style="2415" customWidth="1"/>
    <col min="11278" max="11520" width="9" style="2415"/>
    <col min="11521" max="11521" width="4.88671875" style="2415" customWidth="1"/>
    <col min="11522" max="11522" width="13.21875" style="2415" customWidth="1"/>
    <col min="11523" max="11523" width="15.6640625" style="2415" customWidth="1"/>
    <col min="11524" max="11524" width="9.33203125" style="2415" bestFit="1" customWidth="1"/>
    <col min="11525" max="11525" width="13.44140625" style="2415" customWidth="1"/>
    <col min="11526" max="11526" width="9" style="2415"/>
    <col min="11527" max="11527" width="9.33203125" style="2415" bestFit="1" customWidth="1"/>
    <col min="11528" max="11529" width="9" style="2415"/>
    <col min="11530" max="11530" width="9.33203125" style="2415" bestFit="1" customWidth="1"/>
    <col min="11531" max="11531" width="4" style="2415" customWidth="1"/>
    <col min="11532" max="11532" width="5.109375" style="2415" customWidth="1"/>
    <col min="11533" max="11533" width="13.77734375" style="2415" customWidth="1"/>
    <col min="11534" max="11776" width="9" style="2415"/>
    <col min="11777" max="11777" width="4.88671875" style="2415" customWidth="1"/>
    <col min="11778" max="11778" width="13.21875" style="2415" customWidth="1"/>
    <col min="11779" max="11779" width="15.6640625" style="2415" customWidth="1"/>
    <col min="11780" max="11780" width="9.33203125" style="2415" bestFit="1" customWidth="1"/>
    <col min="11781" max="11781" width="13.44140625" style="2415" customWidth="1"/>
    <col min="11782" max="11782" width="9" style="2415"/>
    <col min="11783" max="11783" width="9.33203125" style="2415" bestFit="1" customWidth="1"/>
    <col min="11784" max="11785" width="9" style="2415"/>
    <col min="11786" max="11786" width="9.33203125" style="2415" bestFit="1" customWidth="1"/>
    <col min="11787" max="11787" width="4" style="2415" customWidth="1"/>
    <col min="11788" max="11788" width="5.109375" style="2415" customWidth="1"/>
    <col min="11789" max="11789" width="13.77734375" style="2415" customWidth="1"/>
    <col min="11790" max="12032" width="9" style="2415"/>
    <col min="12033" max="12033" width="4.88671875" style="2415" customWidth="1"/>
    <col min="12034" max="12034" width="13.21875" style="2415" customWidth="1"/>
    <col min="12035" max="12035" width="15.6640625" style="2415" customWidth="1"/>
    <col min="12036" max="12036" width="9.33203125" style="2415" bestFit="1" customWidth="1"/>
    <col min="12037" max="12037" width="13.44140625" style="2415" customWidth="1"/>
    <col min="12038" max="12038" width="9" style="2415"/>
    <col min="12039" max="12039" width="9.33203125" style="2415" bestFit="1" customWidth="1"/>
    <col min="12040" max="12041" width="9" style="2415"/>
    <col min="12042" max="12042" width="9.33203125" style="2415" bestFit="1" customWidth="1"/>
    <col min="12043" max="12043" width="4" style="2415" customWidth="1"/>
    <col min="12044" max="12044" width="5.109375" style="2415" customWidth="1"/>
    <col min="12045" max="12045" width="13.77734375" style="2415" customWidth="1"/>
    <col min="12046" max="12288" width="9" style="2415"/>
    <col min="12289" max="12289" width="4.88671875" style="2415" customWidth="1"/>
    <col min="12290" max="12290" width="13.21875" style="2415" customWidth="1"/>
    <col min="12291" max="12291" width="15.6640625" style="2415" customWidth="1"/>
    <col min="12292" max="12292" width="9.33203125" style="2415" bestFit="1" customWidth="1"/>
    <col min="12293" max="12293" width="13.44140625" style="2415" customWidth="1"/>
    <col min="12294" max="12294" width="9" style="2415"/>
    <col min="12295" max="12295" width="9.33203125" style="2415" bestFit="1" customWidth="1"/>
    <col min="12296" max="12297" width="9" style="2415"/>
    <col min="12298" max="12298" width="9.33203125" style="2415" bestFit="1" customWidth="1"/>
    <col min="12299" max="12299" width="4" style="2415" customWidth="1"/>
    <col min="12300" max="12300" width="5.109375" style="2415" customWidth="1"/>
    <col min="12301" max="12301" width="13.77734375" style="2415" customWidth="1"/>
    <col min="12302" max="12544" width="9" style="2415"/>
    <col min="12545" max="12545" width="4.88671875" style="2415" customWidth="1"/>
    <col min="12546" max="12546" width="13.21875" style="2415" customWidth="1"/>
    <col min="12547" max="12547" width="15.6640625" style="2415" customWidth="1"/>
    <col min="12548" max="12548" width="9.33203125" style="2415" bestFit="1" customWidth="1"/>
    <col min="12549" max="12549" width="13.44140625" style="2415" customWidth="1"/>
    <col min="12550" max="12550" width="9" style="2415"/>
    <col min="12551" max="12551" width="9.33203125" style="2415" bestFit="1" customWidth="1"/>
    <col min="12552" max="12553" width="9" style="2415"/>
    <col min="12554" max="12554" width="9.33203125" style="2415" bestFit="1" customWidth="1"/>
    <col min="12555" max="12555" width="4" style="2415" customWidth="1"/>
    <col min="12556" max="12556" width="5.109375" style="2415" customWidth="1"/>
    <col min="12557" max="12557" width="13.77734375" style="2415" customWidth="1"/>
    <col min="12558" max="12800" width="9" style="2415"/>
    <col min="12801" max="12801" width="4.88671875" style="2415" customWidth="1"/>
    <col min="12802" max="12802" width="13.21875" style="2415" customWidth="1"/>
    <col min="12803" max="12803" width="15.6640625" style="2415" customWidth="1"/>
    <col min="12804" max="12804" width="9.33203125" style="2415" bestFit="1" customWidth="1"/>
    <col min="12805" max="12805" width="13.44140625" style="2415" customWidth="1"/>
    <col min="12806" max="12806" width="9" style="2415"/>
    <col min="12807" max="12807" width="9.33203125" style="2415" bestFit="1" customWidth="1"/>
    <col min="12808" max="12809" width="9" style="2415"/>
    <col min="12810" max="12810" width="9.33203125" style="2415" bestFit="1" customWidth="1"/>
    <col min="12811" max="12811" width="4" style="2415" customWidth="1"/>
    <col min="12812" max="12812" width="5.109375" style="2415" customWidth="1"/>
    <col min="12813" max="12813" width="13.77734375" style="2415" customWidth="1"/>
    <col min="12814" max="13056" width="9" style="2415"/>
    <col min="13057" max="13057" width="4.88671875" style="2415" customWidth="1"/>
    <col min="13058" max="13058" width="13.21875" style="2415" customWidth="1"/>
    <col min="13059" max="13059" width="15.6640625" style="2415" customWidth="1"/>
    <col min="13060" max="13060" width="9.33203125" style="2415" bestFit="1" customWidth="1"/>
    <col min="13061" max="13061" width="13.44140625" style="2415" customWidth="1"/>
    <col min="13062" max="13062" width="9" style="2415"/>
    <col min="13063" max="13063" width="9.33203125" style="2415" bestFit="1" customWidth="1"/>
    <col min="13064" max="13065" width="9" style="2415"/>
    <col min="13066" max="13066" width="9.33203125" style="2415" bestFit="1" customWidth="1"/>
    <col min="13067" max="13067" width="4" style="2415" customWidth="1"/>
    <col min="13068" max="13068" width="5.109375" style="2415" customWidth="1"/>
    <col min="13069" max="13069" width="13.77734375" style="2415" customWidth="1"/>
    <col min="13070" max="13312" width="9" style="2415"/>
    <col min="13313" max="13313" width="4.88671875" style="2415" customWidth="1"/>
    <col min="13314" max="13314" width="13.21875" style="2415" customWidth="1"/>
    <col min="13315" max="13315" width="15.6640625" style="2415" customWidth="1"/>
    <col min="13316" max="13316" width="9.33203125" style="2415" bestFit="1" customWidth="1"/>
    <col min="13317" max="13317" width="13.44140625" style="2415" customWidth="1"/>
    <col min="13318" max="13318" width="9" style="2415"/>
    <col min="13319" max="13319" width="9.33203125" style="2415" bestFit="1" customWidth="1"/>
    <col min="13320" max="13321" width="9" style="2415"/>
    <col min="13322" max="13322" width="9.33203125" style="2415" bestFit="1" customWidth="1"/>
    <col min="13323" max="13323" width="4" style="2415" customWidth="1"/>
    <col min="13324" max="13324" width="5.109375" style="2415" customWidth="1"/>
    <col min="13325" max="13325" width="13.77734375" style="2415" customWidth="1"/>
    <col min="13326" max="13568" width="9" style="2415"/>
    <col min="13569" max="13569" width="4.88671875" style="2415" customWidth="1"/>
    <col min="13570" max="13570" width="13.21875" style="2415" customWidth="1"/>
    <col min="13571" max="13571" width="15.6640625" style="2415" customWidth="1"/>
    <col min="13572" max="13572" width="9.33203125" style="2415" bestFit="1" customWidth="1"/>
    <col min="13573" max="13573" width="13.44140625" style="2415" customWidth="1"/>
    <col min="13574" max="13574" width="9" style="2415"/>
    <col min="13575" max="13575" width="9.33203125" style="2415" bestFit="1" customWidth="1"/>
    <col min="13576" max="13577" width="9" style="2415"/>
    <col min="13578" max="13578" width="9.33203125" style="2415" bestFit="1" customWidth="1"/>
    <col min="13579" max="13579" width="4" style="2415" customWidth="1"/>
    <col min="13580" max="13580" width="5.109375" style="2415" customWidth="1"/>
    <col min="13581" max="13581" width="13.77734375" style="2415" customWidth="1"/>
    <col min="13582" max="13824" width="9" style="2415"/>
    <col min="13825" max="13825" width="4.88671875" style="2415" customWidth="1"/>
    <col min="13826" max="13826" width="13.21875" style="2415" customWidth="1"/>
    <col min="13827" max="13827" width="15.6640625" style="2415" customWidth="1"/>
    <col min="13828" max="13828" width="9.33203125" style="2415" bestFit="1" customWidth="1"/>
    <col min="13829" max="13829" width="13.44140625" style="2415" customWidth="1"/>
    <col min="13830" max="13830" width="9" style="2415"/>
    <col min="13831" max="13831" width="9.33203125" style="2415" bestFit="1" customWidth="1"/>
    <col min="13832" max="13833" width="9" style="2415"/>
    <col min="13834" max="13834" width="9.33203125" style="2415" bestFit="1" customWidth="1"/>
    <col min="13835" max="13835" width="4" style="2415" customWidth="1"/>
    <col min="13836" max="13836" width="5.109375" style="2415" customWidth="1"/>
    <col min="13837" max="13837" width="13.77734375" style="2415" customWidth="1"/>
    <col min="13838" max="14080" width="9" style="2415"/>
    <col min="14081" max="14081" width="4.88671875" style="2415" customWidth="1"/>
    <col min="14082" max="14082" width="13.21875" style="2415" customWidth="1"/>
    <col min="14083" max="14083" width="15.6640625" style="2415" customWidth="1"/>
    <col min="14084" max="14084" width="9.33203125" style="2415" bestFit="1" customWidth="1"/>
    <col min="14085" max="14085" width="13.44140625" style="2415" customWidth="1"/>
    <col min="14086" max="14086" width="9" style="2415"/>
    <col min="14087" max="14087" width="9.33203125" style="2415" bestFit="1" customWidth="1"/>
    <col min="14088" max="14089" width="9" style="2415"/>
    <col min="14090" max="14090" width="9.33203125" style="2415" bestFit="1" customWidth="1"/>
    <col min="14091" max="14091" width="4" style="2415" customWidth="1"/>
    <col min="14092" max="14092" width="5.109375" style="2415" customWidth="1"/>
    <col min="14093" max="14093" width="13.77734375" style="2415" customWidth="1"/>
    <col min="14094" max="14336" width="9" style="2415"/>
    <col min="14337" max="14337" width="4.88671875" style="2415" customWidth="1"/>
    <col min="14338" max="14338" width="13.21875" style="2415" customWidth="1"/>
    <col min="14339" max="14339" width="15.6640625" style="2415" customWidth="1"/>
    <col min="14340" max="14340" width="9.33203125" style="2415" bestFit="1" customWidth="1"/>
    <col min="14341" max="14341" width="13.44140625" style="2415" customWidth="1"/>
    <col min="14342" max="14342" width="9" style="2415"/>
    <col min="14343" max="14343" width="9.33203125" style="2415" bestFit="1" customWidth="1"/>
    <col min="14344" max="14345" width="9" style="2415"/>
    <col min="14346" max="14346" width="9.33203125" style="2415" bestFit="1" customWidth="1"/>
    <col min="14347" max="14347" width="4" style="2415" customWidth="1"/>
    <col min="14348" max="14348" width="5.109375" style="2415" customWidth="1"/>
    <col min="14349" max="14349" width="13.77734375" style="2415" customWidth="1"/>
    <col min="14350" max="14592" width="9" style="2415"/>
    <col min="14593" max="14593" width="4.88671875" style="2415" customWidth="1"/>
    <col min="14594" max="14594" width="13.21875" style="2415" customWidth="1"/>
    <col min="14595" max="14595" width="15.6640625" style="2415" customWidth="1"/>
    <col min="14596" max="14596" width="9.33203125" style="2415" bestFit="1" customWidth="1"/>
    <col min="14597" max="14597" width="13.44140625" style="2415" customWidth="1"/>
    <col min="14598" max="14598" width="9" style="2415"/>
    <col min="14599" max="14599" width="9.33203125" style="2415" bestFit="1" customWidth="1"/>
    <col min="14600" max="14601" width="9" style="2415"/>
    <col min="14602" max="14602" width="9.33203125" style="2415" bestFit="1" customWidth="1"/>
    <col min="14603" max="14603" width="4" style="2415" customWidth="1"/>
    <col min="14604" max="14604" width="5.109375" style="2415" customWidth="1"/>
    <col min="14605" max="14605" width="13.77734375" style="2415" customWidth="1"/>
    <col min="14606" max="14848" width="9" style="2415"/>
    <col min="14849" max="14849" width="4.88671875" style="2415" customWidth="1"/>
    <col min="14850" max="14850" width="13.21875" style="2415" customWidth="1"/>
    <col min="14851" max="14851" width="15.6640625" style="2415" customWidth="1"/>
    <col min="14852" max="14852" width="9.33203125" style="2415" bestFit="1" customWidth="1"/>
    <col min="14853" max="14853" width="13.44140625" style="2415" customWidth="1"/>
    <col min="14854" max="14854" width="9" style="2415"/>
    <col min="14855" max="14855" width="9.33203125" style="2415" bestFit="1" customWidth="1"/>
    <col min="14856" max="14857" width="9" style="2415"/>
    <col min="14858" max="14858" width="9.33203125" style="2415" bestFit="1" customWidth="1"/>
    <col min="14859" max="14859" width="4" style="2415" customWidth="1"/>
    <col min="14860" max="14860" width="5.109375" style="2415" customWidth="1"/>
    <col min="14861" max="14861" width="13.77734375" style="2415" customWidth="1"/>
    <col min="14862" max="15104" width="9" style="2415"/>
    <col min="15105" max="15105" width="4.88671875" style="2415" customWidth="1"/>
    <col min="15106" max="15106" width="13.21875" style="2415" customWidth="1"/>
    <col min="15107" max="15107" width="15.6640625" style="2415" customWidth="1"/>
    <col min="15108" max="15108" width="9.33203125" style="2415" bestFit="1" customWidth="1"/>
    <col min="15109" max="15109" width="13.44140625" style="2415" customWidth="1"/>
    <col min="15110" max="15110" width="9" style="2415"/>
    <col min="15111" max="15111" width="9.33203125" style="2415" bestFit="1" customWidth="1"/>
    <col min="15112" max="15113" width="9" style="2415"/>
    <col min="15114" max="15114" width="9.33203125" style="2415" bestFit="1" customWidth="1"/>
    <col min="15115" max="15115" width="4" style="2415" customWidth="1"/>
    <col min="15116" max="15116" width="5.109375" style="2415" customWidth="1"/>
    <col min="15117" max="15117" width="13.77734375" style="2415" customWidth="1"/>
    <col min="15118" max="15360" width="9" style="2415"/>
    <col min="15361" max="15361" width="4.88671875" style="2415" customWidth="1"/>
    <col min="15362" max="15362" width="13.21875" style="2415" customWidth="1"/>
    <col min="15363" max="15363" width="15.6640625" style="2415" customWidth="1"/>
    <col min="15364" max="15364" width="9.33203125" style="2415" bestFit="1" customWidth="1"/>
    <col min="15365" max="15365" width="13.44140625" style="2415" customWidth="1"/>
    <col min="15366" max="15366" width="9" style="2415"/>
    <col min="15367" max="15367" width="9.33203125" style="2415" bestFit="1" customWidth="1"/>
    <col min="15368" max="15369" width="9" style="2415"/>
    <col min="15370" max="15370" width="9.33203125" style="2415" bestFit="1" customWidth="1"/>
    <col min="15371" max="15371" width="4" style="2415" customWidth="1"/>
    <col min="15372" max="15372" width="5.109375" style="2415" customWidth="1"/>
    <col min="15373" max="15373" width="13.77734375" style="2415" customWidth="1"/>
    <col min="15374" max="15616" width="9" style="2415"/>
    <col min="15617" max="15617" width="4.88671875" style="2415" customWidth="1"/>
    <col min="15618" max="15618" width="13.21875" style="2415" customWidth="1"/>
    <col min="15619" max="15619" width="15.6640625" style="2415" customWidth="1"/>
    <col min="15620" max="15620" width="9.33203125" style="2415" bestFit="1" customWidth="1"/>
    <col min="15621" max="15621" width="13.44140625" style="2415" customWidth="1"/>
    <col min="15622" max="15622" width="9" style="2415"/>
    <col min="15623" max="15623" width="9.33203125" style="2415" bestFit="1" customWidth="1"/>
    <col min="15624" max="15625" width="9" style="2415"/>
    <col min="15626" max="15626" width="9.33203125" style="2415" bestFit="1" customWidth="1"/>
    <col min="15627" max="15627" width="4" style="2415" customWidth="1"/>
    <col min="15628" max="15628" width="5.109375" style="2415" customWidth="1"/>
    <col min="15629" max="15629" width="13.77734375" style="2415" customWidth="1"/>
    <col min="15630" max="15872" width="9" style="2415"/>
    <col min="15873" max="15873" width="4.88671875" style="2415" customWidth="1"/>
    <col min="15874" max="15874" width="13.21875" style="2415" customWidth="1"/>
    <col min="15875" max="15875" width="15.6640625" style="2415" customWidth="1"/>
    <col min="15876" max="15876" width="9.33203125" style="2415" bestFit="1" customWidth="1"/>
    <col min="15877" max="15877" width="13.44140625" style="2415" customWidth="1"/>
    <col min="15878" max="15878" width="9" style="2415"/>
    <col min="15879" max="15879" width="9.33203125" style="2415" bestFit="1" customWidth="1"/>
    <col min="15880" max="15881" width="9" style="2415"/>
    <col min="15882" max="15882" width="9.33203125" style="2415" bestFit="1" customWidth="1"/>
    <col min="15883" max="15883" width="4" style="2415" customWidth="1"/>
    <col min="15884" max="15884" width="5.109375" style="2415" customWidth="1"/>
    <col min="15885" max="15885" width="13.77734375" style="2415" customWidth="1"/>
    <col min="15886" max="16128" width="9" style="2415"/>
    <col min="16129" max="16129" width="4.88671875" style="2415" customWidth="1"/>
    <col min="16130" max="16130" width="13.21875" style="2415" customWidth="1"/>
    <col min="16131" max="16131" width="15.6640625" style="2415" customWidth="1"/>
    <col min="16132" max="16132" width="9.33203125" style="2415" bestFit="1" customWidth="1"/>
    <col min="16133" max="16133" width="13.44140625" style="2415" customWidth="1"/>
    <col min="16134" max="16134" width="9" style="2415"/>
    <col min="16135" max="16135" width="9.33203125" style="2415" bestFit="1" customWidth="1"/>
    <col min="16136" max="16137" width="9" style="2415"/>
    <col min="16138" max="16138" width="9.33203125" style="2415" bestFit="1" customWidth="1"/>
    <col min="16139" max="16139" width="4" style="2415" customWidth="1"/>
    <col min="16140" max="16140" width="5.109375" style="2415" customWidth="1"/>
    <col min="16141" max="16141" width="13.77734375" style="2415" customWidth="1"/>
    <col min="16142" max="16384" width="9" style="2415"/>
  </cols>
  <sheetData>
    <row r="1" spans="1:257" s="2474" customFormat="1" ht="15" thickBot="1">
      <c r="A1" s="2473"/>
      <c r="B1" s="2475" t="s">
        <v>2065</v>
      </c>
      <c r="C1" s="2479">
        <f>项目基本情况!D3</f>
        <v>45839</v>
      </c>
      <c r="H1" s="2414">
        <f>IF(C1&gt;C13,0,MATCH(C1,C$13:C$115,-1))+IF(SUMIF(C13:C115,C1,D13:D115)=0,13,12)</f>
        <v>13</v>
      </c>
      <c r="I1" s="2414">
        <f>MATCH(C2,H3:H7,1)+IF(SUMIF(H3:H7,C2,I3:I7)=0,2,1)</f>
        <v>5</v>
      </c>
      <c r="J1" s="2472">
        <f ca="1">MATCH(C3,H3:H7,1)+IF(SUMIF(H3:H7,C3,J3:J7)=0,2,1)</f>
        <v>4</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6" thickTop="1" thickBot="1">
      <c r="A2" s="2416"/>
      <c r="B2" s="2476" t="s">
        <v>2096</v>
      </c>
      <c r="C2" s="2480">
        <f>'数据-取费表'!B22</f>
        <v>1.5</v>
      </c>
      <c r="D2" s="2475" t="s">
        <v>2066</v>
      </c>
      <c r="E2" s="2478">
        <f ca="1">INDIRECT("I"&amp;$I$1)/100</f>
        <v>0.03</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1</v>
      </c>
      <c r="D3" s="2475" t="s">
        <v>2066</v>
      </c>
      <c r="E3" s="2478">
        <f ca="1">INDIRECT("J"&amp;$J$1)/100</f>
        <v>0.03</v>
      </c>
      <c r="G3" s="2418" t="s">
        <v>2069</v>
      </c>
      <c r="H3" s="2419">
        <v>0</v>
      </c>
      <c r="I3" s="2420">
        <f ca="1">INDIRECT("d"&amp;$H$1)</f>
        <v>3</v>
      </c>
      <c r="J3" s="2420">
        <f ca="1">INDIRECT("d"&amp;$H$1)</f>
        <v>3</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v>
      </c>
      <c r="J4" s="2426">
        <f ca="1">INDIRECT("e"&amp;$H$1)</f>
        <v>3</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v>
      </c>
      <c r="J5" s="2426">
        <f ca="1">INDIRECT("f"&amp;$H$1)</f>
        <v>3</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v>
      </c>
      <c r="J6" s="2426">
        <f ca="1">INDIRECT("g"&amp;$H$1)</f>
        <v>3</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5" thickBot="1">
      <c r="A7" s="2417"/>
      <c r="G7" s="2429" t="s">
        <v>2073</v>
      </c>
      <c r="H7" s="2430">
        <v>5</v>
      </c>
      <c r="I7" s="2431">
        <f ca="1">INDIRECT("h"&amp;$H$1)</f>
        <v>3.5</v>
      </c>
      <c r="J7" s="2431">
        <f ca="1">INDIRECT("h"&amp;$H$1)</f>
        <v>3.5</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399999999999999">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2">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31.2">
      <c r="A13" s="2459"/>
      <c r="B13" s="2460" t="s">
        <v>2094</v>
      </c>
      <c r="C13" s="2461">
        <v>45797</v>
      </c>
      <c r="D13" s="2462">
        <v>3</v>
      </c>
      <c r="E13" s="2462">
        <f t="shared" ref="E13:E18" si="0">D13</f>
        <v>3</v>
      </c>
      <c r="F13" s="2462">
        <f t="shared" ref="F13:F18" si="1">D13</f>
        <v>3</v>
      </c>
      <c r="G13" s="2462">
        <f t="shared" ref="G13:G18" si="2">D13</f>
        <v>3</v>
      </c>
      <c r="H13" s="2462">
        <v>3.5</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5.6">
      <c r="A14" s="2459"/>
      <c r="B14" s="2460"/>
      <c r="C14" s="2467">
        <v>45586</v>
      </c>
      <c r="D14" s="2466">
        <v>3.1</v>
      </c>
      <c r="E14" s="2466">
        <f t="shared" si="0"/>
        <v>3.1</v>
      </c>
      <c r="F14" s="2466">
        <f t="shared" si="1"/>
        <v>3.1</v>
      </c>
      <c r="G14" s="2466">
        <f t="shared" si="2"/>
        <v>3.1</v>
      </c>
      <c r="H14" s="2466">
        <v>3.6</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5.6">
      <c r="A15" s="2459"/>
      <c r="B15" s="2460"/>
      <c r="C15" s="2467">
        <v>45495</v>
      </c>
      <c r="D15" s="2466">
        <v>3.35</v>
      </c>
      <c r="E15" s="2466">
        <f t="shared" si="0"/>
        <v>3.35</v>
      </c>
      <c r="F15" s="2466">
        <f t="shared" si="1"/>
        <v>3.35</v>
      </c>
      <c r="G15" s="2466">
        <f t="shared" si="2"/>
        <v>3.35</v>
      </c>
      <c r="H15" s="2466">
        <v>3.85</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5.6">
      <c r="A16" s="2459"/>
      <c r="B16" s="2460"/>
      <c r="C16" s="2467">
        <v>45342</v>
      </c>
      <c r="D16" s="2466">
        <v>3.45</v>
      </c>
      <c r="E16" s="2466">
        <f t="shared" si="0"/>
        <v>3.45</v>
      </c>
      <c r="F16" s="2466">
        <f t="shared" si="1"/>
        <v>3.45</v>
      </c>
      <c r="G16" s="2466">
        <f t="shared" si="2"/>
        <v>3.45</v>
      </c>
      <c r="H16" s="2466">
        <v>3.95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5.6">
      <c r="A17" s="2459"/>
      <c r="B17" s="2460"/>
      <c r="C17" s="2467">
        <v>45159</v>
      </c>
      <c r="D17" s="2466">
        <v>3.45</v>
      </c>
      <c r="E17" s="2466">
        <f t="shared" si="0"/>
        <v>3.45</v>
      </c>
      <c r="F17" s="2466">
        <f t="shared" si="1"/>
        <v>3.45</v>
      </c>
      <c r="G17" s="2466">
        <f t="shared" si="2"/>
        <v>3.45</v>
      </c>
      <c r="H17" s="2466">
        <v>4.2</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6.8">
      <c r="A18" s="2459"/>
      <c r="B18" s="2460"/>
      <c r="C18" s="2467">
        <v>45097</v>
      </c>
      <c r="D18" s="2466">
        <v>3.55</v>
      </c>
      <c r="E18" s="2466">
        <f t="shared" si="0"/>
        <v>3.55</v>
      </c>
      <c r="F18" s="2466">
        <f t="shared" si="1"/>
        <v>3.55</v>
      </c>
      <c r="G18" s="2466">
        <f t="shared" si="2"/>
        <v>3.55</v>
      </c>
      <c r="H18" s="2466">
        <v>4.2</v>
      </c>
      <c r="I18" s="2462"/>
      <c r="J18" s="2462"/>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59"/>
      <c r="B19" s="2460"/>
      <c r="C19" s="2467">
        <v>44795</v>
      </c>
      <c r="D19" s="2466">
        <v>3.65</v>
      </c>
      <c r="E19" s="2466">
        <v>3.65</v>
      </c>
      <c r="F19" s="2466">
        <v>3.65</v>
      </c>
      <c r="G19" s="2466">
        <v>3.65</v>
      </c>
      <c r="H19" s="2466">
        <v>4.3</v>
      </c>
      <c r="I19" s="2462"/>
      <c r="J19" s="2462"/>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5.6">
      <c r="A20" s="2459"/>
      <c r="B20" s="2460"/>
      <c r="C20" s="2467">
        <v>44701</v>
      </c>
      <c r="D20" s="2466">
        <v>3.7</v>
      </c>
      <c r="E20" s="2466">
        <f>D20</f>
        <v>3.7</v>
      </c>
      <c r="F20" s="2466">
        <f>D20</f>
        <v>3.7</v>
      </c>
      <c r="G20" s="2466">
        <f>D20</f>
        <v>3.7</v>
      </c>
      <c r="H20" s="2466">
        <v>4.45</v>
      </c>
      <c r="I20" s="2462"/>
      <c r="J20" s="2462"/>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5.6">
      <c r="A21" s="2459"/>
      <c r="B21" s="2460"/>
      <c r="C21" s="2467">
        <v>44581</v>
      </c>
      <c r="D21" s="2466">
        <v>3.7</v>
      </c>
      <c r="E21" s="2466">
        <f>D21</f>
        <v>3.7</v>
      </c>
      <c r="F21" s="2466">
        <f>D21</f>
        <v>3.7</v>
      </c>
      <c r="G21" s="2466">
        <f>D21</f>
        <v>3.7</v>
      </c>
      <c r="H21" s="2466">
        <v>4.5999999999999996</v>
      </c>
      <c r="I21" s="2462"/>
      <c r="J21" s="2462"/>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5.6">
      <c r="A22" s="2459"/>
      <c r="B22" s="2460"/>
      <c r="C22" s="2467">
        <v>44550</v>
      </c>
      <c r="D22" s="2466">
        <v>3.8</v>
      </c>
      <c r="E22" s="2466">
        <f>D22</f>
        <v>3.8</v>
      </c>
      <c r="F22" s="2466">
        <f>D22</f>
        <v>3.8</v>
      </c>
      <c r="G22" s="2466">
        <f>D22</f>
        <v>3.8</v>
      </c>
      <c r="H22" s="2466">
        <v>4.6500000000000004</v>
      </c>
      <c r="I22" s="2462"/>
      <c r="J22" s="2462"/>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5.6">
      <c r="A23" s="3019"/>
      <c r="B23" s="2466"/>
      <c r="C23" s="2467">
        <v>43941</v>
      </c>
      <c r="D23" s="2466">
        <v>3.85</v>
      </c>
      <c r="E23" s="2466">
        <v>3.85</v>
      </c>
      <c r="F23" s="2466">
        <v>3.85</v>
      </c>
      <c r="G23" s="2466">
        <v>3.85</v>
      </c>
      <c r="H23" s="2466">
        <v>4.6500000000000004</v>
      </c>
      <c r="I23" s="2466"/>
      <c r="J23" s="2466"/>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43881</v>
      </c>
      <c r="D24" s="2466">
        <v>4.05</v>
      </c>
      <c r="E24" s="2466">
        <v>4.05</v>
      </c>
      <c r="F24" s="2466">
        <v>4.05</v>
      </c>
      <c r="G24" s="2466">
        <v>4.05</v>
      </c>
      <c r="H24" s="2466">
        <v>4.75</v>
      </c>
      <c r="I24" s="2466"/>
      <c r="J24" s="2466"/>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43789</v>
      </c>
      <c r="D25" s="2466">
        <v>4.1500000000000004</v>
      </c>
      <c r="E25" s="2466">
        <v>4.1500000000000004</v>
      </c>
      <c r="F25" s="2466">
        <v>4.1500000000000004</v>
      </c>
      <c r="G25" s="2466">
        <v>4.1500000000000004</v>
      </c>
      <c r="H25" s="2466">
        <v>4.8</v>
      </c>
      <c r="I25" s="2466"/>
      <c r="J25" s="2466"/>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43728</v>
      </c>
      <c r="D26" s="2466">
        <v>4.2</v>
      </c>
      <c r="E26" s="2466">
        <v>4.2</v>
      </c>
      <c r="F26" s="2466">
        <v>4.2</v>
      </c>
      <c r="G26" s="2466">
        <v>4.2</v>
      </c>
      <c r="H26" s="2466">
        <v>4.8499999999999996</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ht="15.6">
      <c r="B27" s="2460" t="s">
        <v>2286</v>
      </c>
      <c r="C27" s="2468">
        <v>43697</v>
      </c>
      <c r="D27" s="3016">
        <v>4.25</v>
      </c>
      <c r="E27" s="3016">
        <v>4.25</v>
      </c>
      <c r="F27" s="3016">
        <v>4.25</v>
      </c>
      <c r="G27" s="3016">
        <v>4.25</v>
      </c>
      <c r="H27" s="3016">
        <v>4.8499999999999996</v>
      </c>
      <c r="I27" s="3016"/>
      <c r="J27" s="301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ht="15.6">
      <c r="B28" s="3020"/>
      <c r="C28" s="3021">
        <v>42301</v>
      </c>
      <c r="D28" s="3022">
        <v>4.3499999999999996</v>
      </c>
      <c r="E28" s="3022">
        <v>4.3499999999999996</v>
      </c>
      <c r="F28" s="3022">
        <v>4.75</v>
      </c>
      <c r="G28" s="3022">
        <v>4.75</v>
      </c>
      <c r="H28" s="3022">
        <v>4.9000000000000004</v>
      </c>
      <c r="I28" s="3022"/>
      <c r="J28" s="3022"/>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42242</v>
      </c>
      <c r="D29" s="2466">
        <v>4.5999999999999996</v>
      </c>
      <c r="E29" s="2466">
        <v>4.5999999999999996</v>
      </c>
      <c r="F29" s="2466">
        <v>5</v>
      </c>
      <c r="G29" s="2466">
        <v>5</v>
      </c>
      <c r="H29" s="2466">
        <v>5.15</v>
      </c>
      <c r="I29" s="2466">
        <v>2.75</v>
      </c>
      <c r="J29" s="2466">
        <v>3.25</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42183</v>
      </c>
      <c r="D30" s="2466">
        <v>4.8499999999999996</v>
      </c>
      <c r="E30" s="2466">
        <v>4.8499999999999996</v>
      </c>
      <c r="F30" s="2466">
        <v>5.25</v>
      </c>
      <c r="G30" s="2466">
        <v>5.25</v>
      </c>
      <c r="H30" s="2466">
        <v>5.4</v>
      </c>
      <c r="I30" s="2466">
        <v>3</v>
      </c>
      <c r="J30" s="2466">
        <v>3.5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42135</v>
      </c>
      <c r="D31" s="2466">
        <v>5.0999999999999996</v>
      </c>
      <c r="E31" s="2466">
        <v>5.0999999999999996</v>
      </c>
      <c r="F31" s="2466">
        <v>5.5</v>
      </c>
      <c r="G31" s="2466">
        <v>5.5</v>
      </c>
      <c r="H31" s="2466">
        <v>5.65</v>
      </c>
      <c r="I31" s="2466">
        <v>3.25</v>
      </c>
      <c r="J31" s="2466">
        <v>3.75</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42064</v>
      </c>
      <c r="D32" s="2466">
        <v>5.35</v>
      </c>
      <c r="E32" s="2466">
        <v>5.35</v>
      </c>
      <c r="F32" s="2466">
        <v>5.75</v>
      </c>
      <c r="G32" s="2466">
        <v>5.75</v>
      </c>
      <c r="H32" s="2466">
        <v>5.9</v>
      </c>
      <c r="I32" s="2466"/>
      <c r="J32" s="2466"/>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41965</v>
      </c>
      <c r="D33" s="2466">
        <v>5.6</v>
      </c>
      <c r="E33" s="2466">
        <v>5.6</v>
      </c>
      <c r="F33" s="2466">
        <v>6</v>
      </c>
      <c r="G33" s="2466">
        <v>6</v>
      </c>
      <c r="H33" s="2466">
        <v>6.15</v>
      </c>
      <c r="I33" s="2466"/>
      <c r="J33" s="2466"/>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41096</v>
      </c>
      <c r="D34" s="2466">
        <v>5.6</v>
      </c>
      <c r="E34" s="2466">
        <v>6</v>
      </c>
      <c r="F34" s="2466">
        <v>6.15</v>
      </c>
      <c r="G34" s="2466">
        <v>6.4</v>
      </c>
      <c r="H34" s="2466">
        <v>6.55</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41068</v>
      </c>
      <c r="D35" s="2466">
        <v>5.85</v>
      </c>
      <c r="E35" s="2466">
        <v>6.31</v>
      </c>
      <c r="F35" s="2466">
        <v>6.4</v>
      </c>
      <c r="G35" s="2466">
        <v>6.65</v>
      </c>
      <c r="H35" s="2466">
        <v>6.8</v>
      </c>
      <c r="I35" s="2466">
        <v>4.2</v>
      </c>
      <c r="J35" s="2466">
        <v>4.7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40731</v>
      </c>
      <c r="D36" s="2466">
        <v>6.1</v>
      </c>
      <c r="E36" s="2466">
        <v>6.56</v>
      </c>
      <c r="F36" s="2466">
        <v>6.65</v>
      </c>
      <c r="G36" s="2466">
        <v>6.9</v>
      </c>
      <c r="H36" s="2466">
        <v>7.05</v>
      </c>
      <c r="I36" s="2466">
        <v>4.45</v>
      </c>
      <c r="J36" s="2466">
        <v>4.9000000000000004</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40639</v>
      </c>
      <c r="D37" s="2466">
        <v>5.85</v>
      </c>
      <c r="E37" s="2466">
        <v>6.31</v>
      </c>
      <c r="F37" s="2466">
        <v>6.4</v>
      </c>
      <c r="G37" s="2466">
        <v>6.65</v>
      </c>
      <c r="H37" s="2466">
        <v>6.8</v>
      </c>
      <c r="I37" s="2466">
        <v>4.2</v>
      </c>
      <c r="J37" s="2466">
        <v>4.7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40583</v>
      </c>
      <c r="D38" s="2466">
        <v>5.6</v>
      </c>
      <c r="E38" s="2466">
        <v>6.06</v>
      </c>
      <c r="F38" s="2466">
        <v>6.1</v>
      </c>
      <c r="G38" s="2466">
        <v>6.45</v>
      </c>
      <c r="H38" s="2466">
        <v>6.6</v>
      </c>
      <c r="I38" s="2466">
        <v>4</v>
      </c>
      <c r="J38" s="2466">
        <v>4.5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40538</v>
      </c>
      <c r="D39" s="2466">
        <v>5.35</v>
      </c>
      <c r="E39" s="2466">
        <v>5.81</v>
      </c>
      <c r="F39" s="2466">
        <v>5.85</v>
      </c>
      <c r="G39" s="2466">
        <v>6.22</v>
      </c>
      <c r="H39" s="2466">
        <v>6.4</v>
      </c>
      <c r="I39" s="2466">
        <v>3.75</v>
      </c>
      <c r="J39" s="2466">
        <v>4.3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40471</v>
      </c>
      <c r="D40" s="2466">
        <v>5.0999999999999996</v>
      </c>
      <c r="E40" s="2466">
        <v>5.56</v>
      </c>
      <c r="F40" s="2466">
        <v>5.6</v>
      </c>
      <c r="G40" s="2466">
        <v>5.96</v>
      </c>
      <c r="H40" s="2466">
        <v>6.14</v>
      </c>
      <c r="I40" s="2466">
        <v>3.5</v>
      </c>
      <c r="J40" s="2466">
        <v>4.05</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39805</v>
      </c>
      <c r="D41" s="2466">
        <v>4.8600000000000003</v>
      </c>
      <c r="E41" s="2466">
        <v>5.31</v>
      </c>
      <c r="F41" s="2466">
        <v>5.4</v>
      </c>
      <c r="G41" s="2466">
        <v>5.76</v>
      </c>
      <c r="H41" s="2466">
        <v>5.94</v>
      </c>
      <c r="I41" s="2466">
        <v>3.33</v>
      </c>
      <c r="J41" s="2466">
        <v>3.87</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39779</v>
      </c>
      <c r="D42" s="2466">
        <v>5.04</v>
      </c>
      <c r="E42" s="2466">
        <v>5.58</v>
      </c>
      <c r="F42" s="2466">
        <v>5.67</v>
      </c>
      <c r="G42" s="2466">
        <v>5.94</v>
      </c>
      <c r="H42" s="2466">
        <v>6.12</v>
      </c>
      <c r="I42" s="2466">
        <v>3.51</v>
      </c>
      <c r="J42" s="2466">
        <v>4.05</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39751</v>
      </c>
      <c r="D43" s="2466">
        <v>6.03</v>
      </c>
      <c r="E43" s="2466">
        <v>6.66</v>
      </c>
      <c r="F43" s="2466">
        <v>6.75</v>
      </c>
      <c r="G43" s="2466">
        <v>7.02</v>
      </c>
      <c r="H43" s="2466">
        <v>7.2</v>
      </c>
      <c r="I43" s="2466">
        <v>4.05</v>
      </c>
      <c r="J43" s="2466">
        <v>4.59</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8">
        <v>39748</v>
      </c>
      <c r="D44" s="2466">
        <v>6.12</v>
      </c>
      <c r="E44" s="2466">
        <v>6.93</v>
      </c>
      <c r="F44" s="2466">
        <v>7.02</v>
      </c>
      <c r="G44" s="2466">
        <v>7.29</v>
      </c>
      <c r="H44" s="2466">
        <v>7.47</v>
      </c>
      <c r="I44" s="2466">
        <v>4.05</v>
      </c>
      <c r="J44" s="2466">
        <v>4.59</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39730</v>
      </c>
      <c r="D45" s="2466">
        <v>6.12</v>
      </c>
      <c r="E45" s="2466">
        <v>6.93</v>
      </c>
      <c r="F45" s="2466">
        <v>7.02</v>
      </c>
      <c r="G45" s="2466">
        <v>7.29</v>
      </c>
      <c r="H45" s="2466">
        <v>7.47</v>
      </c>
      <c r="I45" s="2466">
        <v>4.32</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39707</v>
      </c>
      <c r="D46" s="2466">
        <v>6.21</v>
      </c>
      <c r="E46" s="2466">
        <v>7.2</v>
      </c>
      <c r="F46" s="2466">
        <v>7.29</v>
      </c>
      <c r="G46" s="2466">
        <v>7.56</v>
      </c>
      <c r="H46" s="2466">
        <v>7.74</v>
      </c>
      <c r="I46" s="2466">
        <v>4.59</v>
      </c>
      <c r="J46" s="2466">
        <v>5.13</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39437</v>
      </c>
      <c r="D47" s="2466">
        <v>6.57</v>
      </c>
      <c r="E47" s="2466">
        <v>7.47</v>
      </c>
      <c r="F47" s="2466">
        <v>7.56</v>
      </c>
      <c r="G47" s="2466">
        <v>7.74</v>
      </c>
      <c r="H47" s="2466">
        <v>7.83</v>
      </c>
      <c r="I47" s="2466">
        <v>4.7699999999999996</v>
      </c>
      <c r="J47" s="2466">
        <v>5.22</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39340</v>
      </c>
      <c r="D48" s="2466">
        <v>6.48</v>
      </c>
      <c r="E48" s="2466">
        <v>7.29</v>
      </c>
      <c r="F48" s="2466">
        <v>7.47</v>
      </c>
      <c r="G48" s="2466">
        <v>7.65</v>
      </c>
      <c r="H48" s="2466">
        <v>7.83</v>
      </c>
      <c r="I48" s="2466">
        <v>4.7699999999999996</v>
      </c>
      <c r="J48" s="2466">
        <v>5.22</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39316</v>
      </c>
      <c r="D49" s="2466">
        <v>6.21</v>
      </c>
      <c r="E49" s="2466">
        <v>7.02</v>
      </c>
      <c r="F49" s="2466">
        <v>7.2</v>
      </c>
      <c r="G49" s="2466">
        <v>7.38</v>
      </c>
      <c r="H49" s="2466">
        <v>7.56</v>
      </c>
      <c r="I49" s="2466">
        <v>4.59</v>
      </c>
      <c r="J49" s="2466">
        <v>5.04</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39284</v>
      </c>
      <c r="D50" s="2466">
        <v>6.03</v>
      </c>
      <c r="E50" s="2466">
        <v>6.84</v>
      </c>
      <c r="F50" s="2466">
        <v>7.02</v>
      </c>
      <c r="G50" s="2466">
        <v>7.2</v>
      </c>
      <c r="H50" s="2466">
        <v>7.38</v>
      </c>
      <c r="I50" s="2466">
        <v>4.5</v>
      </c>
      <c r="J50" s="2466">
        <v>4.95</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39221</v>
      </c>
      <c r="D51" s="2466">
        <v>5.85</v>
      </c>
      <c r="E51" s="2466">
        <v>6.57</v>
      </c>
      <c r="F51" s="2466">
        <v>6.75</v>
      </c>
      <c r="G51" s="2466">
        <v>6.93</v>
      </c>
      <c r="H51" s="2466">
        <v>7.2</v>
      </c>
      <c r="I51" s="2466">
        <v>4.41</v>
      </c>
      <c r="J51" s="2466">
        <v>4.8600000000000003</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39159</v>
      </c>
      <c r="D52" s="2466">
        <v>5.67</v>
      </c>
      <c r="E52" s="2466">
        <v>6.39</v>
      </c>
      <c r="F52" s="2466">
        <v>6.57</v>
      </c>
      <c r="G52" s="2466">
        <v>6.75</v>
      </c>
      <c r="H52" s="2466">
        <v>7.11</v>
      </c>
      <c r="I52" s="2466">
        <v>4.32</v>
      </c>
      <c r="J52" s="2466">
        <v>4.7699999999999996</v>
      </c>
      <c r="L52" s="2466"/>
      <c r="M52" s="2467"/>
      <c r="N52" s="2466"/>
      <c r="O52" s="2466"/>
      <c r="P52" s="2466"/>
      <c r="Q52" s="2466"/>
      <c r="R52" s="2466"/>
      <c r="S52" s="2466"/>
      <c r="T52" s="2466"/>
      <c r="U52" s="2466"/>
      <c r="V52" s="2466"/>
      <c r="W52" s="2466"/>
      <c r="X52" s="2466"/>
      <c r="Y52" s="2466"/>
      <c r="Z52" s="2466"/>
    </row>
    <row r="53" spans="2:26">
      <c r="B53" s="2466"/>
      <c r="C53" s="2467">
        <v>38948</v>
      </c>
      <c r="D53" s="2466">
        <v>5.58</v>
      </c>
      <c r="E53" s="2466">
        <v>6.12</v>
      </c>
      <c r="F53" s="2466">
        <v>6.3</v>
      </c>
      <c r="G53" s="2466">
        <v>6.48</v>
      </c>
      <c r="H53" s="2466">
        <v>6.84</v>
      </c>
      <c r="I53" s="2466">
        <v>4.1399999999999997</v>
      </c>
      <c r="J53" s="2466">
        <v>4.59</v>
      </c>
      <c r="L53" s="2466"/>
      <c r="M53" s="2467"/>
      <c r="N53" s="2466"/>
      <c r="O53" s="2466"/>
      <c r="P53" s="2466"/>
      <c r="Q53" s="2466"/>
      <c r="R53" s="2466"/>
      <c r="S53" s="2466"/>
      <c r="T53" s="2466"/>
      <c r="U53" s="2466"/>
      <c r="V53" s="2466"/>
      <c r="W53" s="2466"/>
      <c r="X53" s="2466"/>
      <c r="Y53" s="2466"/>
      <c r="Z53" s="2466"/>
    </row>
    <row r="54" spans="2:26">
      <c r="B54" s="2466"/>
      <c r="C54" s="2467">
        <v>38835</v>
      </c>
      <c r="D54" s="2466">
        <v>5.4</v>
      </c>
      <c r="E54" s="2466">
        <v>5.85</v>
      </c>
      <c r="F54" s="2466">
        <v>6.03</v>
      </c>
      <c r="G54" s="2466">
        <v>6.12</v>
      </c>
      <c r="H54" s="2466">
        <v>6.39</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38428</v>
      </c>
      <c r="D55" s="2466">
        <v>5.22</v>
      </c>
      <c r="E55" s="2466">
        <v>5.58</v>
      </c>
      <c r="F55" s="2466">
        <v>5.76</v>
      </c>
      <c r="G55" s="2466">
        <v>5.85</v>
      </c>
      <c r="H55" s="2466">
        <v>6.12</v>
      </c>
      <c r="I55" s="2466">
        <v>3.96</v>
      </c>
      <c r="J55" s="2466">
        <v>4.41</v>
      </c>
      <c r="L55" s="2466"/>
      <c r="M55" s="2467"/>
      <c r="N55" s="2466"/>
      <c r="O55" s="2466"/>
      <c r="P55" s="2466"/>
      <c r="Q55" s="2466"/>
      <c r="R55" s="2466"/>
      <c r="S55" s="2466"/>
      <c r="T55" s="2466"/>
      <c r="U55" s="2466"/>
      <c r="V55" s="2466"/>
      <c r="W55" s="2466"/>
      <c r="X55" s="2466"/>
      <c r="Y55" s="2466"/>
      <c r="Z55" s="2466"/>
    </row>
    <row r="56" spans="2:26">
      <c r="B56" s="2466"/>
      <c r="C56" s="2467">
        <v>38289</v>
      </c>
      <c r="D56" s="2466">
        <v>5.22</v>
      </c>
      <c r="E56" s="2466">
        <v>5.58</v>
      </c>
      <c r="F56" s="2466">
        <v>5.76</v>
      </c>
      <c r="G56" s="2466">
        <v>5.85</v>
      </c>
      <c r="H56" s="2466">
        <v>6.12</v>
      </c>
      <c r="I56" s="2466">
        <v>3.78</v>
      </c>
      <c r="J56" s="2466">
        <v>4.2300000000000004</v>
      </c>
      <c r="L56" s="2466"/>
      <c r="M56" s="2467"/>
      <c r="N56" s="2466"/>
      <c r="O56" s="2466"/>
      <c r="P56" s="2466"/>
      <c r="Q56" s="2466"/>
      <c r="R56" s="2466"/>
      <c r="S56" s="2466"/>
      <c r="T56" s="2466"/>
      <c r="U56" s="2466"/>
      <c r="V56" s="2466"/>
      <c r="W56" s="2466"/>
      <c r="X56" s="2466"/>
      <c r="Y56" s="2466"/>
      <c r="Z56" s="2466"/>
    </row>
    <row r="57" spans="2:26">
      <c r="B57" s="2466"/>
      <c r="C57" s="2467">
        <v>37308</v>
      </c>
      <c r="D57" s="2466">
        <v>5.04</v>
      </c>
      <c r="E57" s="2466">
        <v>5.31</v>
      </c>
      <c r="F57" s="2466">
        <v>5.49</v>
      </c>
      <c r="G57" s="2466">
        <v>5.58</v>
      </c>
      <c r="H57" s="2466">
        <v>5.76</v>
      </c>
      <c r="I57" s="2466">
        <v>3.6</v>
      </c>
      <c r="J57" s="2466">
        <v>4.05</v>
      </c>
      <c r="L57" s="2466"/>
      <c r="M57" s="2467"/>
      <c r="N57" s="2466"/>
      <c r="O57" s="2466"/>
      <c r="P57" s="2466"/>
      <c r="Q57" s="2466"/>
      <c r="R57" s="2466"/>
      <c r="S57" s="2466"/>
      <c r="T57" s="2466"/>
      <c r="U57" s="2466"/>
      <c r="V57" s="2466"/>
      <c r="W57" s="2466"/>
      <c r="X57" s="2466"/>
      <c r="Y57" s="2466"/>
      <c r="Z57" s="2466"/>
    </row>
    <row r="58" spans="2:26">
      <c r="B58" s="2466"/>
      <c r="C58" s="2467">
        <v>36321</v>
      </c>
      <c r="D58" s="2466">
        <v>5.58</v>
      </c>
      <c r="E58" s="2466">
        <v>5.85</v>
      </c>
      <c r="F58" s="2466">
        <v>5.94</v>
      </c>
      <c r="G58" s="2466">
        <v>6.03</v>
      </c>
      <c r="H58" s="2466">
        <v>6.21</v>
      </c>
      <c r="I58" s="2466">
        <v>4.1399999999999997</v>
      </c>
      <c r="J58" s="2466">
        <v>4.59</v>
      </c>
    </row>
    <row r="59" spans="2:26">
      <c r="B59" s="2466"/>
      <c r="C59" s="2467">
        <v>36136</v>
      </c>
      <c r="D59" s="2466">
        <v>6.12</v>
      </c>
      <c r="E59" s="2466">
        <v>6.39</v>
      </c>
      <c r="F59" s="2466">
        <v>6.66</v>
      </c>
      <c r="G59" s="2466">
        <v>7.2</v>
      </c>
      <c r="H59" s="2466">
        <v>7.56</v>
      </c>
      <c r="I59" s="2466">
        <v>0</v>
      </c>
      <c r="J59" s="2466">
        <v>0</v>
      </c>
    </row>
    <row r="60" spans="2:26">
      <c r="B60" s="2466"/>
      <c r="C60" s="2467">
        <v>35977</v>
      </c>
      <c r="D60" s="2466">
        <v>6.57</v>
      </c>
      <c r="E60" s="2466">
        <v>6.93</v>
      </c>
      <c r="F60" s="2466">
        <v>7.11</v>
      </c>
      <c r="G60" s="2466">
        <v>7.65</v>
      </c>
      <c r="H60" s="2466">
        <v>8.01</v>
      </c>
      <c r="I60" s="2466">
        <v>0</v>
      </c>
      <c r="J60" s="2466">
        <v>0</v>
      </c>
    </row>
    <row r="61" spans="2:26">
      <c r="B61" s="2466"/>
      <c r="C61" s="2467">
        <v>35879</v>
      </c>
      <c r="D61" s="2466">
        <v>7.02</v>
      </c>
      <c r="E61" s="2466">
        <v>7.92</v>
      </c>
      <c r="F61" s="2466">
        <v>9</v>
      </c>
      <c r="G61" s="2466">
        <v>9.7200000000000006</v>
      </c>
      <c r="H61" s="2466">
        <v>10.35</v>
      </c>
      <c r="I61" s="2466">
        <v>0</v>
      </c>
      <c r="J61" s="2466">
        <v>0</v>
      </c>
    </row>
    <row r="62" spans="2:26">
      <c r="B62" s="2466"/>
      <c r="C62" s="2467">
        <v>35726</v>
      </c>
      <c r="D62" s="2466">
        <v>7.65</v>
      </c>
      <c r="E62" s="2466">
        <v>8.64</v>
      </c>
      <c r="F62" s="2466">
        <v>9.36</v>
      </c>
      <c r="G62" s="2466">
        <v>9.9</v>
      </c>
      <c r="H62" s="2466">
        <v>10.53</v>
      </c>
      <c r="I62" s="2466">
        <v>0</v>
      </c>
      <c r="J62" s="2466">
        <v>0</v>
      </c>
    </row>
    <row r="63" spans="2:26">
      <c r="B63" s="2466"/>
      <c r="C63" s="2467">
        <v>35300</v>
      </c>
      <c r="D63" s="2466">
        <v>9.18</v>
      </c>
      <c r="E63" s="2466">
        <v>10.08</v>
      </c>
      <c r="F63" s="2466">
        <v>10.98</v>
      </c>
      <c r="G63" s="2466">
        <v>11.7</v>
      </c>
      <c r="H63" s="2466">
        <v>12.42</v>
      </c>
      <c r="I63" s="2466">
        <v>0</v>
      </c>
      <c r="J63" s="2466">
        <v>0</v>
      </c>
    </row>
    <row r="64" spans="2:26">
      <c r="B64" s="2466"/>
      <c r="C64" s="2467">
        <v>35186</v>
      </c>
      <c r="D64" s="2466">
        <v>9.7200000000000006</v>
      </c>
      <c r="E64" s="2466">
        <v>10.98</v>
      </c>
      <c r="F64" s="2466">
        <v>13.14</v>
      </c>
      <c r="G64" s="2466">
        <v>14.94</v>
      </c>
      <c r="H64" s="2466">
        <v>15.12</v>
      </c>
      <c r="I64" s="2466">
        <v>0</v>
      </c>
      <c r="J64" s="2466">
        <v>0</v>
      </c>
    </row>
    <row r="65" spans="2:10">
      <c r="B65" s="2466"/>
      <c r="C65" s="2467">
        <v>34881</v>
      </c>
      <c r="D65" s="2466">
        <v>10.08</v>
      </c>
      <c r="E65" s="2466">
        <v>12.06</v>
      </c>
      <c r="F65" s="2466">
        <v>13.5</v>
      </c>
      <c r="G65" s="2466">
        <v>15.12</v>
      </c>
      <c r="H65" s="2466">
        <v>15.3</v>
      </c>
      <c r="I65" s="2466">
        <v>0</v>
      </c>
      <c r="J65" s="2466">
        <v>0</v>
      </c>
    </row>
    <row r="66" spans="2:10">
      <c r="B66" s="2466"/>
      <c r="C66" s="2467">
        <v>34700</v>
      </c>
      <c r="D66" s="2466">
        <v>9</v>
      </c>
      <c r="E66" s="2466">
        <v>10.98</v>
      </c>
      <c r="F66" s="2466">
        <v>12.96</v>
      </c>
      <c r="G66" s="2466">
        <v>14.58</v>
      </c>
      <c r="H66" s="2466">
        <v>14.76</v>
      </c>
      <c r="I66" s="2466">
        <v>0</v>
      </c>
      <c r="J66" s="2466">
        <v>0</v>
      </c>
    </row>
    <row r="67" spans="2:10">
      <c r="B67" s="2466"/>
      <c r="C67" s="2467">
        <v>34161</v>
      </c>
      <c r="D67" s="2466">
        <v>9</v>
      </c>
      <c r="E67" s="2466">
        <v>10.98</v>
      </c>
      <c r="F67" s="2466">
        <v>12.24</v>
      </c>
      <c r="G67" s="2466">
        <v>13.86</v>
      </c>
      <c r="H67" s="2466">
        <v>14.04</v>
      </c>
      <c r="I67" s="2466">
        <v>0</v>
      </c>
      <c r="J67" s="2466">
        <v>0</v>
      </c>
    </row>
    <row r="68" spans="2:10">
      <c r="B68" s="2466"/>
      <c r="C68" s="2467">
        <v>34104</v>
      </c>
      <c r="D68" s="2466">
        <v>8.82</v>
      </c>
      <c r="E68" s="2466">
        <v>9.36</v>
      </c>
      <c r="F68" s="2466">
        <v>10.8</v>
      </c>
      <c r="G68" s="2466">
        <v>12.06</v>
      </c>
      <c r="H68" s="2466">
        <v>12.24</v>
      </c>
      <c r="I68" s="2466">
        <v>0</v>
      </c>
      <c r="J68" s="2466">
        <v>0</v>
      </c>
    </row>
    <row r="69" spans="2:10">
      <c r="B69" s="2466"/>
      <c r="C69" s="2467">
        <v>33349</v>
      </c>
      <c r="D69" s="2466">
        <v>8.1</v>
      </c>
      <c r="E69" s="2466">
        <v>8.64</v>
      </c>
      <c r="F69" s="2466">
        <v>9</v>
      </c>
      <c r="G69" s="2466">
        <v>9.5399999999999991</v>
      </c>
      <c r="H69" s="2466">
        <v>9.7200000000000006</v>
      </c>
      <c r="I69" s="2466">
        <v>0</v>
      </c>
      <c r="J69" s="2466">
        <v>0</v>
      </c>
    </row>
    <row r="70" spans="2:10">
      <c r="B70" s="2466"/>
      <c r="C70" s="2467">
        <v>33318</v>
      </c>
      <c r="D70" s="2466">
        <v>9</v>
      </c>
      <c r="E70" s="2466">
        <v>10.08</v>
      </c>
      <c r="F70" s="2466">
        <v>10.8</v>
      </c>
      <c r="G70" s="2466">
        <v>11.52</v>
      </c>
      <c r="H70" s="2466">
        <v>11.88</v>
      </c>
      <c r="I70" s="2466" t="s">
        <v>2095</v>
      </c>
      <c r="J70" s="2466" t="s">
        <v>2095</v>
      </c>
    </row>
    <row r="71" spans="2:10">
      <c r="B71" s="2466"/>
      <c r="C71" s="2467">
        <v>33106</v>
      </c>
      <c r="D71" s="2466">
        <v>8.64</v>
      </c>
      <c r="E71" s="2466">
        <v>9.36</v>
      </c>
      <c r="F71" s="2466">
        <v>10.08</v>
      </c>
      <c r="G71" s="2466">
        <v>10.8</v>
      </c>
      <c r="H71" s="2466">
        <v>11.16</v>
      </c>
      <c r="I71" s="2466">
        <v>0</v>
      </c>
      <c r="J71" s="2466">
        <v>0</v>
      </c>
    </row>
    <row r="72" spans="2:10">
      <c r="B72" s="2466"/>
      <c r="C72" s="2467">
        <v>32540</v>
      </c>
      <c r="D72" s="2466">
        <v>11.34</v>
      </c>
      <c r="E72" s="2466">
        <v>11.34</v>
      </c>
      <c r="F72" s="2466">
        <v>12.78</v>
      </c>
      <c r="G72" s="2466">
        <v>14.4</v>
      </c>
      <c r="H72" s="2466">
        <v>19.260000000000002</v>
      </c>
      <c r="I72" s="2466">
        <v>0</v>
      </c>
      <c r="J72" s="2466">
        <v>0</v>
      </c>
    </row>
    <row r="73" spans="2:10">
      <c r="B73" s="2466"/>
      <c r="C73" s="2467"/>
      <c r="D73" s="2466"/>
      <c r="E73" s="2466"/>
      <c r="F73" s="2466"/>
      <c r="G73" s="2466"/>
      <c r="H73" s="2466"/>
      <c r="I73" s="2466"/>
      <c r="J73" s="2466"/>
    </row>
    <row r="74" spans="2:10">
      <c r="B74" s="2469"/>
      <c r="C74" s="2470"/>
      <c r="D74" s="2469"/>
      <c r="E74" s="2469"/>
      <c r="F74" s="2469"/>
      <c r="G74" s="2469"/>
      <c r="H74" s="2469"/>
      <c r="I74" s="2469"/>
      <c r="J74" s="2469"/>
    </row>
    <row r="75" spans="2:10">
      <c r="B75" s="2469"/>
      <c r="C75" s="2470"/>
      <c r="D75" s="2469"/>
      <c r="E75" s="2469"/>
      <c r="F75" s="2469"/>
      <c r="G75" s="2469"/>
      <c r="H75" s="2469"/>
      <c r="I75" s="2469"/>
      <c r="J75" s="2469"/>
    </row>
    <row r="76" spans="2:10">
      <c r="B76" s="2469"/>
      <c r="C76" s="2470"/>
      <c r="D76" s="2469"/>
      <c r="E76" s="2469"/>
      <c r="F76" s="2469"/>
      <c r="G76" s="2469"/>
      <c r="H76" s="2469"/>
      <c r="I76" s="2469"/>
      <c r="J76" s="2469"/>
    </row>
    <row r="77" spans="2:10">
      <c r="B77" s="2417"/>
      <c r="C77" s="2417"/>
      <c r="D77" s="2417"/>
      <c r="E77" s="2417"/>
      <c r="F77" s="2417"/>
      <c r="G77" s="2417"/>
      <c r="H77" s="2417"/>
      <c r="I77" s="2417"/>
      <c r="J77" s="2417"/>
    </row>
    <row r="78" spans="2:10">
      <c r="B78" s="2417"/>
      <c r="C78" s="2417"/>
      <c r="D78" s="2417"/>
      <c r="E78" s="2417"/>
      <c r="F78" s="2417"/>
      <c r="G78" s="2417"/>
      <c r="H78" s="2417"/>
      <c r="I78" s="2417"/>
      <c r="J78"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17" t="s">
        <v>1556</v>
      </c>
      <c r="B1" s="3717"/>
      <c r="C1" s="3717"/>
      <c r="D1" s="3717"/>
      <c r="E1" s="3717"/>
      <c r="F1" s="3717"/>
      <c r="G1" s="3717"/>
      <c r="H1" s="3717"/>
      <c r="I1" s="3717"/>
      <c r="J1" s="3717"/>
      <c r="K1" s="3717"/>
      <c r="L1" s="3717"/>
      <c r="M1" s="3717"/>
      <c r="N1" s="3717"/>
      <c r="O1" s="3717"/>
      <c r="P1" s="3717"/>
      <c r="Q1" s="3717"/>
      <c r="R1" s="3717"/>
    </row>
    <row r="2" spans="1:18">
      <c r="A2" s="1593" t="s">
        <v>1558</v>
      </c>
      <c r="B2" s="1593"/>
      <c r="C2" s="1593"/>
      <c r="D2" s="1593"/>
      <c r="E2" s="1593"/>
      <c r="F2" s="1593"/>
      <c r="G2" s="1593"/>
      <c r="H2" s="1593"/>
      <c r="I2" s="1594"/>
      <c r="J2" s="1594"/>
      <c r="K2" s="1595" t="str">
        <f>"估价期日："&amp;TEXT(项目基本情况!D3,"yyyy年m月d日;;")</f>
        <v>估价期日：2025年7月1日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18" t="s">
        <v>1547</v>
      </c>
      <c r="B3" s="3718" t="s">
        <v>2013</v>
      </c>
      <c r="C3" s="3719" t="s">
        <v>1548</v>
      </c>
      <c r="D3" s="3718" t="s">
        <v>2017</v>
      </c>
      <c r="E3" s="3713" t="s">
        <v>1549</v>
      </c>
      <c r="F3" s="3713"/>
      <c r="G3" s="3713"/>
      <c r="H3" s="3713" t="s">
        <v>1550</v>
      </c>
      <c r="I3" s="3713"/>
      <c r="J3" s="3713"/>
      <c r="K3" s="3719" t="s">
        <v>1551</v>
      </c>
      <c r="L3" s="3719" t="s">
        <v>1552</v>
      </c>
      <c r="M3" s="3718" t="s">
        <v>2014</v>
      </c>
      <c r="N3" s="3720" t="str">
        <f>"（分摊）"&amp;项目基本情况!A17&amp;"国有建设用地使用权面积/㎡"</f>
        <v>（分摊）出让国有建设用地使用权面积/㎡</v>
      </c>
      <c r="O3" s="3718" t="s">
        <v>1581</v>
      </c>
      <c r="P3" s="3719" t="s">
        <v>1561</v>
      </c>
      <c r="Q3" s="3719" t="s">
        <v>1582</v>
      </c>
      <c r="R3" s="3719" t="s">
        <v>1553</v>
      </c>
    </row>
    <row r="4" spans="1:18" ht="36.75" customHeight="1">
      <c r="A4" s="3718"/>
      <c r="B4" s="3718"/>
      <c r="C4" s="3719"/>
      <c r="D4" s="3718"/>
      <c r="E4" s="2251" t="s">
        <v>1560</v>
      </c>
      <c r="F4" s="2251" t="s">
        <v>2026</v>
      </c>
      <c r="G4" s="2251" t="s">
        <v>1554</v>
      </c>
      <c r="H4" s="2251" t="s">
        <v>1555</v>
      </c>
      <c r="I4" s="2251" t="s">
        <v>2027</v>
      </c>
      <c r="J4" s="2251" t="s">
        <v>1554</v>
      </c>
      <c r="K4" s="3719"/>
      <c r="L4" s="3719"/>
      <c r="M4" s="3718"/>
      <c r="N4" s="3720"/>
      <c r="O4" s="3718"/>
      <c r="P4" s="3719"/>
      <c r="Q4" s="3719"/>
      <c r="R4" s="3719"/>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f>IF(项目基本情况!A17="出让",项目基本情况!D20,"——")</f>
        <v>0</v>
      </c>
      <c r="N5" s="1596">
        <f>项目基本情况!C22</f>
        <v>271.94</v>
      </c>
      <c r="O5" s="1596">
        <f>项目基本情况!C21</f>
        <v>543.88</v>
      </c>
      <c r="P5" s="1596">
        <f ca="1">结果表!E42</f>
        <v>16952</v>
      </c>
      <c r="Q5" s="1596">
        <f ca="1">结果表!D42</f>
        <v>8476</v>
      </c>
      <c r="R5" s="1597">
        <f ca="1">结果表!C42</f>
        <v>461</v>
      </c>
    </row>
    <row r="6" spans="1:18">
      <c r="A6" s="3714" t="str">
        <f>IF(项目基本情况!B9="市场价格","——","抵押价格")</f>
        <v>——</v>
      </c>
      <c r="B6" s="3715"/>
      <c r="C6" s="3715"/>
      <c r="D6" s="3715"/>
      <c r="E6" s="3715"/>
      <c r="F6" s="3715"/>
      <c r="G6" s="3715"/>
      <c r="H6" s="3715"/>
      <c r="I6" s="3715"/>
      <c r="J6" s="3715"/>
      <c r="K6" s="3715"/>
      <c r="L6" s="3715"/>
      <c r="M6" s="3715"/>
      <c r="N6" s="3715"/>
      <c r="O6" s="3715"/>
      <c r="P6" s="3715"/>
      <c r="Q6" s="3716"/>
      <c r="R6" s="1598" t="str">
        <f>结果表!O39</f>
        <v>——</v>
      </c>
    </row>
    <row r="7" spans="1:18">
      <c r="A7" s="3714" t="str">
        <f>IF(项目基本情况!B9="市场价格","——",IF(项目基本情况!E8="已注销及未注销","抵押担保权已注销时的抵押价格","——"))</f>
        <v>——</v>
      </c>
      <c r="B7" s="3715"/>
      <c r="C7" s="3715"/>
      <c r="D7" s="3715"/>
      <c r="E7" s="3715"/>
      <c r="F7" s="3715"/>
      <c r="G7" s="3715"/>
      <c r="H7" s="3715"/>
      <c r="I7" s="3715"/>
      <c r="J7" s="3715"/>
      <c r="K7" s="3715"/>
      <c r="L7" s="3715"/>
      <c r="M7" s="3715"/>
      <c r="N7" s="3715"/>
      <c r="O7" s="3715"/>
      <c r="P7" s="3715"/>
      <c r="Q7" s="3716"/>
      <c r="R7" s="1598" t="str">
        <f>结果表!O40</f>
        <v>——</v>
      </c>
    </row>
    <row r="8" spans="1:18">
      <c r="A8" s="3714" t="str">
        <f>IF(项目基本情况!B9="市场价格","——",项目基本情况!E9)</f>
        <v>——</v>
      </c>
      <c r="B8" s="3715"/>
      <c r="C8" s="3715"/>
      <c r="D8" s="3715"/>
      <c r="E8" s="3715"/>
      <c r="F8" s="3715"/>
      <c r="G8" s="3715"/>
      <c r="H8" s="3715"/>
      <c r="I8" s="3715"/>
      <c r="J8" s="3715"/>
      <c r="K8" s="3715"/>
      <c r="L8" s="3715"/>
      <c r="M8" s="3715"/>
      <c r="N8" s="3715"/>
      <c r="O8" s="3715"/>
      <c r="P8" s="3715"/>
      <c r="Q8" s="3716"/>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8" customWidth="1"/>
    <col min="2" max="3" width="21.33203125" style="1588" customWidth="1"/>
    <col min="4" max="4" width="19.88671875" style="1588" customWidth="1"/>
    <col min="5" max="16384" width="9" style="1588"/>
  </cols>
  <sheetData>
    <row r="1" spans="1:4">
      <c r="A1" s="3721" t="s">
        <v>1583</v>
      </c>
      <c r="B1" s="3721"/>
      <c r="C1" s="3721"/>
      <c r="D1" s="3721"/>
    </row>
    <row r="2" spans="1:4" ht="47.25" customHeight="1">
      <c r="A2" s="3725" t="str">
        <f>"1.权利限制："&amp;项目基本情况!L24&amp;"未设定租赁等其他他项权利。"</f>
        <v>1.权利限制：根据估价对象《不动产权证书》原件、《国有土地使用权》复印件，截至估价期日，估价对象抵押权未见登记。未设定租赁等其他他项权利。</v>
      </c>
      <c r="B2" s="3725"/>
      <c r="C2" s="3725"/>
      <c r="D2" s="3725"/>
    </row>
    <row r="3" spans="1:4" ht="48" customHeight="1">
      <c r="A3" s="37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4" t="s">
        <v>1584</v>
      </c>
      <c r="B5" s="3724"/>
      <c r="C5" s="3724"/>
      <c r="D5" s="3724"/>
    </row>
    <row r="6" spans="1:4">
      <c r="A6" s="3721" t="s">
        <v>1562</v>
      </c>
      <c r="B6" s="3721"/>
      <c r="C6" s="3721"/>
      <c r="D6" s="3721"/>
    </row>
    <row r="7" spans="1:4" ht="33" customHeight="1">
      <c r="A7" s="3721" t="s">
        <v>1857</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1"/>
      <c r="C8" s="3721"/>
      <c r="D8" s="3721"/>
    </row>
    <row r="9" spans="1:4" ht="33.75" customHeight="1">
      <c r="A9" s="3721" t="str">
        <f>IF(项目基本情况!B8="抵押","3.抵押双方在办理抵押登记手续时，应使用本公司出具的正式《土地估价报告》，特提请报告使用者注意。","——")</f>
        <v>——</v>
      </c>
      <c r="B9" s="3721"/>
      <c r="C9" s="3721"/>
      <c r="D9" s="3721"/>
    </row>
    <row r="10" spans="1:4">
      <c r="A10" s="3721" t="str">
        <f>IF(项目基本情况!B8="抵押","4.估价师所知悉的法定优先受偿款情况为：","——")</f>
        <v>——</v>
      </c>
      <c r="B10" s="3721"/>
      <c r="C10" s="3721"/>
      <c r="D10" s="3721"/>
    </row>
    <row r="11" spans="1:4" ht="37.5" customHeight="1">
      <c r="A11" s="3723" t="str">
        <f>IF(项目基本情况!B8="抵押","（1）"&amp;CONCATENATE(项目基本情况!L24,项目基本情况!L25,项目基本情况!L26),"——")</f>
        <v>——</v>
      </c>
      <c r="B11" s="3723"/>
      <c r="C11" s="3723"/>
      <c r="D11" s="3723"/>
    </row>
    <row r="12" spans="1:4" ht="168" customHeight="1">
      <c r="A12" s="3724" t="s">
        <v>1586</v>
      </c>
      <c r="B12" s="3724"/>
      <c r="C12" s="3724"/>
      <c r="D12" s="3724"/>
    </row>
    <row r="13" spans="1:4">
      <c r="A13" s="3722" t="s">
        <v>2028</v>
      </c>
      <c r="B13" s="3722"/>
      <c r="C13" s="3722"/>
      <c r="D13" s="3722"/>
    </row>
    <row r="14" spans="1:4">
      <c r="A14" s="3723" t="str">
        <f>IF(项目基本情况!B8="抵押","综上，"&amp;结果表!K47,"——")</f>
        <v>——</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1984</v>
      </c>
      <c r="B17" s="3721"/>
      <c r="C17" s="3721"/>
      <c r="D17" s="3721"/>
    </row>
    <row r="18" spans="1:4">
      <c r="A18" s="3721" t="s">
        <v>1976</v>
      </c>
      <c r="B18" s="3721"/>
      <c r="C18" s="3721"/>
      <c r="D18" s="3721"/>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721" t="s">
        <v>1981</v>
      </c>
      <c r="B23" s="3721"/>
      <c r="C23" s="3721"/>
      <c r="D23" s="3721"/>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1" customWidth="1"/>
    <col min="2" max="16384" width="14.44140625" style="1059"/>
  </cols>
  <sheetData>
    <row r="1" spans="1:7" s="1057" customFormat="1" ht="17.399999999999999">
      <c r="A1" s="1056" t="s">
        <v>39</v>
      </c>
    </row>
    <row r="3" spans="1:7">
      <c r="A3" s="1058" t="s">
        <v>40</v>
      </c>
      <c r="B3" s="1059" t="s">
        <v>41</v>
      </c>
      <c r="G3" s="1060"/>
    </row>
    <row r="4" spans="1:7">
      <c r="G4" s="1060"/>
    </row>
    <row r="5" spans="1:7">
      <c r="A5" s="1062" t="s">
        <v>19</v>
      </c>
      <c r="B5" s="1059" t="s">
        <v>20</v>
      </c>
      <c r="G5" s="1060"/>
    </row>
    <row r="6" spans="1:7">
      <c r="G6" s="1060"/>
    </row>
    <row r="7" spans="1:7">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4">
      <c r="A15" s="3733" t="s">
        <v>27</v>
      </c>
      <c r="B15" s="3734" t="s">
        <v>784</v>
      </c>
      <c r="C15" s="3730"/>
    </row>
    <row r="16" spans="1:7" ht="14.4">
      <c r="A16" s="3733"/>
      <c r="B16" s="3731" t="s">
        <v>28</v>
      </c>
      <c r="C16" s="1068" t="s">
        <v>27</v>
      </c>
    </row>
    <row r="17" spans="1:3" ht="14.4">
      <c r="A17" s="3733"/>
      <c r="B17" s="3731"/>
      <c r="C17" s="1068" t="s">
        <v>29</v>
      </c>
    </row>
    <row r="18" spans="1:3" ht="14.4">
      <c r="A18" s="3733"/>
      <c r="B18" s="3731"/>
      <c r="C18" s="1068" t="s">
        <v>30</v>
      </c>
    </row>
    <row r="19" spans="1:3" ht="14.4">
      <c r="A19" s="3733"/>
      <c r="B19" s="3729" t="s">
        <v>31</v>
      </c>
      <c r="C19" s="3730"/>
    </row>
    <row r="20" spans="1:3" ht="14.4">
      <c r="A20" s="1069" t="s">
        <v>32</v>
      </c>
      <c r="B20" s="1070"/>
      <c r="C20" s="1071"/>
    </row>
    <row r="21" spans="1:3" ht="14.4">
      <c r="A21" s="3732" t="s">
        <v>33</v>
      </c>
      <c r="B21" s="3729" t="s">
        <v>34</v>
      </c>
      <c r="C21" s="3730"/>
    </row>
    <row r="22" spans="1:3" ht="14.4">
      <c r="A22" s="3732"/>
      <c r="B22" s="3729" t="s">
        <v>35</v>
      </c>
      <c r="C22" s="3730"/>
    </row>
    <row r="23" spans="1:3" ht="14.4">
      <c r="A23" s="3732"/>
      <c r="B23" s="3729" t="s">
        <v>36</v>
      </c>
      <c r="C23" s="3730"/>
    </row>
    <row r="24" spans="1:3" ht="14.4">
      <c r="A24" s="3732"/>
      <c r="B24" s="3735" t="s">
        <v>37</v>
      </c>
      <c r="C24" s="1072" t="s">
        <v>775</v>
      </c>
    </row>
    <row r="25" spans="1:3" ht="14.4">
      <c r="A25" s="3732"/>
      <c r="B25" s="3736"/>
      <c r="C25" s="1072" t="s">
        <v>776</v>
      </c>
    </row>
    <row r="26" spans="1:3" ht="14.4">
      <c r="A26" s="3732"/>
      <c r="B26" s="3736"/>
      <c r="C26" s="1072" t="s">
        <v>777</v>
      </c>
    </row>
    <row r="27" spans="1:3" ht="14.4">
      <c r="A27" s="3732"/>
      <c r="B27" s="3736"/>
      <c r="C27" s="1072" t="s">
        <v>778</v>
      </c>
    </row>
    <row r="28" spans="1:3" ht="14.4">
      <c r="A28" s="3732"/>
      <c r="B28" s="3736"/>
      <c r="C28" s="1072" t="s">
        <v>779</v>
      </c>
    </row>
    <row r="29" spans="1:3" ht="14.4">
      <c r="A29" s="3732"/>
      <c r="B29" s="3736"/>
      <c r="C29" s="1072" t="s">
        <v>780</v>
      </c>
    </row>
    <row r="30" spans="1:3" ht="14.4">
      <c r="A30" s="3732"/>
      <c r="B30" s="3736"/>
      <c r="C30" s="1072" t="s">
        <v>781</v>
      </c>
    </row>
    <row r="31" spans="1:3" ht="14.4">
      <c r="A31" s="3732"/>
      <c r="B31" s="3736"/>
      <c r="C31" s="1072" t="s">
        <v>782</v>
      </c>
    </row>
    <row r="32" spans="1:3" ht="14.4">
      <c r="A32" s="3732"/>
      <c r="B32" s="3736"/>
      <c r="C32" s="1072" t="s">
        <v>1181</v>
      </c>
    </row>
    <row r="33" spans="1:3" ht="14.4">
      <c r="A33" s="3732"/>
      <c r="B33" s="3726" t="s">
        <v>1187</v>
      </c>
      <c r="C33" s="1072" t="s">
        <v>1182</v>
      </c>
    </row>
    <row r="34" spans="1:3" ht="14.4">
      <c r="A34" s="3732"/>
      <c r="B34" s="3727"/>
      <c r="C34" s="1077" t="s">
        <v>1183</v>
      </c>
    </row>
    <row r="35" spans="1:3" ht="14.4">
      <c r="A35" s="3732"/>
      <c r="B35" s="3727"/>
      <c r="C35" s="1078" t="s">
        <v>1184</v>
      </c>
    </row>
    <row r="36" spans="1:3" ht="14.4">
      <c r="A36" s="3732"/>
      <c r="B36" s="3727"/>
      <c r="C36" s="1078" t="s">
        <v>1185</v>
      </c>
    </row>
    <row r="37" spans="1:3" ht="14.4">
      <c r="A37" s="3732"/>
      <c r="B37" s="3728"/>
      <c r="C37" s="1079" t="s">
        <v>1186</v>
      </c>
    </row>
    <row r="38" spans="1:3">
      <c r="A38" s="1073" t="s">
        <v>783</v>
      </c>
    </row>
    <row r="41" spans="1:3">
      <c r="A41" s="1073" t="s">
        <v>42</v>
      </c>
    </row>
    <row r="42" spans="1:3" ht="14.4">
      <c r="A42" s="1074" t="s">
        <v>791</v>
      </c>
    </row>
    <row r="43" spans="1:3" ht="14.4">
      <c r="A43" s="1075" t="s">
        <v>43</v>
      </c>
    </row>
    <row r="44" spans="1:3" ht="14.4">
      <c r="A44" s="1074" t="s">
        <v>790</v>
      </c>
    </row>
    <row r="45" spans="1:3" ht="14.4">
      <c r="A45" s="1076" t="s">
        <v>792</v>
      </c>
    </row>
    <row r="46" spans="1:3" ht="14.4">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45876</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t="str">
        <f ca="1">IF(C9&lt;B2,"已过期",1120060040)</f>
        <v>已过期</v>
      </c>
      <c r="C9" s="2773">
        <v>45592</v>
      </c>
      <c r="D9" s="2781" t="s">
        <v>1443</v>
      </c>
      <c r="E9" s="2770">
        <f ca="1">IF(F9&lt;B2,"已过期",2004110096)</f>
        <v>2004110096</v>
      </c>
      <c r="F9" s="2772">
        <v>47118</v>
      </c>
      <c r="G9" s="2765"/>
    </row>
    <row r="10" spans="1:7" ht="20.25" customHeight="1">
      <c r="A10" s="2770" t="s">
        <v>1444</v>
      </c>
      <c r="B10" s="2770" t="str">
        <f ca="1">IF(C10&lt;B2,"已过期",1120100036)</f>
        <v>已过期</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2447</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40" t="s">
        <v>1448</v>
      </c>
      <c r="B18" s="3741"/>
      <c r="C18" s="3741"/>
      <c r="D18" s="3741"/>
      <c r="E18" s="3741"/>
      <c r="F18" s="3741"/>
      <c r="G18" s="2774"/>
    </row>
    <row r="19" spans="1:7" ht="20.25" customHeight="1">
      <c r="A19" s="3737" t="s">
        <v>1449</v>
      </c>
      <c r="B19" s="3737"/>
      <c r="C19" s="3738"/>
      <c r="D19" s="3739" t="s">
        <v>1450</v>
      </c>
      <c r="E19" s="3737"/>
      <c r="F19" s="3737"/>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2448</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81" customWidth="1"/>
    <col min="2" max="2" width="18.88671875" style="1059"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59"/>
  </cols>
  <sheetData>
    <row r="1" spans="1:28" s="1080" customFormat="1" ht="43.2">
      <c r="A1" s="927" t="s">
        <v>794</v>
      </c>
      <c r="B1" s="3" t="s">
        <v>99</v>
      </c>
      <c r="C1" s="1365"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c r="X1" s="3686" t="s">
        <v>3322</v>
      </c>
      <c r="Y1" s="3686" t="s">
        <v>3323</v>
      </c>
      <c r="Z1" s="3686" t="s">
        <v>3326</v>
      </c>
      <c r="AA1" s="3686" t="s">
        <v>3324</v>
      </c>
      <c r="AB1" s="3686" t="s">
        <v>3325</v>
      </c>
    </row>
    <row r="2" spans="1:28" ht="14.4">
      <c r="A2" s="6" t="s">
        <v>47</v>
      </c>
      <c r="B2" s="6" t="s">
        <v>116</v>
      </c>
      <c r="C2" s="1366"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7"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c r="X3" s="9" t="s">
        <v>2462</v>
      </c>
      <c r="Z3" s="9" t="s">
        <v>2476</v>
      </c>
      <c r="AB3" s="9" t="s">
        <v>2506</v>
      </c>
    </row>
    <row r="4" spans="1:28" ht="14.4">
      <c r="A4" s="6" t="s">
        <v>60</v>
      </c>
      <c r="B4" s="6" t="s">
        <v>118</v>
      </c>
      <c r="C4" s="1366"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c r="X4" s="9" t="s">
        <v>2464</v>
      </c>
      <c r="Z4" s="9" t="s">
        <v>2478</v>
      </c>
      <c r="AB4" s="9" t="s">
        <v>2508</v>
      </c>
    </row>
    <row r="5" spans="1:28" ht="14.4">
      <c r="A5" s="6" t="s">
        <v>66</v>
      </c>
      <c r="B5" s="6" t="s">
        <v>119</v>
      </c>
      <c r="C5" s="1366"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c r="X5" s="9" t="s">
        <v>2466</v>
      </c>
      <c r="Z5" s="9" t="s">
        <v>2480</v>
      </c>
      <c r="AB5" s="9" t="s">
        <v>2764</v>
      </c>
    </row>
    <row r="6" spans="1:28" ht="14.4">
      <c r="A6" s="6" t="s">
        <v>70</v>
      </c>
      <c r="B6" s="1046" t="s">
        <v>1176</v>
      </c>
      <c r="C6" s="1368"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c r="X6" s="9" t="s">
        <v>2468</v>
      </c>
      <c r="Z6" s="9" t="s">
        <v>2482</v>
      </c>
      <c r="AB6" s="9" t="s">
        <v>2512</v>
      </c>
    </row>
    <row r="7" spans="1:28" ht="14.4">
      <c r="A7" s="6" t="s">
        <v>72</v>
      </c>
      <c r="B7" s="6" t="s">
        <v>73</v>
      </c>
      <c r="C7" s="1366" t="s">
        <v>1243</v>
      </c>
      <c r="F7" s="7" t="s">
        <v>120</v>
      </c>
      <c r="H7" s="7" t="s">
        <v>74</v>
      </c>
      <c r="I7" s="7" t="s">
        <v>2751</v>
      </c>
      <c r="X7" s="9" t="s">
        <v>2470</v>
      </c>
      <c r="Z7" s="9" t="s">
        <v>2484</v>
      </c>
      <c r="AB7" s="9" t="s">
        <v>2514</v>
      </c>
    </row>
    <row r="8" spans="1:28" ht="14.4">
      <c r="A8" s="6" t="s">
        <v>75</v>
      </c>
      <c r="B8" s="6" t="s">
        <v>76</v>
      </c>
      <c r="C8" s="1366" t="s">
        <v>1244</v>
      </c>
      <c r="F8" s="7" t="s">
        <v>121</v>
      </c>
      <c r="H8" s="3332" t="s">
        <v>2745</v>
      </c>
      <c r="I8" s="7" t="s">
        <v>2752</v>
      </c>
      <c r="X8" s="9" t="s">
        <v>3316</v>
      </c>
      <c r="Z8" s="9" t="s">
        <v>2486</v>
      </c>
      <c r="AB8" s="9" t="s">
        <v>2516</v>
      </c>
    </row>
    <row r="9" spans="1:28" ht="14.4">
      <c r="A9" s="6" t="s">
        <v>77</v>
      </c>
      <c r="B9" s="6" t="s">
        <v>122</v>
      </c>
      <c r="C9" s="1366" t="s">
        <v>1245</v>
      </c>
      <c r="F9" s="7" t="s">
        <v>78</v>
      </c>
      <c r="H9" s="7"/>
      <c r="I9" s="7" t="s">
        <v>2753</v>
      </c>
      <c r="X9" s="9" t="s">
        <v>3318</v>
      </c>
      <c r="Z9" s="9" t="s">
        <v>2488</v>
      </c>
      <c r="AB9" s="9" t="s">
        <v>2518</v>
      </c>
    </row>
    <row r="10" spans="1:28" ht="14.4">
      <c r="A10" s="6" t="s">
        <v>79</v>
      </c>
      <c r="B10" s="6" t="s">
        <v>123</v>
      </c>
      <c r="C10" s="1366" t="s">
        <v>1246</v>
      </c>
      <c r="F10" s="3332" t="s">
        <v>2744</v>
      </c>
      <c r="I10" s="7" t="s">
        <v>2754</v>
      </c>
      <c r="Z10" s="9" t="s">
        <v>2490</v>
      </c>
      <c r="AB10" s="9" t="s">
        <v>2520</v>
      </c>
    </row>
    <row r="11" spans="1:28" ht="14.4">
      <c r="A11" s="6" t="s">
        <v>80</v>
      </c>
      <c r="B11" s="6" t="s">
        <v>124</v>
      </c>
      <c r="C11" s="1366" t="s">
        <v>1247</v>
      </c>
      <c r="I11" s="7" t="s">
        <v>2755</v>
      </c>
      <c r="Z11" s="9" t="s">
        <v>2492</v>
      </c>
      <c r="AB11" s="9" t="s">
        <v>2522</v>
      </c>
    </row>
    <row r="12" spans="1:28" ht="14.4">
      <c r="A12" s="6" t="s">
        <v>81</v>
      </c>
      <c r="B12" s="6" t="s">
        <v>125</v>
      </c>
      <c r="C12" s="1366" t="s">
        <v>1248</v>
      </c>
      <c r="I12" s="7" t="s">
        <v>2756</v>
      </c>
      <c r="Z12" s="9" t="s">
        <v>2495</v>
      </c>
      <c r="AB12" s="9" t="s">
        <v>2524</v>
      </c>
    </row>
    <row r="13" spans="1:28" ht="14.4">
      <c r="A13" s="6" t="s">
        <v>82</v>
      </c>
      <c r="B13" s="6" t="s">
        <v>126</v>
      </c>
      <c r="C13" s="1366" t="s">
        <v>1249</v>
      </c>
      <c r="I13" s="7" t="s">
        <v>2757</v>
      </c>
      <c r="Z13" s="9" t="s">
        <v>2497</v>
      </c>
    </row>
    <row r="14" spans="1:28" ht="14.4">
      <c r="A14" s="6" t="s">
        <v>83</v>
      </c>
      <c r="B14" s="6" t="s">
        <v>127</v>
      </c>
      <c r="C14" s="1369" t="s">
        <v>1421</v>
      </c>
      <c r="I14" s="7" t="s">
        <v>2758</v>
      </c>
      <c r="Z14" s="9" t="s">
        <v>2499</v>
      </c>
    </row>
    <row r="15" spans="1:28" ht="14.4">
      <c r="A15" s="6" t="s">
        <v>84</v>
      </c>
      <c r="B15" s="6" t="s">
        <v>1214</v>
      </c>
      <c r="C15" s="1369"/>
      <c r="I15" s="7" t="s">
        <v>2759</v>
      </c>
    </row>
    <row r="16" spans="1:28" ht="14.4">
      <c r="A16" s="6" t="s">
        <v>85</v>
      </c>
      <c r="B16" s="6" t="s">
        <v>1215</v>
      </c>
      <c r="C16" s="1369"/>
    </row>
    <row r="17" spans="1:3" ht="14.4">
      <c r="A17" s="6" t="s">
        <v>86</v>
      </c>
      <c r="B17" s="6" t="s">
        <v>1216</v>
      </c>
      <c r="C17" s="1369"/>
    </row>
    <row r="18" spans="1:3" ht="14.4">
      <c r="A18" s="6" t="s">
        <v>87</v>
      </c>
      <c r="B18" s="2544" t="s">
        <v>2216</v>
      </c>
      <c r="C18" s="1369"/>
    </row>
    <row r="19" spans="1:3" ht="14.4">
      <c r="A19" s="6" t="s">
        <v>88</v>
      </c>
      <c r="B19" s="2544" t="s">
        <v>2223</v>
      </c>
      <c r="C19" s="1369"/>
    </row>
    <row r="20" spans="1:3" ht="14.4">
      <c r="A20" s="6" t="s">
        <v>89</v>
      </c>
      <c r="B20" s="2544" t="s">
        <v>2263</v>
      </c>
      <c r="C20" s="1369"/>
    </row>
    <row r="21" spans="1:3" ht="14.4">
      <c r="A21" s="6" t="s">
        <v>90</v>
      </c>
      <c r="B21" s="6" t="s">
        <v>2439</v>
      </c>
      <c r="C21" s="1369"/>
    </row>
    <row r="22" spans="1:3" ht="14.4">
      <c r="A22" s="6" t="s">
        <v>91</v>
      </c>
      <c r="B22" s="6" t="s">
        <v>1177</v>
      </c>
      <c r="C22" s="1369"/>
    </row>
    <row r="23" spans="1:3" ht="14.4">
      <c r="A23" s="6" t="s">
        <v>92</v>
      </c>
      <c r="B23" s="6" t="s">
        <v>1177</v>
      </c>
      <c r="C23" s="1369"/>
    </row>
    <row r="24" spans="1:3">
      <c r="A24" s="6" t="s">
        <v>9</v>
      </c>
      <c r="B24" s="6" t="s">
        <v>1177</v>
      </c>
      <c r="C24" s="1369"/>
    </row>
    <row r="25" spans="1:3" ht="14.4">
      <c r="A25" s="6" t="s">
        <v>93</v>
      </c>
      <c r="B25" s="6" t="s">
        <v>1177</v>
      </c>
      <c r="C25" s="1369"/>
    </row>
    <row r="26" spans="1:3" ht="14.4">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42"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556"/>
      <c r="E53" s="1556"/>
    </row>
    <row r="54" spans="1:5">
      <c r="A54" s="3742"/>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42"/>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42"/>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42"/>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ht="14.4">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2025-08-07T05:32:11Z</dcterms:modified>
</cp:coreProperties>
</file>